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filterPrivacy="1" codeName="ThisWorkbook"/>
  <xr:revisionPtr revIDLastSave="0" documentId="8_{094B392F-2668-AB44-868D-BD8A462840F1}" xr6:coauthVersionLast="47" xr6:coauthVersionMax="47" xr10:uidLastSave="{00000000-0000-0000-0000-000000000000}"/>
  <workbookProtection workbookAlgorithmName="SHA-512" workbookHashValue="Kbq4AZijz0jgimH1a/2Kh9oO6ICB1wlSSHfPk+qG7PoWWj4VzAW/TirSLJ1hySbnK7NXzM/6IuGxH0yfOCSwCg==" workbookSaltValue="8e1aXJVXhZ+sHZpX69mKew==" workbookSpinCount="100000" lockStructure="1"/>
  <bookViews>
    <workbookView xWindow="-120" yWindow="-120" windowWidth="20730" windowHeight="11160" firstSheet="1" activeTab="1" xr2:uid="{00000000-000D-0000-FFFF-FFFF00000000}"/>
  </bookViews>
  <sheets>
    <sheet name="Page de couverture" sheetId="14" r:id="rId1"/>
    <sheet name="1. Membre du groupe" sheetId="1" r:id="rId2"/>
    <sheet name="2. Produit agricole certifié" sheetId="5" r:id="rId3"/>
    <sheet name="3. Unité agricole" sheetId="3" r:id="rId4"/>
    <sheet name=" Tableau de bord" sheetId="15" r:id="rId5"/>
    <sheet name="Translations" sheetId="18" state="hidden" r:id="rId6"/>
    <sheet name="Liste des produits agricoles" sheetId="13" r:id="rId7"/>
    <sheet name="Document d’orientation" sheetId="19" r:id="rId8"/>
  </sheets>
  <definedNames>
    <definedName name="_xlnm._FilterDatabase" localSheetId="1" hidden="1">'1. Membre du groupe'!$A$2:$AC$1081</definedName>
    <definedName name="_xlnm._FilterDatabase" localSheetId="2" hidden="1">'2. Produit agricole certifié'!$A$2:$I$1081</definedName>
    <definedName name="_xlnm._FilterDatabase" localSheetId="3" hidden="1">'3. Unité agricole'!$A$2:$E$1081</definedName>
    <definedName name="_xlnm._FilterDatabase" localSheetId="6" hidden="1">'Liste des produits agricoles'!$A$1:$D$372</definedName>
    <definedName name="BirthYear">#REF!</definedName>
    <definedName name="Gender">#REF!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93" i="15" l="1" a="1"/>
  <c r="C93" i="15"/>
  <c r="F1030" i="3"/>
  <c r="F1031" i="3"/>
  <c r="F1032" i="3"/>
  <c r="F1033" i="3"/>
  <c r="F1034" i="3"/>
  <c r="F1035" i="3"/>
  <c r="F1036" i="3"/>
  <c r="F1037" i="3"/>
  <c r="F1038" i="3"/>
  <c r="F1039" i="3"/>
  <c r="F1040" i="3"/>
  <c r="F1041" i="3"/>
  <c r="F1042" i="3"/>
  <c r="F1043" i="3"/>
  <c r="F1044" i="3"/>
  <c r="F1045" i="3"/>
  <c r="F1046" i="3"/>
  <c r="F1047" i="3"/>
  <c r="F1048" i="3"/>
  <c r="F1049" i="3"/>
  <c r="F1050" i="3"/>
  <c r="F1051" i="3"/>
  <c r="F1052" i="3"/>
  <c r="F1053" i="3"/>
  <c r="F1054" i="3"/>
  <c r="F1055" i="3"/>
  <c r="F1056" i="3"/>
  <c r="F1057" i="3"/>
  <c r="F1058" i="3"/>
  <c r="F1059" i="3"/>
  <c r="F1060" i="3"/>
  <c r="F1061" i="3"/>
  <c r="F1062" i="3"/>
  <c r="F1063" i="3"/>
  <c r="F1064" i="3"/>
  <c r="F1065" i="3"/>
  <c r="F1066" i="3"/>
  <c r="F1067" i="3"/>
  <c r="F1068" i="3"/>
  <c r="F1069" i="3"/>
  <c r="F1070" i="3"/>
  <c r="F1071" i="3"/>
  <c r="F1072" i="3"/>
  <c r="F1073" i="3"/>
  <c r="F1074" i="3"/>
  <c r="F1075" i="3"/>
  <c r="F1076" i="3"/>
  <c r="F1077" i="3"/>
  <c r="F1078" i="3"/>
  <c r="F1079" i="3"/>
  <c r="F1080" i="3"/>
  <c r="F1081" i="3"/>
  <c r="G1030" i="3"/>
  <c r="G1031" i="3"/>
  <c r="G1032" i="3"/>
  <c r="G1033" i="3"/>
  <c r="G1034" i="3"/>
  <c r="G1035" i="3"/>
  <c r="G1036" i="3"/>
  <c r="G1037" i="3"/>
  <c r="G1038" i="3"/>
  <c r="G1039" i="3"/>
  <c r="G1040" i="3"/>
  <c r="G1041" i="3"/>
  <c r="G1042" i="3"/>
  <c r="G1043" i="3"/>
  <c r="G1044" i="3"/>
  <c r="G1045" i="3"/>
  <c r="G1046" i="3"/>
  <c r="G1047" i="3"/>
  <c r="G1048" i="3"/>
  <c r="G1049" i="3"/>
  <c r="G1050" i="3"/>
  <c r="G1051" i="3"/>
  <c r="G1052" i="3"/>
  <c r="G1053" i="3"/>
  <c r="G1054" i="3"/>
  <c r="G1055" i="3"/>
  <c r="G1056" i="3"/>
  <c r="G1057" i="3"/>
  <c r="G1058" i="3"/>
  <c r="G1059" i="3"/>
  <c r="G1060" i="3"/>
  <c r="G1061" i="3"/>
  <c r="G1062" i="3"/>
  <c r="G1063" i="3"/>
  <c r="G1064" i="3"/>
  <c r="G1065" i="3"/>
  <c r="G1066" i="3"/>
  <c r="G1067" i="3"/>
  <c r="G1068" i="3"/>
  <c r="G1069" i="3"/>
  <c r="G1070" i="3"/>
  <c r="G1071" i="3"/>
  <c r="G1072" i="3"/>
  <c r="G1073" i="3"/>
  <c r="G1074" i="3"/>
  <c r="G1075" i="3"/>
  <c r="G1076" i="3"/>
  <c r="G1077" i="3"/>
  <c r="G1078" i="3"/>
  <c r="G1079" i="3"/>
  <c r="G1080" i="3"/>
  <c r="G1081" i="3"/>
  <c r="H1030" i="3"/>
  <c r="H1031" i="3"/>
  <c r="H1032" i="3"/>
  <c r="H1033" i="3"/>
  <c r="H1034" i="3"/>
  <c r="H1035" i="3"/>
  <c r="H1036" i="3"/>
  <c r="H1037" i="3"/>
  <c r="H1038" i="3"/>
  <c r="H1039" i="3"/>
  <c r="H1040" i="3"/>
  <c r="H1041" i="3"/>
  <c r="H1042" i="3"/>
  <c r="H1043" i="3"/>
  <c r="H1044" i="3"/>
  <c r="H1045" i="3"/>
  <c r="H1046" i="3"/>
  <c r="H1047" i="3"/>
  <c r="H1048" i="3"/>
  <c r="H1049" i="3"/>
  <c r="H1050" i="3"/>
  <c r="H1051" i="3"/>
  <c r="H1052" i="3"/>
  <c r="H1053" i="3"/>
  <c r="H1054" i="3"/>
  <c r="H1055" i="3"/>
  <c r="H1056" i="3"/>
  <c r="H1057" i="3"/>
  <c r="H1058" i="3"/>
  <c r="H1059" i="3"/>
  <c r="H1060" i="3"/>
  <c r="H1061" i="3"/>
  <c r="H1062" i="3"/>
  <c r="H1063" i="3"/>
  <c r="H1064" i="3"/>
  <c r="H1065" i="3"/>
  <c r="H1066" i="3"/>
  <c r="H1067" i="3"/>
  <c r="H1068" i="3"/>
  <c r="H1069" i="3"/>
  <c r="H1070" i="3"/>
  <c r="H1071" i="3"/>
  <c r="H1072" i="3"/>
  <c r="H1073" i="3"/>
  <c r="H1074" i="3"/>
  <c r="H1075" i="3"/>
  <c r="H1076" i="3"/>
  <c r="H1077" i="3"/>
  <c r="H1078" i="3"/>
  <c r="H1079" i="3"/>
  <c r="H1080" i="3"/>
  <c r="H1081" i="3"/>
  <c r="I1030" i="3" a="1"/>
  <c r="I1030" i="3"/>
  <c r="I1031" i="3" a="1"/>
  <c r="I1031" i="3"/>
  <c r="I1032" i="3" a="1"/>
  <c r="I1032" i="3"/>
  <c r="I1033" i="3" a="1"/>
  <c r="I1033" i="3"/>
  <c r="I1034" i="3" a="1"/>
  <c r="I1034" i="3"/>
  <c r="I1035" i="3" a="1"/>
  <c r="I1035" i="3"/>
  <c r="I1036" i="3" a="1"/>
  <c r="I1036" i="3"/>
  <c r="I1037" i="3" a="1"/>
  <c r="I1037" i="3"/>
  <c r="I1038" i="3" a="1"/>
  <c r="I1038" i="3"/>
  <c r="I1039" i="3" a="1"/>
  <c r="I1039" i="3"/>
  <c r="I1040" i="3" a="1"/>
  <c r="I1040" i="3"/>
  <c r="I1041" i="3" a="1"/>
  <c r="I1041" i="3"/>
  <c r="I1042" i="3" a="1"/>
  <c r="I1042" i="3"/>
  <c r="I1043" i="3" a="1"/>
  <c r="I1043" i="3"/>
  <c r="I1044" i="3" a="1"/>
  <c r="I1044" i="3"/>
  <c r="I1045" i="3" a="1"/>
  <c r="I1045" i="3"/>
  <c r="I1046" i="3" a="1"/>
  <c r="I1046" i="3"/>
  <c r="I1047" i="3" a="1"/>
  <c r="I1047" i="3"/>
  <c r="I1048" i="3" a="1"/>
  <c r="I1048" i="3"/>
  <c r="I1049" i="3" a="1"/>
  <c r="I1049" i="3"/>
  <c r="I1050" i="3" a="1"/>
  <c r="I1050" i="3"/>
  <c r="I1051" i="3" a="1"/>
  <c r="I1051" i="3"/>
  <c r="I1052" i="3" a="1"/>
  <c r="I1052" i="3"/>
  <c r="I1053" i="3" a="1"/>
  <c r="I1053" i="3"/>
  <c r="I1054" i="3" a="1"/>
  <c r="I1054" i="3"/>
  <c r="I1055" i="3" a="1"/>
  <c r="I1055" i="3"/>
  <c r="I1056" i="3" a="1"/>
  <c r="I1056" i="3"/>
  <c r="I1057" i="3" a="1"/>
  <c r="I1057" i="3"/>
  <c r="I1058" i="3" a="1"/>
  <c r="I1058" i="3"/>
  <c r="I1059" i="3" a="1"/>
  <c r="I1059" i="3"/>
  <c r="I1060" i="3" a="1"/>
  <c r="I1060" i="3"/>
  <c r="I1061" i="3" a="1"/>
  <c r="I1061" i="3"/>
  <c r="I1062" i="3" a="1"/>
  <c r="I1062" i="3"/>
  <c r="I1063" i="3" a="1"/>
  <c r="I1063" i="3"/>
  <c r="I1064" i="3" a="1"/>
  <c r="I1064" i="3"/>
  <c r="I1065" i="3" a="1"/>
  <c r="I1065" i="3"/>
  <c r="I1066" i="3" a="1"/>
  <c r="I1066" i="3"/>
  <c r="I1067" i="3" a="1"/>
  <c r="I1067" i="3"/>
  <c r="I1068" i="3" a="1"/>
  <c r="I1068" i="3"/>
  <c r="I1069" i="3" a="1"/>
  <c r="I1069" i="3"/>
  <c r="I1070" i="3" a="1"/>
  <c r="I1070" i="3"/>
  <c r="I1071" i="3" a="1"/>
  <c r="I1071" i="3"/>
  <c r="I1072" i="3" a="1"/>
  <c r="I1072" i="3"/>
  <c r="I1073" i="3" a="1"/>
  <c r="I1073" i="3"/>
  <c r="I1074" i="3" a="1"/>
  <c r="I1074" i="3"/>
  <c r="I1075" i="3" a="1"/>
  <c r="I1075" i="3"/>
  <c r="I1076" i="3" a="1"/>
  <c r="I1076" i="3"/>
  <c r="I1077" i="3" a="1"/>
  <c r="I1077" i="3"/>
  <c r="I1078" i="3" a="1"/>
  <c r="I1078" i="3"/>
  <c r="I1079" i="3" a="1"/>
  <c r="I1079" i="3"/>
  <c r="I1080" i="3" a="1"/>
  <c r="I1080" i="3"/>
  <c r="I1081" i="3" a="1"/>
  <c r="I1081" i="3"/>
  <c r="J1030" i="3"/>
  <c r="J1031" i="3"/>
  <c r="J1032" i="3"/>
  <c r="J1033" i="3"/>
  <c r="J1034" i="3"/>
  <c r="J1035" i="3"/>
  <c r="J1036" i="3"/>
  <c r="J1037" i="3"/>
  <c r="J1038" i="3"/>
  <c r="J1039" i="3"/>
  <c r="J1040" i="3"/>
  <c r="J1041" i="3"/>
  <c r="J1042" i="3"/>
  <c r="J1043" i="3"/>
  <c r="J1044" i="3"/>
  <c r="J1045" i="3"/>
  <c r="J1046" i="3"/>
  <c r="J1047" i="3"/>
  <c r="J1048" i="3"/>
  <c r="J1049" i="3"/>
  <c r="J1050" i="3"/>
  <c r="J1051" i="3"/>
  <c r="J1052" i="3"/>
  <c r="J1053" i="3"/>
  <c r="J1054" i="3"/>
  <c r="J1055" i="3"/>
  <c r="J1056" i="3"/>
  <c r="J1057" i="3"/>
  <c r="J1058" i="3"/>
  <c r="J1059" i="3"/>
  <c r="J1060" i="3"/>
  <c r="J1061" i="3"/>
  <c r="J1062" i="3"/>
  <c r="J1063" i="3"/>
  <c r="J1064" i="3"/>
  <c r="J1065" i="3"/>
  <c r="J1066" i="3"/>
  <c r="J1067" i="3"/>
  <c r="J1068" i="3"/>
  <c r="J1069" i="3"/>
  <c r="J1070" i="3"/>
  <c r="J1071" i="3"/>
  <c r="J1072" i="3"/>
  <c r="J1073" i="3"/>
  <c r="J1074" i="3"/>
  <c r="J1075" i="3"/>
  <c r="J1076" i="3"/>
  <c r="J1077" i="3"/>
  <c r="J1078" i="3"/>
  <c r="J1079" i="3"/>
  <c r="J1080" i="3"/>
  <c r="J1081" i="3"/>
  <c r="J1030" i="5"/>
  <c r="J1031" i="5"/>
  <c r="J1032" i="5"/>
  <c r="J1033" i="5"/>
  <c r="J1034" i="5"/>
  <c r="J1035" i="5"/>
  <c r="J1036" i="5"/>
  <c r="J1037" i="5"/>
  <c r="J1038" i="5"/>
  <c r="J1039" i="5"/>
  <c r="J1040" i="5"/>
  <c r="J1041" i="5"/>
  <c r="J1042" i="5"/>
  <c r="J1043" i="5"/>
  <c r="J1044" i="5"/>
  <c r="J1045" i="5"/>
  <c r="J1046" i="5"/>
  <c r="J1047" i="5"/>
  <c r="J1048" i="5"/>
  <c r="J1049" i="5"/>
  <c r="J1050" i="5"/>
  <c r="J1051" i="5"/>
  <c r="J1052" i="5"/>
  <c r="J1053" i="5"/>
  <c r="J1054" i="5"/>
  <c r="J1055" i="5"/>
  <c r="J1056" i="5"/>
  <c r="J1057" i="5"/>
  <c r="J1058" i="5"/>
  <c r="J1059" i="5"/>
  <c r="J1060" i="5"/>
  <c r="J1061" i="5"/>
  <c r="J1062" i="5"/>
  <c r="J1063" i="5"/>
  <c r="J1064" i="5"/>
  <c r="J1065" i="5"/>
  <c r="J1066" i="5"/>
  <c r="J1067" i="5"/>
  <c r="J1068" i="5"/>
  <c r="J1069" i="5"/>
  <c r="J1070" i="5"/>
  <c r="J1071" i="5"/>
  <c r="J1072" i="5"/>
  <c r="J1073" i="5"/>
  <c r="J1074" i="5"/>
  <c r="J1075" i="5"/>
  <c r="J1076" i="5"/>
  <c r="J1077" i="5"/>
  <c r="J1078" i="5"/>
  <c r="J1079" i="5"/>
  <c r="J1080" i="5"/>
  <c r="J1081" i="5"/>
  <c r="K1030" i="5" a="1"/>
  <c r="K1030" i="5"/>
  <c r="K1031" i="5" a="1"/>
  <c r="K1031" i="5"/>
  <c r="K1032" i="5" a="1"/>
  <c r="K1032" i="5"/>
  <c r="K1033" i="5" a="1"/>
  <c r="K1033" i="5"/>
  <c r="K1034" i="5" a="1"/>
  <c r="K1034" i="5"/>
  <c r="K1035" i="5" a="1"/>
  <c r="K1035" i="5"/>
  <c r="K1036" i="5" a="1"/>
  <c r="K1036" i="5"/>
  <c r="K1037" i="5" a="1"/>
  <c r="K1037" i="5"/>
  <c r="K1038" i="5" a="1"/>
  <c r="K1038" i="5"/>
  <c r="K1039" i="5" a="1"/>
  <c r="K1039" i="5"/>
  <c r="K1040" i="5" a="1"/>
  <c r="K1040" i="5"/>
  <c r="K1041" i="5" a="1"/>
  <c r="K1041" i="5"/>
  <c r="K1042" i="5" a="1"/>
  <c r="K1042" i="5"/>
  <c r="K1043" i="5" a="1"/>
  <c r="K1043" i="5"/>
  <c r="K1044" i="5" a="1"/>
  <c r="K1044" i="5"/>
  <c r="K1045" i="5" a="1"/>
  <c r="K1045" i="5"/>
  <c r="K1046" i="5" a="1"/>
  <c r="K1046" i="5"/>
  <c r="K1047" i="5" a="1"/>
  <c r="K1047" i="5"/>
  <c r="K1048" i="5" a="1"/>
  <c r="K1048" i="5"/>
  <c r="K1049" i="5" a="1"/>
  <c r="K1049" i="5"/>
  <c r="K1050" i="5" a="1"/>
  <c r="K1050" i="5"/>
  <c r="K1051" i="5" a="1"/>
  <c r="K1051" i="5"/>
  <c r="K1052" i="5" a="1"/>
  <c r="K1052" i="5"/>
  <c r="K1053" i="5" a="1"/>
  <c r="K1053" i="5"/>
  <c r="K1054" i="5" a="1"/>
  <c r="K1054" i="5"/>
  <c r="K1055" i="5" a="1"/>
  <c r="K1055" i="5"/>
  <c r="K1056" i="5" a="1"/>
  <c r="K1056" i="5"/>
  <c r="K1057" i="5" a="1"/>
  <c r="K1057" i="5"/>
  <c r="K1058" i="5" a="1"/>
  <c r="K1058" i="5"/>
  <c r="K1059" i="5" a="1"/>
  <c r="K1059" i="5"/>
  <c r="K1060" i="5" a="1"/>
  <c r="K1060" i="5"/>
  <c r="K1061" i="5" a="1"/>
  <c r="K1061" i="5"/>
  <c r="K1062" i="5" a="1"/>
  <c r="K1062" i="5"/>
  <c r="K1063" i="5" a="1"/>
  <c r="K1063" i="5"/>
  <c r="K1064" i="5" a="1"/>
  <c r="K1064" i="5"/>
  <c r="K1065" i="5" a="1"/>
  <c r="K1065" i="5"/>
  <c r="K1066" i="5" a="1"/>
  <c r="K1066" i="5"/>
  <c r="K1067" i="5" a="1"/>
  <c r="K1067" i="5"/>
  <c r="K1068" i="5" a="1"/>
  <c r="K1068" i="5"/>
  <c r="K1069" i="5" a="1"/>
  <c r="K1069" i="5"/>
  <c r="K1070" i="5" a="1"/>
  <c r="K1070" i="5"/>
  <c r="K1071" i="5" a="1"/>
  <c r="K1071" i="5"/>
  <c r="K1072" i="5" a="1"/>
  <c r="K1072" i="5"/>
  <c r="K1073" i="5" a="1"/>
  <c r="K1073" i="5"/>
  <c r="K1074" i="5" a="1"/>
  <c r="K1074" i="5"/>
  <c r="K1075" i="5" a="1"/>
  <c r="K1075" i="5"/>
  <c r="K1076" i="5" a="1"/>
  <c r="K1076" i="5"/>
  <c r="K1077" i="5" a="1"/>
  <c r="K1077" i="5"/>
  <c r="K1078" i="5" a="1"/>
  <c r="K1078" i="5"/>
  <c r="K1079" i="5" a="1"/>
  <c r="K1079" i="5"/>
  <c r="K1080" i="5" a="1"/>
  <c r="K1080" i="5"/>
  <c r="K1081" i="5" a="1"/>
  <c r="K1081" i="5"/>
  <c r="L1030" i="5"/>
  <c r="L1031" i="5"/>
  <c r="L1032" i="5"/>
  <c r="L1033" i="5"/>
  <c r="L1034" i="5"/>
  <c r="L1035" i="5"/>
  <c r="L1036" i="5"/>
  <c r="L1037" i="5"/>
  <c r="L1038" i="5"/>
  <c r="L1039" i="5"/>
  <c r="L1040" i="5"/>
  <c r="L1041" i="5"/>
  <c r="L1042" i="5"/>
  <c r="L1043" i="5"/>
  <c r="L1044" i="5"/>
  <c r="L1045" i="5"/>
  <c r="L1046" i="5"/>
  <c r="L1047" i="5"/>
  <c r="L1048" i="5"/>
  <c r="L1049" i="5"/>
  <c r="L1050" i="5"/>
  <c r="L1051" i="5"/>
  <c r="L1052" i="5"/>
  <c r="L1053" i="5"/>
  <c r="L1054" i="5"/>
  <c r="L1055" i="5"/>
  <c r="L1056" i="5"/>
  <c r="L1057" i="5"/>
  <c r="L1058" i="5"/>
  <c r="L1059" i="5"/>
  <c r="L1060" i="5"/>
  <c r="L1061" i="5"/>
  <c r="L1062" i="5"/>
  <c r="L1063" i="5"/>
  <c r="L1064" i="5"/>
  <c r="L1065" i="5"/>
  <c r="L1066" i="5"/>
  <c r="L1067" i="5"/>
  <c r="L1068" i="5"/>
  <c r="L1069" i="5"/>
  <c r="L1070" i="5"/>
  <c r="L1071" i="5"/>
  <c r="L1072" i="5"/>
  <c r="L1073" i="5"/>
  <c r="L1074" i="5"/>
  <c r="L1075" i="5"/>
  <c r="L1076" i="5"/>
  <c r="L1077" i="5"/>
  <c r="L1078" i="5"/>
  <c r="L1079" i="5"/>
  <c r="L1080" i="5"/>
  <c r="L1081" i="5"/>
  <c r="M1030" i="5"/>
  <c r="M1031" i="5"/>
  <c r="M1032" i="5"/>
  <c r="M1033" i="5"/>
  <c r="M1034" i="5"/>
  <c r="M1035" i="5"/>
  <c r="M1036" i="5"/>
  <c r="M1037" i="5"/>
  <c r="M1038" i="5"/>
  <c r="M1039" i="5"/>
  <c r="M1040" i="5"/>
  <c r="M1041" i="5"/>
  <c r="M1042" i="5"/>
  <c r="M1043" i="5"/>
  <c r="M1044" i="5"/>
  <c r="M1045" i="5"/>
  <c r="M1046" i="5"/>
  <c r="M1047" i="5"/>
  <c r="M1048" i="5"/>
  <c r="M1049" i="5"/>
  <c r="M1050" i="5"/>
  <c r="M1051" i="5"/>
  <c r="M1052" i="5"/>
  <c r="M1053" i="5"/>
  <c r="M1054" i="5"/>
  <c r="M1055" i="5"/>
  <c r="M1056" i="5"/>
  <c r="M1057" i="5"/>
  <c r="M1058" i="5"/>
  <c r="M1059" i="5"/>
  <c r="M1060" i="5"/>
  <c r="M1061" i="5"/>
  <c r="M1062" i="5"/>
  <c r="M1063" i="5"/>
  <c r="M1064" i="5"/>
  <c r="M1065" i="5"/>
  <c r="M1066" i="5"/>
  <c r="M1067" i="5"/>
  <c r="M1068" i="5"/>
  <c r="M1069" i="5"/>
  <c r="M1070" i="5"/>
  <c r="M1071" i="5"/>
  <c r="M1072" i="5"/>
  <c r="M1073" i="5"/>
  <c r="M1074" i="5"/>
  <c r="M1075" i="5"/>
  <c r="M1076" i="5"/>
  <c r="M1077" i="5"/>
  <c r="M1078" i="5"/>
  <c r="M1079" i="5"/>
  <c r="M1080" i="5"/>
  <c r="M1081" i="5"/>
  <c r="N1030" i="5"/>
  <c r="N1031" i="5"/>
  <c r="N1032" i="5"/>
  <c r="N1033" i="5"/>
  <c r="N1034" i="5"/>
  <c r="N1035" i="5"/>
  <c r="N1036" i="5"/>
  <c r="N1037" i="5"/>
  <c r="N1038" i="5"/>
  <c r="N1039" i="5"/>
  <c r="N1040" i="5"/>
  <c r="N1041" i="5"/>
  <c r="N1042" i="5"/>
  <c r="N1043" i="5"/>
  <c r="N1044" i="5"/>
  <c r="N1045" i="5"/>
  <c r="N1046" i="5"/>
  <c r="N1047" i="5"/>
  <c r="N1048" i="5"/>
  <c r="N1049" i="5"/>
  <c r="N1050" i="5"/>
  <c r="N1051" i="5"/>
  <c r="N1052" i="5"/>
  <c r="N1053" i="5"/>
  <c r="N1054" i="5"/>
  <c r="N1055" i="5"/>
  <c r="N1056" i="5"/>
  <c r="N1057" i="5"/>
  <c r="N1058" i="5"/>
  <c r="N1059" i="5"/>
  <c r="N1060" i="5"/>
  <c r="N1061" i="5"/>
  <c r="N1062" i="5"/>
  <c r="N1063" i="5"/>
  <c r="N1064" i="5"/>
  <c r="N1065" i="5"/>
  <c r="N1066" i="5"/>
  <c r="N1067" i="5"/>
  <c r="N1068" i="5"/>
  <c r="N1069" i="5"/>
  <c r="N1070" i="5"/>
  <c r="N1071" i="5"/>
  <c r="N1072" i="5"/>
  <c r="N1073" i="5"/>
  <c r="N1074" i="5"/>
  <c r="N1075" i="5"/>
  <c r="N1076" i="5"/>
  <c r="N1077" i="5"/>
  <c r="N1078" i="5"/>
  <c r="N1079" i="5"/>
  <c r="N1080" i="5"/>
  <c r="N1081" i="5"/>
  <c r="O1030" i="5"/>
  <c r="O1031" i="5"/>
  <c r="O1032" i="5"/>
  <c r="O1033" i="5"/>
  <c r="O1034" i="5"/>
  <c r="O1035" i="5"/>
  <c r="O1036" i="5"/>
  <c r="O1037" i="5"/>
  <c r="O1038" i="5"/>
  <c r="O1039" i="5"/>
  <c r="O1040" i="5"/>
  <c r="O1041" i="5"/>
  <c r="O1042" i="5"/>
  <c r="O1043" i="5"/>
  <c r="O1044" i="5"/>
  <c r="O1045" i="5"/>
  <c r="O1046" i="5"/>
  <c r="O1047" i="5"/>
  <c r="O1048" i="5"/>
  <c r="O1049" i="5"/>
  <c r="O1050" i="5"/>
  <c r="O1051" i="5"/>
  <c r="O1052" i="5"/>
  <c r="O1053" i="5"/>
  <c r="O1054" i="5"/>
  <c r="O1055" i="5"/>
  <c r="O1056" i="5"/>
  <c r="O1057" i="5"/>
  <c r="O1058" i="5"/>
  <c r="O1059" i="5"/>
  <c r="O1060" i="5"/>
  <c r="O1061" i="5"/>
  <c r="O1062" i="5"/>
  <c r="O1063" i="5"/>
  <c r="O1064" i="5"/>
  <c r="O1065" i="5"/>
  <c r="O1066" i="5"/>
  <c r="O1067" i="5"/>
  <c r="O1068" i="5"/>
  <c r="O1069" i="5"/>
  <c r="O1070" i="5"/>
  <c r="O1071" i="5"/>
  <c r="O1072" i="5"/>
  <c r="O1073" i="5"/>
  <c r="O1074" i="5"/>
  <c r="O1075" i="5"/>
  <c r="O1076" i="5"/>
  <c r="O1077" i="5"/>
  <c r="O1078" i="5"/>
  <c r="O1079" i="5"/>
  <c r="O1080" i="5"/>
  <c r="O1081" i="5"/>
  <c r="P1030" i="5"/>
  <c r="P1031" i="5"/>
  <c r="P1032" i="5"/>
  <c r="P1033" i="5"/>
  <c r="P1034" i="5"/>
  <c r="P1035" i="5"/>
  <c r="P1036" i="5"/>
  <c r="P1037" i="5"/>
  <c r="P1038" i="5"/>
  <c r="P1039" i="5"/>
  <c r="P1040" i="5"/>
  <c r="P1041" i="5"/>
  <c r="P1042" i="5"/>
  <c r="P1043" i="5"/>
  <c r="P1044" i="5"/>
  <c r="P1045" i="5"/>
  <c r="P1046" i="5"/>
  <c r="P1047" i="5"/>
  <c r="P1048" i="5"/>
  <c r="P1049" i="5"/>
  <c r="P1050" i="5"/>
  <c r="P1051" i="5"/>
  <c r="P1052" i="5"/>
  <c r="P1053" i="5"/>
  <c r="P1054" i="5"/>
  <c r="P1055" i="5"/>
  <c r="P1056" i="5"/>
  <c r="P1057" i="5"/>
  <c r="P1058" i="5"/>
  <c r="P1059" i="5"/>
  <c r="P1060" i="5"/>
  <c r="P1061" i="5"/>
  <c r="P1062" i="5"/>
  <c r="P1063" i="5"/>
  <c r="P1064" i="5"/>
  <c r="P1065" i="5"/>
  <c r="P1066" i="5"/>
  <c r="P1067" i="5"/>
  <c r="P1068" i="5"/>
  <c r="P1069" i="5"/>
  <c r="P1070" i="5"/>
  <c r="P1071" i="5"/>
  <c r="P1072" i="5"/>
  <c r="P1073" i="5"/>
  <c r="P1074" i="5"/>
  <c r="P1075" i="5"/>
  <c r="P1076" i="5"/>
  <c r="P1077" i="5"/>
  <c r="P1078" i="5"/>
  <c r="P1079" i="5"/>
  <c r="P1080" i="5"/>
  <c r="P1081" i="5"/>
  <c r="Q1030" i="5"/>
  <c r="Q1031" i="5"/>
  <c r="Q1032" i="5"/>
  <c r="Q1033" i="5"/>
  <c r="Q1034" i="5"/>
  <c r="Q1035" i="5"/>
  <c r="Q1036" i="5"/>
  <c r="Q1037" i="5"/>
  <c r="Q1038" i="5"/>
  <c r="Q1039" i="5"/>
  <c r="Q1040" i="5"/>
  <c r="Q1041" i="5"/>
  <c r="Q1042" i="5"/>
  <c r="Q1043" i="5"/>
  <c r="Q1044" i="5"/>
  <c r="Q1045" i="5"/>
  <c r="Q1046" i="5"/>
  <c r="Q1047" i="5"/>
  <c r="Q1048" i="5"/>
  <c r="Q1049" i="5"/>
  <c r="Q1050" i="5"/>
  <c r="Q1051" i="5"/>
  <c r="Q1052" i="5"/>
  <c r="Q1053" i="5"/>
  <c r="Q1054" i="5"/>
  <c r="Q1055" i="5"/>
  <c r="Q1056" i="5"/>
  <c r="Q1057" i="5"/>
  <c r="Q1058" i="5"/>
  <c r="Q1059" i="5"/>
  <c r="Q1060" i="5"/>
  <c r="Q1061" i="5"/>
  <c r="Q1062" i="5"/>
  <c r="Q1063" i="5"/>
  <c r="Q1064" i="5"/>
  <c r="Q1065" i="5"/>
  <c r="Q1066" i="5"/>
  <c r="Q1067" i="5"/>
  <c r="Q1068" i="5"/>
  <c r="Q1069" i="5"/>
  <c r="Q1070" i="5"/>
  <c r="Q1071" i="5"/>
  <c r="Q1072" i="5"/>
  <c r="Q1073" i="5"/>
  <c r="Q1074" i="5"/>
  <c r="Q1075" i="5"/>
  <c r="Q1076" i="5"/>
  <c r="Q1077" i="5"/>
  <c r="Q1078" i="5"/>
  <c r="Q1079" i="5"/>
  <c r="Q1080" i="5"/>
  <c r="Q1081" i="5"/>
  <c r="R1030" i="5"/>
  <c r="R1031" i="5"/>
  <c r="R1032" i="5"/>
  <c r="R1033" i="5"/>
  <c r="R1034" i="5"/>
  <c r="R1035" i="5"/>
  <c r="R1036" i="5"/>
  <c r="R1037" i="5"/>
  <c r="R1038" i="5"/>
  <c r="R1039" i="5"/>
  <c r="R1040" i="5"/>
  <c r="R1041" i="5"/>
  <c r="R1042" i="5"/>
  <c r="R1043" i="5"/>
  <c r="R1044" i="5"/>
  <c r="R1045" i="5"/>
  <c r="R1046" i="5"/>
  <c r="R1047" i="5"/>
  <c r="R1048" i="5"/>
  <c r="R1049" i="5"/>
  <c r="R1050" i="5"/>
  <c r="R1051" i="5"/>
  <c r="R1052" i="5"/>
  <c r="R1053" i="5"/>
  <c r="R1054" i="5"/>
  <c r="R1055" i="5"/>
  <c r="R1056" i="5"/>
  <c r="R1057" i="5"/>
  <c r="R1058" i="5"/>
  <c r="R1059" i="5"/>
  <c r="R1060" i="5"/>
  <c r="R1061" i="5"/>
  <c r="R1062" i="5"/>
  <c r="R1063" i="5"/>
  <c r="R1064" i="5"/>
  <c r="R1065" i="5"/>
  <c r="R1066" i="5"/>
  <c r="R1067" i="5"/>
  <c r="R1068" i="5"/>
  <c r="R1069" i="5"/>
  <c r="R1070" i="5"/>
  <c r="R1071" i="5"/>
  <c r="R1072" i="5"/>
  <c r="R1073" i="5"/>
  <c r="R1074" i="5"/>
  <c r="R1075" i="5"/>
  <c r="R1076" i="5"/>
  <c r="R1077" i="5"/>
  <c r="R1078" i="5"/>
  <c r="R1079" i="5"/>
  <c r="R1080" i="5"/>
  <c r="R1081" i="5"/>
  <c r="AD1044" i="1"/>
  <c r="AD1045" i="1"/>
  <c r="AD1046" i="1"/>
  <c r="AD1047" i="1"/>
  <c r="AD1048" i="1"/>
  <c r="AD1049" i="1"/>
  <c r="AD1050" i="1"/>
  <c r="AD1051" i="1"/>
  <c r="AD1052" i="1"/>
  <c r="AD1053" i="1"/>
  <c r="AD1054" i="1"/>
  <c r="AD1055" i="1"/>
  <c r="AD1056" i="1"/>
  <c r="AD1057" i="1"/>
  <c r="AD1058" i="1"/>
  <c r="AD1059" i="1"/>
  <c r="AD1060" i="1"/>
  <c r="AD1061" i="1"/>
  <c r="AD1062" i="1"/>
  <c r="AD1063" i="1"/>
  <c r="AD1064" i="1"/>
  <c r="AD1065" i="1"/>
  <c r="AD1066" i="1"/>
  <c r="AD1067" i="1"/>
  <c r="AD1068" i="1"/>
  <c r="AD1069" i="1"/>
  <c r="AD1070" i="1"/>
  <c r="AD1071" i="1"/>
  <c r="AD1072" i="1"/>
  <c r="AD1073" i="1"/>
  <c r="AD1074" i="1"/>
  <c r="AD1075" i="1"/>
  <c r="AD1076" i="1"/>
  <c r="AD1077" i="1"/>
  <c r="AD1078" i="1"/>
  <c r="AD1079" i="1"/>
  <c r="AD1080" i="1"/>
  <c r="AD1081" i="1"/>
  <c r="AE1044" i="1"/>
  <c r="AE1045" i="1"/>
  <c r="AE1046" i="1"/>
  <c r="AE1047" i="1"/>
  <c r="AE1048" i="1"/>
  <c r="AE1049" i="1"/>
  <c r="AE1050" i="1"/>
  <c r="AE1051" i="1"/>
  <c r="AE1052" i="1"/>
  <c r="AE1053" i="1"/>
  <c r="AE1054" i="1"/>
  <c r="AE1055" i="1"/>
  <c r="AE1056" i="1"/>
  <c r="AE1057" i="1"/>
  <c r="AE1058" i="1"/>
  <c r="AE1059" i="1"/>
  <c r="AE1060" i="1"/>
  <c r="AE1061" i="1"/>
  <c r="AE1062" i="1"/>
  <c r="AE1063" i="1"/>
  <c r="AE1064" i="1"/>
  <c r="AE1065" i="1"/>
  <c r="AE1066" i="1"/>
  <c r="AE1067" i="1"/>
  <c r="AE1068" i="1"/>
  <c r="AE1069" i="1"/>
  <c r="AE1070" i="1"/>
  <c r="AE1071" i="1"/>
  <c r="AE1072" i="1"/>
  <c r="AE1073" i="1"/>
  <c r="AE1074" i="1"/>
  <c r="AE1075" i="1"/>
  <c r="AE1076" i="1"/>
  <c r="AE1077" i="1"/>
  <c r="AE1078" i="1"/>
  <c r="AE1079" i="1"/>
  <c r="AE1080" i="1"/>
  <c r="AE1081" i="1"/>
  <c r="AF1044" i="1"/>
  <c r="AF1045" i="1"/>
  <c r="AF1046" i="1"/>
  <c r="AF1047" i="1"/>
  <c r="AF1048" i="1"/>
  <c r="AF1049" i="1"/>
  <c r="AF1050" i="1"/>
  <c r="AF1051" i="1"/>
  <c r="AF1052" i="1"/>
  <c r="AF1053" i="1"/>
  <c r="AF1054" i="1"/>
  <c r="AF1055" i="1"/>
  <c r="AF1056" i="1"/>
  <c r="AF1057" i="1"/>
  <c r="AF1058" i="1"/>
  <c r="AF1059" i="1"/>
  <c r="AF1060" i="1"/>
  <c r="AF1061" i="1"/>
  <c r="AF1062" i="1"/>
  <c r="AF1063" i="1"/>
  <c r="AF1064" i="1"/>
  <c r="AF1065" i="1"/>
  <c r="AF1066" i="1"/>
  <c r="AF1067" i="1"/>
  <c r="AF1068" i="1"/>
  <c r="AF1069" i="1"/>
  <c r="AF1070" i="1"/>
  <c r="AF1071" i="1"/>
  <c r="AF1072" i="1"/>
  <c r="AF1073" i="1"/>
  <c r="AF1074" i="1"/>
  <c r="AF1075" i="1"/>
  <c r="AF1076" i="1"/>
  <c r="AF1077" i="1"/>
  <c r="AF1078" i="1"/>
  <c r="AF1079" i="1"/>
  <c r="AF1080" i="1"/>
  <c r="AF1081" i="1"/>
  <c r="AG1044" i="1"/>
  <c r="AG1045" i="1"/>
  <c r="AG1046" i="1"/>
  <c r="AG1047" i="1"/>
  <c r="AG1048" i="1"/>
  <c r="AG1049" i="1"/>
  <c r="AG1050" i="1"/>
  <c r="AG1051" i="1"/>
  <c r="AG1052" i="1"/>
  <c r="AG1053" i="1"/>
  <c r="AG1054" i="1"/>
  <c r="AG1055" i="1"/>
  <c r="AG1056" i="1"/>
  <c r="AG1057" i="1"/>
  <c r="AG1058" i="1"/>
  <c r="AG1059" i="1"/>
  <c r="AG1060" i="1"/>
  <c r="AG1061" i="1"/>
  <c r="AG1062" i="1"/>
  <c r="AG1063" i="1"/>
  <c r="AG1064" i="1"/>
  <c r="AG1065" i="1"/>
  <c r="AG1066" i="1"/>
  <c r="AG1067" i="1"/>
  <c r="AG1068" i="1"/>
  <c r="AG1069" i="1"/>
  <c r="AG1070" i="1"/>
  <c r="AG1071" i="1"/>
  <c r="AG1072" i="1"/>
  <c r="AG1073" i="1"/>
  <c r="AG1074" i="1"/>
  <c r="AG1075" i="1"/>
  <c r="AG1076" i="1"/>
  <c r="AG1077" i="1"/>
  <c r="AG1078" i="1"/>
  <c r="AG1079" i="1"/>
  <c r="AG1080" i="1"/>
  <c r="AG1081" i="1"/>
  <c r="AH1044" i="1"/>
  <c r="AH1045" i="1"/>
  <c r="AH1046" i="1"/>
  <c r="AH1047" i="1"/>
  <c r="AH1048" i="1"/>
  <c r="AH1049" i="1"/>
  <c r="AH1050" i="1"/>
  <c r="AH1051" i="1"/>
  <c r="AH1052" i="1"/>
  <c r="AH1053" i="1"/>
  <c r="AH1054" i="1"/>
  <c r="AH1055" i="1"/>
  <c r="AH1056" i="1"/>
  <c r="AH1057" i="1"/>
  <c r="AH1058" i="1"/>
  <c r="AH1059" i="1"/>
  <c r="AH1060" i="1"/>
  <c r="AH1061" i="1"/>
  <c r="AH1062" i="1"/>
  <c r="AH1063" i="1"/>
  <c r="AH1064" i="1"/>
  <c r="AH1065" i="1"/>
  <c r="AH1066" i="1"/>
  <c r="AH1067" i="1"/>
  <c r="AH1068" i="1"/>
  <c r="AH1069" i="1"/>
  <c r="AH1070" i="1"/>
  <c r="AH1071" i="1"/>
  <c r="AH1072" i="1"/>
  <c r="AH1073" i="1"/>
  <c r="AH1074" i="1"/>
  <c r="AH1075" i="1"/>
  <c r="AH1076" i="1"/>
  <c r="AH1077" i="1"/>
  <c r="AH1078" i="1"/>
  <c r="AH1079" i="1"/>
  <c r="AH1080" i="1"/>
  <c r="AH1081" i="1"/>
  <c r="AI1044" i="1"/>
  <c r="AI1045" i="1"/>
  <c r="AI1046" i="1"/>
  <c r="AI1047" i="1"/>
  <c r="AI1048" i="1"/>
  <c r="AI1049" i="1"/>
  <c r="AI1050" i="1"/>
  <c r="AI1051" i="1"/>
  <c r="AI1052" i="1"/>
  <c r="AI1053" i="1"/>
  <c r="AI1054" i="1"/>
  <c r="AI1055" i="1"/>
  <c r="AI1056" i="1"/>
  <c r="AI1057" i="1"/>
  <c r="AI1058" i="1"/>
  <c r="AI1059" i="1"/>
  <c r="AI1060" i="1"/>
  <c r="AI1061" i="1"/>
  <c r="AI1062" i="1"/>
  <c r="AI1063" i="1"/>
  <c r="AI1064" i="1"/>
  <c r="AI1065" i="1"/>
  <c r="AI1066" i="1"/>
  <c r="AI1067" i="1"/>
  <c r="AI1068" i="1"/>
  <c r="AI1069" i="1"/>
  <c r="AI1070" i="1"/>
  <c r="AI1071" i="1"/>
  <c r="AI1072" i="1"/>
  <c r="AI1073" i="1"/>
  <c r="AI1074" i="1"/>
  <c r="AI1075" i="1"/>
  <c r="AI1076" i="1"/>
  <c r="AI1077" i="1"/>
  <c r="AI1078" i="1"/>
  <c r="AI1079" i="1"/>
  <c r="AI1080" i="1"/>
  <c r="AI1081" i="1"/>
  <c r="AD1043" i="1"/>
  <c r="AE1043" i="1"/>
  <c r="AF1043" i="1"/>
  <c r="AG1043" i="1"/>
  <c r="AH1043" i="1"/>
  <c r="AI1043" i="1"/>
  <c r="AD1035" i="1"/>
  <c r="AD1036" i="1"/>
  <c r="AD1037" i="1"/>
  <c r="AD1038" i="1"/>
  <c r="AD1039" i="1"/>
  <c r="AD1040" i="1"/>
  <c r="AD1041" i="1"/>
  <c r="AD1042" i="1"/>
  <c r="AE1035" i="1"/>
  <c r="AE1036" i="1"/>
  <c r="AE1037" i="1"/>
  <c r="AE1038" i="1"/>
  <c r="AE1039" i="1"/>
  <c r="AE1040" i="1"/>
  <c r="AE1041" i="1"/>
  <c r="AE1042" i="1"/>
  <c r="AF1035" i="1"/>
  <c r="AF1036" i="1"/>
  <c r="AF1037" i="1"/>
  <c r="AF1038" i="1"/>
  <c r="AF1039" i="1"/>
  <c r="AF1040" i="1"/>
  <c r="AF1041" i="1"/>
  <c r="AF1042" i="1"/>
  <c r="AG1035" i="1"/>
  <c r="AG1036" i="1"/>
  <c r="AG1037" i="1"/>
  <c r="AG1038" i="1"/>
  <c r="AG1039" i="1"/>
  <c r="AG1040" i="1"/>
  <c r="AG1041" i="1"/>
  <c r="AG1042" i="1"/>
  <c r="AH1035" i="1"/>
  <c r="AH1036" i="1"/>
  <c r="AH1037" i="1"/>
  <c r="AH1038" i="1"/>
  <c r="AH1039" i="1"/>
  <c r="AH1040" i="1"/>
  <c r="AH1041" i="1"/>
  <c r="AH1042" i="1"/>
  <c r="AI1035" i="1"/>
  <c r="AI1036" i="1"/>
  <c r="AI1037" i="1"/>
  <c r="AI1038" i="1"/>
  <c r="AI1039" i="1"/>
  <c r="AI1040" i="1"/>
  <c r="AI1041" i="1"/>
  <c r="AI1042" i="1"/>
  <c r="AD1034" i="1"/>
  <c r="AE1034" i="1"/>
  <c r="AF1034" i="1"/>
  <c r="AG1034" i="1"/>
  <c r="AH1034" i="1"/>
  <c r="AI1034" i="1"/>
  <c r="AD1030" i="1"/>
  <c r="AD1031" i="1"/>
  <c r="AD1032" i="1"/>
  <c r="AD1033" i="1"/>
  <c r="AE1030" i="1"/>
  <c r="AE1031" i="1"/>
  <c r="AE1032" i="1"/>
  <c r="AE1033" i="1"/>
  <c r="AF1030" i="1"/>
  <c r="AF1031" i="1"/>
  <c r="AF1032" i="1"/>
  <c r="AF1033" i="1"/>
  <c r="AG1030" i="1"/>
  <c r="AG1031" i="1"/>
  <c r="AG1032" i="1"/>
  <c r="AG1033" i="1"/>
  <c r="AH1030" i="1"/>
  <c r="AH1031" i="1"/>
  <c r="AH1032" i="1"/>
  <c r="AH1033" i="1"/>
  <c r="AI1030" i="1"/>
  <c r="AI1031" i="1"/>
  <c r="AI1032" i="1"/>
  <c r="AI1033" i="1"/>
  <c r="F1023" i="3"/>
  <c r="F1024" i="3"/>
  <c r="F1025" i="3"/>
  <c r="F1026" i="3"/>
  <c r="F1027" i="3"/>
  <c r="F1028" i="3"/>
  <c r="F1029" i="3"/>
  <c r="G1023" i="3"/>
  <c r="G1024" i="3"/>
  <c r="G1025" i="3"/>
  <c r="G1026" i="3"/>
  <c r="G1027" i="3"/>
  <c r="G1028" i="3"/>
  <c r="G1029" i="3"/>
  <c r="H1023" i="3"/>
  <c r="H1024" i="3"/>
  <c r="H1025" i="3"/>
  <c r="H1026" i="3"/>
  <c r="H1027" i="3"/>
  <c r="H1028" i="3"/>
  <c r="H1029" i="3"/>
  <c r="I1023" i="3" a="1"/>
  <c r="I1023" i="3"/>
  <c r="I1024" i="3" a="1"/>
  <c r="I1024" i="3"/>
  <c r="I1025" i="3" a="1"/>
  <c r="I1025" i="3"/>
  <c r="I1026" i="3" a="1"/>
  <c r="I1026" i="3"/>
  <c r="I1027" i="3" a="1"/>
  <c r="I1027" i="3"/>
  <c r="I1028" i="3" a="1"/>
  <c r="I1028" i="3"/>
  <c r="I1029" i="3" a="1"/>
  <c r="I1029" i="3"/>
  <c r="J1023" i="3"/>
  <c r="J1024" i="3"/>
  <c r="J1025" i="3"/>
  <c r="J1026" i="3"/>
  <c r="J1027" i="3"/>
  <c r="J1028" i="3"/>
  <c r="J1029" i="3"/>
  <c r="J1023" i="5"/>
  <c r="J1024" i="5"/>
  <c r="J1025" i="5"/>
  <c r="J1026" i="5"/>
  <c r="J1027" i="5"/>
  <c r="J1028" i="5"/>
  <c r="J1029" i="5"/>
  <c r="K1023" i="5" a="1"/>
  <c r="K1023" i="5"/>
  <c r="K1024" i="5" a="1"/>
  <c r="K1024" i="5"/>
  <c r="K1025" i="5" a="1"/>
  <c r="K1025" i="5"/>
  <c r="K1026" i="5" a="1"/>
  <c r="K1026" i="5"/>
  <c r="K1027" i="5" a="1"/>
  <c r="K1027" i="5"/>
  <c r="K1028" i="5" a="1"/>
  <c r="K1028" i="5"/>
  <c r="K1029" i="5" a="1"/>
  <c r="K1029" i="5"/>
  <c r="L1023" i="5"/>
  <c r="L1024" i="5"/>
  <c r="L1025" i="5"/>
  <c r="L1026" i="5"/>
  <c r="L1027" i="5"/>
  <c r="L1028" i="5"/>
  <c r="L1029" i="5"/>
  <c r="M1023" i="5"/>
  <c r="M1024" i="5"/>
  <c r="M1025" i="5"/>
  <c r="M1026" i="5"/>
  <c r="M1027" i="5"/>
  <c r="M1028" i="5"/>
  <c r="M1029" i="5"/>
  <c r="N1023" i="5"/>
  <c r="N1024" i="5"/>
  <c r="N1025" i="5"/>
  <c r="N1026" i="5"/>
  <c r="N1027" i="5"/>
  <c r="N1028" i="5"/>
  <c r="N1029" i="5"/>
  <c r="O1023" i="5"/>
  <c r="O1024" i="5"/>
  <c r="O1025" i="5"/>
  <c r="O1026" i="5"/>
  <c r="O1027" i="5"/>
  <c r="O1028" i="5"/>
  <c r="O1029" i="5"/>
  <c r="P1023" i="5"/>
  <c r="P1024" i="5"/>
  <c r="P1025" i="5"/>
  <c r="P1026" i="5"/>
  <c r="P1027" i="5"/>
  <c r="P1028" i="5"/>
  <c r="P1029" i="5"/>
  <c r="Q1023" i="5"/>
  <c r="Q1024" i="5"/>
  <c r="Q1025" i="5"/>
  <c r="Q1026" i="5"/>
  <c r="Q1027" i="5"/>
  <c r="Q1028" i="5"/>
  <c r="Q1029" i="5"/>
  <c r="R1023" i="5"/>
  <c r="R1024" i="5"/>
  <c r="R1025" i="5"/>
  <c r="R1026" i="5"/>
  <c r="R1027" i="5"/>
  <c r="R1028" i="5"/>
  <c r="R1029" i="5"/>
  <c r="AD1029" i="1"/>
  <c r="AE1029" i="1"/>
  <c r="AF1029" i="1"/>
  <c r="AG1029" i="1"/>
  <c r="AH1029" i="1"/>
  <c r="AI1029" i="1"/>
  <c r="AD1028" i="1"/>
  <c r="AE1028" i="1"/>
  <c r="AF1028" i="1"/>
  <c r="AG1028" i="1"/>
  <c r="AH1028" i="1"/>
  <c r="AI1028" i="1"/>
  <c r="AD1025" i="1"/>
  <c r="AD1026" i="1"/>
  <c r="AD1027" i="1"/>
  <c r="AE1025" i="1"/>
  <c r="AE1026" i="1"/>
  <c r="AE1027" i="1"/>
  <c r="AF1025" i="1"/>
  <c r="AF1026" i="1"/>
  <c r="AF1027" i="1"/>
  <c r="AG1025" i="1"/>
  <c r="AG1026" i="1"/>
  <c r="AG1027" i="1"/>
  <c r="AH1025" i="1"/>
  <c r="AH1026" i="1"/>
  <c r="AH1027" i="1"/>
  <c r="AI1025" i="1"/>
  <c r="AI1026" i="1"/>
  <c r="AI1027" i="1"/>
  <c r="AD1023" i="1"/>
  <c r="AD1024" i="1"/>
  <c r="AE1023" i="1"/>
  <c r="AE1024" i="1"/>
  <c r="AF1023" i="1"/>
  <c r="AF1024" i="1"/>
  <c r="AG1023" i="1"/>
  <c r="AG1024" i="1"/>
  <c r="AH1023" i="1"/>
  <c r="AH1024" i="1"/>
  <c r="AI1023" i="1"/>
  <c r="AI1024" i="1"/>
  <c r="F1001" i="3"/>
  <c r="F1002" i="3"/>
  <c r="F1003" i="3"/>
  <c r="F1004" i="3"/>
  <c r="F1005" i="3"/>
  <c r="F1006" i="3"/>
  <c r="F1007" i="3"/>
  <c r="F1008" i="3"/>
  <c r="F1009" i="3"/>
  <c r="F1010" i="3"/>
  <c r="F1011" i="3"/>
  <c r="F1012" i="3"/>
  <c r="F1013" i="3"/>
  <c r="F1014" i="3"/>
  <c r="F1015" i="3"/>
  <c r="F1016" i="3"/>
  <c r="F1017" i="3"/>
  <c r="F1018" i="3"/>
  <c r="F1019" i="3"/>
  <c r="F1020" i="3"/>
  <c r="F1021" i="3"/>
  <c r="F1022" i="3"/>
  <c r="G1001" i="3"/>
  <c r="G1002" i="3"/>
  <c r="G1003" i="3"/>
  <c r="G1004" i="3"/>
  <c r="G1005" i="3"/>
  <c r="G1006" i="3"/>
  <c r="G1007" i="3"/>
  <c r="G1008" i="3"/>
  <c r="G1009" i="3"/>
  <c r="G1010" i="3"/>
  <c r="G1011" i="3"/>
  <c r="G1012" i="3"/>
  <c r="G1013" i="3"/>
  <c r="G1014" i="3"/>
  <c r="G1015" i="3"/>
  <c r="G1016" i="3"/>
  <c r="G1017" i="3"/>
  <c r="G1018" i="3"/>
  <c r="G1019" i="3"/>
  <c r="G1020" i="3"/>
  <c r="G1021" i="3"/>
  <c r="G1022" i="3"/>
  <c r="H1001" i="3"/>
  <c r="H1002" i="3"/>
  <c r="H1003" i="3"/>
  <c r="H1004" i="3"/>
  <c r="H1005" i="3"/>
  <c r="H1006" i="3"/>
  <c r="H1007" i="3"/>
  <c r="H1008" i="3"/>
  <c r="H1009" i="3"/>
  <c r="H1010" i="3"/>
  <c r="H1011" i="3"/>
  <c r="H1012" i="3"/>
  <c r="H1013" i="3"/>
  <c r="H1014" i="3"/>
  <c r="H1015" i="3"/>
  <c r="H1016" i="3"/>
  <c r="H1017" i="3"/>
  <c r="H1018" i="3"/>
  <c r="H1019" i="3"/>
  <c r="H1020" i="3"/>
  <c r="H1021" i="3"/>
  <c r="H1022" i="3"/>
  <c r="I1001" i="3" a="1"/>
  <c r="I1001" i="3"/>
  <c r="I1002" i="3" a="1"/>
  <c r="I1002" i="3"/>
  <c r="I1003" i="3" a="1"/>
  <c r="I1003" i="3"/>
  <c r="I1004" i="3" a="1"/>
  <c r="I1004" i="3"/>
  <c r="I1005" i="3" a="1"/>
  <c r="I1005" i="3"/>
  <c r="I1006" i="3" a="1"/>
  <c r="I1006" i="3"/>
  <c r="I1007" i="3" a="1"/>
  <c r="I1007" i="3"/>
  <c r="I1008" i="3" a="1"/>
  <c r="I1008" i="3"/>
  <c r="I1009" i="3" a="1"/>
  <c r="I1009" i="3"/>
  <c r="I1010" i="3" a="1"/>
  <c r="I1010" i="3"/>
  <c r="I1011" i="3" a="1"/>
  <c r="I1011" i="3"/>
  <c r="I1012" i="3" a="1"/>
  <c r="I1012" i="3"/>
  <c r="I1013" i="3" a="1"/>
  <c r="I1013" i="3"/>
  <c r="I1014" i="3" a="1"/>
  <c r="I1014" i="3"/>
  <c r="I1015" i="3" a="1"/>
  <c r="I1015" i="3"/>
  <c r="I1016" i="3" a="1"/>
  <c r="I1016" i="3"/>
  <c r="I1017" i="3" a="1"/>
  <c r="I1017" i="3"/>
  <c r="I1018" i="3" a="1"/>
  <c r="I1018" i="3"/>
  <c r="I1019" i="3" a="1"/>
  <c r="I1019" i="3"/>
  <c r="I1020" i="3" a="1"/>
  <c r="I1020" i="3"/>
  <c r="I1021" i="3" a="1"/>
  <c r="I1021" i="3"/>
  <c r="I1022" i="3" a="1"/>
  <c r="I1022" i="3"/>
  <c r="J1001" i="3"/>
  <c r="J1002" i="3"/>
  <c r="J1003" i="3"/>
  <c r="J1004" i="3"/>
  <c r="J1005" i="3"/>
  <c r="J1006" i="3"/>
  <c r="J1007" i="3"/>
  <c r="J1008" i="3"/>
  <c r="J1009" i="3"/>
  <c r="J1010" i="3"/>
  <c r="J1011" i="3"/>
  <c r="J1012" i="3"/>
  <c r="J1013" i="3"/>
  <c r="J1014" i="3"/>
  <c r="J1015" i="3"/>
  <c r="J1016" i="3"/>
  <c r="J1017" i="3"/>
  <c r="J1018" i="3"/>
  <c r="J1019" i="3"/>
  <c r="J1020" i="3"/>
  <c r="J1021" i="3"/>
  <c r="J1022" i="3"/>
  <c r="J1001" i="5"/>
  <c r="J1002" i="5"/>
  <c r="J1003" i="5"/>
  <c r="J1004" i="5"/>
  <c r="J1005" i="5"/>
  <c r="J1006" i="5"/>
  <c r="J1007" i="5"/>
  <c r="J1008" i="5"/>
  <c r="J1009" i="5"/>
  <c r="J1010" i="5"/>
  <c r="J1011" i="5"/>
  <c r="J1012" i="5"/>
  <c r="J1013" i="5"/>
  <c r="J1014" i="5"/>
  <c r="J1015" i="5"/>
  <c r="J1016" i="5"/>
  <c r="J1017" i="5"/>
  <c r="J1018" i="5"/>
  <c r="J1019" i="5"/>
  <c r="J1020" i="5"/>
  <c r="J1021" i="5"/>
  <c r="J1022" i="5"/>
  <c r="K1001" i="5" a="1"/>
  <c r="K1001" i="5"/>
  <c r="K1002" i="5" a="1"/>
  <c r="K1002" i="5"/>
  <c r="K1003" i="5" a="1"/>
  <c r="K1003" i="5"/>
  <c r="K1004" i="5" a="1"/>
  <c r="K1004" i="5"/>
  <c r="K1005" i="5" a="1"/>
  <c r="K1005" i="5"/>
  <c r="K1006" i="5" a="1"/>
  <c r="K1006" i="5"/>
  <c r="K1007" i="5" a="1"/>
  <c r="K1007" i="5"/>
  <c r="K1008" i="5" a="1"/>
  <c r="K1008" i="5"/>
  <c r="K1009" i="5" a="1"/>
  <c r="K1009" i="5"/>
  <c r="K1010" i="5" a="1"/>
  <c r="K1010" i="5"/>
  <c r="K1011" i="5" a="1"/>
  <c r="K1011" i="5"/>
  <c r="K1012" i="5" a="1"/>
  <c r="K1012" i="5"/>
  <c r="K1013" i="5" a="1"/>
  <c r="K1013" i="5"/>
  <c r="K1014" i="5" a="1"/>
  <c r="K1014" i="5"/>
  <c r="K1015" i="5" a="1"/>
  <c r="K1015" i="5"/>
  <c r="K1016" i="5" a="1"/>
  <c r="K1016" i="5"/>
  <c r="K1017" i="5" a="1"/>
  <c r="K1017" i="5"/>
  <c r="K1018" i="5" a="1"/>
  <c r="K1018" i="5"/>
  <c r="K1019" i="5" a="1"/>
  <c r="K1019" i="5"/>
  <c r="K1020" i="5" a="1"/>
  <c r="K1020" i="5"/>
  <c r="K1021" i="5" a="1"/>
  <c r="K1021" i="5"/>
  <c r="K1022" i="5" a="1"/>
  <c r="K1022" i="5"/>
  <c r="L1001" i="5"/>
  <c r="L1002" i="5"/>
  <c r="L1003" i="5"/>
  <c r="L1004" i="5"/>
  <c r="L1005" i="5"/>
  <c r="L1006" i="5"/>
  <c r="L1007" i="5"/>
  <c r="L1008" i="5"/>
  <c r="L1009" i="5"/>
  <c r="L1010" i="5"/>
  <c r="L1011" i="5"/>
  <c r="L1012" i="5"/>
  <c r="L1013" i="5"/>
  <c r="L1014" i="5"/>
  <c r="L1015" i="5"/>
  <c r="L1016" i="5"/>
  <c r="L1017" i="5"/>
  <c r="L1018" i="5"/>
  <c r="L1019" i="5"/>
  <c r="L1020" i="5"/>
  <c r="L1021" i="5"/>
  <c r="L1022" i="5"/>
  <c r="M1001" i="5"/>
  <c r="M1002" i="5"/>
  <c r="M1003" i="5"/>
  <c r="M1004" i="5"/>
  <c r="M1005" i="5"/>
  <c r="M1006" i="5"/>
  <c r="M1007" i="5"/>
  <c r="M1008" i="5"/>
  <c r="M1009" i="5"/>
  <c r="M1010" i="5"/>
  <c r="M1011" i="5"/>
  <c r="M1012" i="5"/>
  <c r="M1013" i="5"/>
  <c r="M1014" i="5"/>
  <c r="M1015" i="5"/>
  <c r="M1016" i="5"/>
  <c r="M1017" i="5"/>
  <c r="M1018" i="5"/>
  <c r="M1019" i="5"/>
  <c r="M1020" i="5"/>
  <c r="M1021" i="5"/>
  <c r="M1022" i="5"/>
  <c r="N1001" i="5"/>
  <c r="N1002" i="5"/>
  <c r="N1003" i="5"/>
  <c r="N1004" i="5"/>
  <c r="N1005" i="5"/>
  <c r="N1006" i="5"/>
  <c r="N1007" i="5"/>
  <c r="N1008" i="5"/>
  <c r="N1009" i="5"/>
  <c r="N1010" i="5"/>
  <c r="N1011" i="5"/>
  <c r="N1012" i="5"/>
  <c r="N1013" i="5"/>
  <c r="N1014" i="5"/>
  <c r="N1015" i="5"/>
  <c r="N1016" i="5"/>
  <c r="N1017" i="5"/>
  <c r="N1018" i="5"/>
  <c r="N1019" i="5"/>
  <c r="N1020" i="5"/>
  <c r="N1021" i="5"/>
  <c r="N1022" i="5"/>
  <c r="O1001" i="5"/>
  <c r="O1002" i="5"/>
  <c r="O1003" i="5"/>
  <c r="O1004" i="5"/>
  <c r="O1005" i="5"/>
  <c r="O1006" i="5"/>
  <c r="O1007" i="5"/>
  <c r="O1008" i="5"/>
  <c r="O1009" i="5"/>
  <c r="O1010" i="5"/>
  <c r="O1011" i="5"/>
  <c r="O1012" i="5"/>
  <c r="O1013" i="5"/>
  <c r="O1014" i="5"/>
  <c r="O1015" i="5"/>
  <c r="O1016" i="5"/>
  <c r="O1017" i="5"/>
  <c r="O1018" i="5"/>
  <c r="O1019" i="5"/>
  <c r="O1020" i="5"/>
  <c r="O1021" i="5"/>
  <c r="O1022" i="5"/>
  <c r="P1001" i="5"/>
  <c r="P1002" i="5"/>
  <c r="P1003" i="5"/>
  <c r="P1004" i="5"/>
  <c r="P1005" i="5"/>
  <c r="P1006" i="5"/>
  <c r="P1007" i="5"/>
  <c r="P1008" i="5"/>
  <c r="P1009" i="5"/>
  <c r="P1010" i="5"/>
  <c r="P1011" i="5"/>
  <c r="P1012" i="5"/>
  <c r="P1013" i="5"/>
  <c r="P1014" i="5"/>
  <c r="P1015" i="5"/>
  <c r="P1016" i="5"/>
  <c r="P1017" i="5"/>
  <c r="P1018" i="5"/>
  <c r="P1019" i="5"/>
  <c r="P1020" i="5"/>
  <c r="P1021" i="5"/>
  <c r="P1022" i="5"/>
  <c r="Q1001" i="5"/>
  <c r="Q1002" i="5"/>
  <c r="Q1003" i="5"/>
  <c r="Q1004" i="5"/>
  <c r="Q1005" i="5"/>
  <c r="Q1006" i="5"/>
  <c r="Q1007" i="5"/>
  <c r="Q1008" i="5"/>
  <c r="Q1009" i="5"/>
  <c r="Q1010" i="5"/>
  <c r="Q1011" i="5"/>
  <c r="Q1012" i="5"/>
  <c r="Q1013" i="5"/>
  <c r="Q1014" i="5"/>
  <c r="Q1015" i="5"/>
  <c r="Q1016" i="5"/>
  <c r="Q1017" i="5"/>
  <c r="Q1018" i="5"/>
  <c r="Q1019" i="5"/>
  <c r="Q1020" i="5"/>
  <c r="Q1021" i="5"/>
  <c r="Q1022" i="5"/>
  <c r="R1001" i="5"/>
  <c r="R1002" i="5"/>
  <c r="R1003" i="5"/>
  <c r="R1004" i="5"/>
  <c r="R1005" i="5"/>
  <c r="R1006" i="5"/>
  <c r="R1007" i="5"/>
  <c r="R1008" i="5"/>
  <c r="R1009" i="5"/>
  <c r="R1010" i="5"/>
  <c r="R1011" i="5"/>
  <c r="R1012" i="5"/>
  <c r="R1013" i="5"/>
  <c r="R1014" i="5"/>
  <c r="R1015" i="5"/>
  <c r="R1016" i="5"/>
  <c r="R1017" i="5"/>
  <c r="R1018" i="5"/>
  <c r="R1019" i="5"/>
  <c r="R1020" i="5"/>
  <c r="R1021" i="5"/>
  <c r="R1022" i="5"/>
  <c r="AD1011" i="1"/>
  <c r="AD1012" i="1"/>
  <c r="AD1013" i="1"/>
  <c r="AD1014" i="1"/>
  <c r="AD1015" i="1"/>
  <c r="AD1016" i="1"/>
  <c r="AD1017" i="1"/>
  <c r="AD1018" i="1"/>
  <c r="AD1019" i="1"/>
  <c r="AD1020" i="1"/>
  <c r="AD1021" i="1"/>
  <c r="AD1022" i="1"/>
  <c r="AE1011" i="1"/>
  <c r="AE1012" i="1"/>
  <c r="AE1013" i="1"/>
  <c r="AE1014" i="1"/>
  <c r="AE1015" i="1"/>
  <c r="AE1016" i="1"/>
  <c r="AE1017" i="1"/>
  <c r="AE1018" i="1"/>
  <c r="AE1019" i="1"/>
  <c r="AE1020" i="1"/>
  <c r="AE1021" i="1"/>
  <c r="AE1022" i="1"/>
  <c r="AF1011" i="1"/>
  <c r="AF1012" i="1"/>
  <c r="AF1013" i="1"/>
  <c r="AF1014" i="1"/>
  <c r="AF1015" i="1"/>
  <c r="AF1016" i="1"/>
  <c r="AF1017" i="1"/>
  <c r="AF1018" i="1"/>
  <c r="AF1019" i="1"/>
  <c r="AF1020" i="1"/>
  <c r="AF1021" i="1"/>
  <c r="AF1022" i="1"/>
  <c r="AG1011" i="1"/>
  <c r="AG1012" i="1"/>
  <c r="AG1013" i="1"/>
  <c r="AG1014" i="1"/>
  <c r="AG1015" i="1"/>
  <c r="AG1016" i="1"/>
  <c r="AG1017" i="1"/>
  <c r="AG1018" i="1"/>
  <c r="AG1019" i="1"/>
  <c r="AG1020" i="1"/>
  <c r="AG1021" i="1"/>
  <c r="AG1022" i="1"/>
  <c r="AH1011" i="1"/>
  <c r="AH1012" i="1"/>
  <c r="AH1013" i="1"/>
  <c r="AH1014" i="1"/>
  <c r="AH1015" i="1"/>
  <c r="AH1016" i="1"/>
  <c r="AH1017" i="1"/>
  <c r="AH1018" i="1"/>
  <c r="AH1019" i="1"/>
  <c r="AH1020" i="1"/>
  <c r="AH1021" i="1"/>
  <c r="AH1022" i="1"/>
  <c r="AI1011" i="1"/>
  <c r="AI1012" i="1"/>
  <c r="AI1013" i="1"/>
  <c r="AI1014" i="1"/>
  <c r="AI1015" i="1"/>
  <c r="AI1016" i="1"/>
  <c r="AI1017" i="1"/>
  <c r="AI1018" i="1"/>
  <c r="AI1019" i="1"/>
  <c r="AI1020" i="1"/>
  <c r="AI1021" i="1"/>
  <c r="AI1022" i="1"/>
  <c r="AD1001" i="1"/>
  <c r="AD1002" i="1"/>
  <c r="AD1003" i="1"/>
  <c r="AD1004" i="1"/>
  <c r="AD1005" i="1"/>
  <c r="AD1006" i="1"/>
  <c r="AD1007" i="1"/>
  <c r="AD1008" i="1"/>
  <c r="AD1009" i="1"/>
  <c r="AD1010" i="1"/>
  <c r="AE1001" i="1"/>
  <c r="AE1002" i="1"/>
  <c r="AE1003" i="1"/>
  <c r="AE1004" i="1"/>
  <c r="AE1005" i="1"/>
  <c r="AE1006" i="1"/>
  <c r="AE1007" i="1"/>
  <c r="AE1008" i="1"/>
  <c r="AE1009" i="1"/>
  <c r="AE1010" i="1"/>
  <c r="AF1001" i="1"/>
  <c r="AF1002" i="1"/>
  <c r="AF1003" i="1"/>
  <c r="AF1004" i="1"/>
  <c r="AF1005" i="1"/>
  <c r="AF1006" i="1"/>
  <c r="AF1007" i="1"/>
  <c r="AF1008" i="1"/>
  <c r="AF1009" i="1"/>
  <c r="AF1010" i="1"/>
  <c r="AG1001" i="1"/>
  <c r="AG1002" i="1"/>
  <c r="AG1003" i="1"/>
  <c r="AG1004" i="1"/>
  <c r="AG1005" i="1"/>
  <c r="AG1006" i="1"/>
  <c r="AG1007" i="1"/>
  <c r="AG1008" i="1"/>
  <c r="AG1009" i="1"/>
  <c r="AG1010" i="1"/>
  <c r="AH1001" i="1"/>
  <c r="AH1002" i="1"/>
  <c r="AH1003" i="1"/>
  <c r="AH1004" i="1"/>
  <c r="AH1005" i="1"/>
  <c r="AH1006" i="1"/>
  <c r="AH1007" i="1"/>
  <c r="AH1008" i="1"/>
  <c r="AH1009" i="1"/>
  <c r="AH1010" i="1"/>
  <c r="AI1001" i="1"/>
  <c r="AI1002" i="1"/>
  <c r="AI1003" i="1"/>
  <c r="AI1004" i="1"/>
  <c r="AI1005" i="1"/>
  <c r="AI1006" i="1"/>
  <c r="AI1007" i="1"/>
  <c r="AI1008" i="1"/>
  <c r="AI1009" i="1"/>
  <c r="AI1010" i="1"/>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82" i="3"/>
  <c r="F283" i="3"/>
  <c r="F284" i="3"/>
  <c r="F285" i="3"/>
  <c r="F286" i="3"/>
  <c r="F287" i="3"/>
  <c r="F288" i="3"/>
  <c r="F289" i="3"/>
  <c r="F290" i="3"/>
  <c r="F291" i="3"/>
  <c r="F292" i="3"/>
  <c r="F293" i="3"/>
  <c r="F294" i="3"/>
  <c r="F295" i="3"/>
  <c r="F296" i="3"/>
  <c r="F297" i="3"/>
  <c r="F298" i="3"/>
  <c r="F299" i="3"/>
  <c r="F300" i="3"/>
  <c r="F301" i="3"/>
  <c r="F302" i="3"/>
  <c r="F303" i="3"/>
  <c r="F304" i="3"/>
  <c r="F305" i="3"/>
  <c r="F306" i="3"/>
  <c r="F307" i="3"/>
  <c r="F308" i="3"/>
  <c r="F309" i="3"/>
  <c r="F310" i="3"/>
  <c r="F311" i="3"/>
  <c r="F312" i="3"/>
  <c r="F313" i="3"/>
  <c r="F314" i="3"/>
  <c r="F315" i="3"/>
  <c r="F316" i="3"/>
  <c r="F317" i="3"/>
  <c r="F318" i="3"/>
  <c r="F319" i="3"/>
  <c r="F320" i="3"/>
  <c r="F321" i="3"/>
  <c r="F322" i="3"/>
  <c r="F323" i="3"/>
  <c r="F324" i="3"/>
  <c r="F325" i="3"/>
  <c r="F326" i="3"/>
  <c r="F327" i="3"/>
  <c r="F328" i="3"/>
  <c r="F329" i="3"/>
  <c r="F330" i="3"/>
  <c r="F331" i="3"/>
  <c r="F332" i="3"/>
  <c r="F333" i="3"/>
  <c r="F334" i="3"/>
  <c r="F335" i="3"/>
  <c r="F336" i="3"/>
  <c r="F337" i="3"/>
  <c r="F338" i="3"/>
  <c r="F339" i="3"/>
  <c r="F340" i="3"/>
  <c r="F341" i="3"/>
  <c r="F342" i="3"/>
  <c r="F343" i="3"/>
  <c r="F344" i="3"/>
  <c r="F345" i="3"/>
  <c r="F346" i="3"/>
  <c r="F347" i="3"/>
  <c r="F348" i="3"/>
  <c r="F349" i="3"/>
  <c r="F350" i="3"/>
  <c r="F351" i="3"/>
  <c r="F352" i="3"/>
  <c r="F353" i="3"/>
  <c r="F354" i="3"/>
  <c r="F355" i="3"/>
  <c r="F356" i="3"/>
  <c r="F357" i="3"/>
  <c r="F358" i="3"/>
  <c r="F359" i="3"/>
  <c r="F360" i="3"/>
  <c r="F361" i="3"/>
  <c r="F362" i="3"/>
  <c r="F363" i="3"/>
  <c r="F364" i="3"/>
  <c r="F365" i="3"/>
  <c r="F366" i="3"/>
  <c r="F367" i="3"/>
  <c r="F368" i="3"/>
  <c r="F369" i="3"/>
  <c r="F370" i="3"/>
  <c r="F371" i="3"/>
  <c r="F372" i="3"/>
  <c r="F373" i="3"/>
  <c r="F374" i="3"/>
  <c r="F375" i="3"/>
  <c r="F376" i="3"/>
  <c r="F377" i="3"/>
  <c r="F378" i="3"/>
  <c r="F379" i="3"/>
  <c r="F380" i="3"/>
  <c r="F381" i="3"/>
  <c r="F382" i="3"/>
  <c r="F383" i="3"/>
  <c r="F384" i="3"/>
  <c r="F385" i="3"/>
  <c r="F386" i="3"/>
  <c r="F387" i="3"/>
  <c r="F388" i="3"/>
  <c r="F389" i="3"/>
  <c r="F390" i="3"/>
  <c r="F391" i="3"/>
  <c r="F392" i="3"/>
  <c r="F393" i="3"/>
  <c r="F394" i="3"/>
  <c r="F395" i="3"/>
  <c r="F396" i="3"/>
  <c r="F397" i="3"/>
  <c r="F398" i="3"/>
  <c r="F399" i="3"/>
  <c r="F400" i="3"/>
  <c r="F401" i="3"/>
  <c r="F402" i="3"/>
  <c r="F403" i="3"/>
  <c r="F404" i="3"/>
  <c r="F405" i="3"/>
  <c r="F406" i="3"/>
  <c r="F407" i="3"/>
  <c r="F408" i="3"/>
  <c r="F409" i="3"/>
  <c r="F410" i="3"/>
  <c r="F411" i="3"/>
  <c r="F412" i="3"/>
  <c r="F413" i="3"/>
  <c r="F414" i="3"/>
  <c r="F415" i="3"/>
  <c r="F416" i="3"/>
  <c r="F417" i="3"/>
  <c r="F418" i="3"/>
  <c r="F419" i="3"/>
  <c r="F420" i="3"/>
  <c r="F421" i="3"/>
  <c r="F422" i="3"/>
  <c r="F423" i="3"/>
  <c r="F424" i="3"/>
  <c r="F425" i="3"/>
  <c r="F426" i="3"/>
  <c r="F427" i="3"/>
  <c r="F428" i="3"/>
  <c r="F429" i="3"/>
  <c r="F430" i="3"/>
  <c r="F431" i="3"/>
  <c r="F432" i="3"/>
  <c r="F433" i="3"/>
  <c r="F434" i="3"/>
  <c r="F435" i="3"/>
  <c r="F436" i="3"/>
  <c r="F437" i="3"/>
  <c r="F438" i="3"/>
  <c r="F439" i="3"/>
  <c r="F440" i="3"/>
  <c r="F441" i="3"/>
  <c r="F442" i="3"/>
  <c r="F443" i="3"/>
  <c r="F444" i="3"/>
  <c r="F445" i="3"/>
  <c r="F446" i="3"/>
  <c r="F447" i="3"/>
  <c r="F448" i="3"/>
  <c r="F449" i="3"/>
  <c r="F450" i="3"/>
  <c r="F451" i="3"/>
  <c r="F452" i="3"/>
  <c r="F453" i="3"/>
  <c r="F454" i="3"/>
  <c r="F455" i="3"/>
  <c r="F456" i="3"/>
  <c r="F457" i="3"/>
  <c r="F458" i="3"/>
  <c r="F459" i="3"/>
  <c r="F460" i="3"/>
  <c r="F461" i="3"/>
  <c r="F462" i="3"/>
  <c r="F463" i="3"/>
  <c r="F464" i="3"/>
  <c r="F465" i="3"/>
  <c r="F466" i="3"/>
  <c r="F467" i="3"/>
  <c r="F468" i="3"/>
  <c r="F469" i="3"/>
  <c r="F470" i="3"/>
  <c r="F471" i="3"/>
  <c r="F472" i="3"/>
  <c r="F473" i="3"/>
  <c r="F474" i="3"/>
  <c r="F475" i="3"/>
  <c r="F476" i="3"/>
  <c r="F477" i="3"/>
  <c r="F478" i="3"/>
  <c r="F479" i="3"/>
  <c r="F480" i="3"/>
  <c r="F481" i="3"/>
  <c r="F482" i="3"/>
  <c r="F483" i="3"/>
  <c r="F484" i="3"/>
  <c r="F485" i="3"/>
  <c r="F486" i="3"/>
  <c r="F487" i="3"/>
  <c r="F488" i="3"/>
  <c r="F489" i="3"/>
  <c r="F490" i="3"/>
  <c r="F491" i="3"/>
  <c r="F492" i="3"/>
  <c r="F493" i="3"/>
  <c r="F494" i="3"/>
  <c r="F495" i="3"/>
  <c r="F496" i="3"/>
  <c r="F497" i="3"/>
  <c r="F498" i="3"/>
  <c r="F499" i="3"/>
  <c r="F500" i="3"/>
  <c r="F501" i="3"/>
  <c r="F502" i="3"/>
  <c r="F503" i="3"/>
  <c r="F504" i="3"/>
  <c r="F505" i="3"/>
  <c r="F506" i="3"/>
  <c r="F507" i="3"/>
  <c r="F508" i="3"/>
  <c r="F509" i="3"/>
  <c r="F510" i="3"/>
  <c r="F511" i="3"/>
  <c r="F512" i="3"/>
  <c r="F513" i="3"/>
  <c r="F514" i="3"/>
  <c r="F515" i="3"/>
  <c r="F516" i="3"/>
  <c r="F517" i="3"/>
  <c r="F518" i="3"/>
  <c r="F519" i="3"/>
  <c r="F520" i="3"/>
  <c r="F521" i="3"/>
  <c r="F522" i="3"/>
  <c r="F523" i="3"/>
  <c r="F524" i="3"/>
  <c r="F525" i="3"/>
  <c r="F526" i="3"/>
  <c r="F527" i="3"/>
  <c r="F528" i="3"/>
  <c r="F529" i="3"/>
  <c r="F530" i="3"/>
  <c r="F531" i="3"/>
  <c r="F532" i="3"/>
  <c r="F533" i="3"/>
  <c r="F534" i="3"/>
  <c r="F535" i="3"/>
  <c r="F536" i="3"/>
  <c r="F537" i="3"/>
  <c r="F538" i="3"/>
  <c r="F539" i="3"/>
  <c r="F540" i="3"/>
  <c r="F541" i="3"/>
  <c r="F542" i="3"/>
  <c r="F543" i="3"/>
  <c r="F544" i="3"/>
  <c r="F545" i="3"/>
  <c r="F546" i="3"/>
  <c r="F547" i="3"/>
  <c r="F548" i="3"/>
  <c r="F549" i="3"/>
  <c r="F550" i="3"/>
  <c r="F551" i="3"/>
  <c r="F552" i="3"/>
  <c r="F553" i="3"/>
  <c r="F554" i="3"/>
  <c r="F555" i="3"/>
  <c r="F556" i="3"/>
  <c r="F557" i="3"/>
  <c r="F558" i="3"/>
  <c r="F559" i="3"/>
  <c r="F560" i="3"/>
  <c r="F561" i="3"/>
  <c r="F562" i="3"/>
  <c r="F563" i="3"/>
  <c r="F564" i="3"/>
  <c r="F565" i="3"/>
  <c r="F566" i="3"/>
  <c r="F567" i="3"/>
  <c r="F568" i="3"/>
  <c r="F569" i="3"/>
  <c r="F570" i="3"/>
  <c r="F571" i="3"/>
  <c r="F572" i="3"/>
  <c r="F573" i="3"/>
  <c r="F574" i="3"/>
  <c r="F575" i="3"/>
  <c r="F576" i="3"/>
  <c r="F577" i="3"/>
  <c r="F578" i="3"/>
  <c r="F579" i="3"/>
  <c r="F580" i="3"/>
  <c r="F581" i="3"/>
  <c r="F582" i="3"/>
  <c r="F583" i="3"/>
  <c r="F584" i="3"/>
  <c r="F585" i="3"/>
  <c r="F586" i="3"/>
  <c r="F587" i="3"/>
  <c r="F588" i="3"/>
  <c r="F589" i="3"/>
  <c r="F590" i="3"/>
  <c r="F591" i="3"/>
  <c r="F592" i="3"/>
  <c r="F593" i="3"/>
  <c r="F594" i="3"/>
  <c r="F595" i="3"/>
  <c r="F596" i="3"/>
  <c r="F597" i="3"/>
  <c r="F598" i="3"/>
  <c r="F599" i="3"/>
  <c r="F600" i="3"/>
  <c r="F601" i="3"/>
  <c r="F602" i="3"/>
  <c r="F603" i="3"/>
  <c r="F604" i="3"/>
  <c r="F605" i="3"/>
  <c r="F606" i="3"/>
  <c r="F607" i="3"/>
  <c r="F608" i="3"/>
  <c r="F609" i="3"/>
  <c r="F610" i="3"/>
  <c r="F611" i="3"/>
  <c r="F612" i="3"/>
  <c r="F613" i="3"/>
  <c r="F614" i="3"/>
  <c r="F615" i="3"/>
  <c r="F616" i="3"/>
  <c r="F617" i="3"/>
  <c r="F618" i="3"/>
  <c r="F619" i="3"/>
  <c r="F620" i="3"/>
  <c r="F621" i="3"/>
  <c r="F622" i="3"/>
  <c r="F623" i="3"/>
  <c r="F624" i="3"/>
  <c r="F625" i="3"/>
  <c r="F626" i="3"/>
  <c r="F627" i="3"/>
  <c r="F628" i="3"/>
  <c r="F629" i="3"/>
  <c r="F630" i="3"/>
  <c r="F631" i="3"/>
  <c r="F632" i="3"/>
  <c r="F633" i="3"/>
  <c r="F634" i="3"/>
  <c r="F635" i="3"/>
  <c r="F636" i="3"/>
  <c r="F637" i="3"/>
  <c r="F638" i="3"/>
  <c r="F639" i="3"/>
  <c r="F640" i="3"/>
  <c r="F641" i="3"/>
  <c r="F642" i="3"/>
  <c r="F643" i="3"/>
  <c r="F644" i="3"/>
  <c r="F645" i="3"/>
  <c r="F646" i="3"/>
  <c r="F647" i="3"/>
  <c r="F648" i="3"/>
  <c r="F649" i="3"/>
  <c r="F650" i="3"/>
  <c r="F651" i="3"/>
  <c r="F652" i="3"/>
  <c r="F653" i="3"/>
  <c r="F654" i="3"/>
  <c r="F655" i="3"/>
  <c r="F656" i="3"/>
  <c r="F657" i="3"/>
  <c r="F658" i="3"/>
  <c r="F659" i="3"/>
  <c r="F660" i="3"/>
  <c r="F661" i="3"/>
  <c r="F662" i="3"/>
  <c r="F663" i="3"/>
  <c r="F664" i="3"/>
  <c r="F665" i="3"/>
  <c r="F666" i="3"/>
  <c r="F667" i="3"/>
  <c r="F668" i="3"/>
  <c r="F669" i="3"/>
  <c r="F670" i="3"/>
  <c r="F671" i="3"/>
  <c r="F672" i="3"/>
  <c r="F673" i="3"/>
  <c r="F674" i="3"/>
  <c r="F675" i="3"/>
  <c r="F676" i="3"/>
  <c r="F677" i="3"/>
  <c r="F678" i="3"/>
  <c r="F679" i="3"/>
  <c r="F680" i="3"/>
  <c r="F681" i="3"/>
  <c r="F682" i="3"/>
  <c r="F683" i="3"/>
  <c r="F684" i="3"/>
  <c r="F685" i="3"/>
  <c r="F686" i="3"/>
  <c r="F687" i="3"/>
  <c r="F688" i="3"/>
  <c r="F689" i="3"/>
  <c r="F690" i="3"/>
  <c r="F691" i="3"/>
  <c r="F692" i="3"/>
  <c r="F693" i="3"/>
  <c r="F694" i="3"/>
  <c r="F695" i="3"/>
  <c r="F696" i="3"/>
  <c r="F697" i="3"/>
  <c r="F698" i="3"/>
  <c r="F699" i="3"/>
  <c r="F700" i="3"/>
  <c r="F701" i="3"/>
  <c r="F702" i="3"/>
  <c r="F703" i="3"/>
  <c r="F704" i="3"/>
  <c r="F705" i="3"/>
  <c r="F706" i="3"/>
  <c r="F707" i="3"/>
  <c r="F708" i="3"/>
  <c r="F709" i="3"/>
  <c r="F710" i="3"/>
  <c r="F711" i="3"/>
  <c r="F712" i="3"/>
  <c r="F713" i="3"/>
  <c r="F714" i="3"/>
  <c r="F715" i="3"/>
  <c r="F716" i="3"/>
  <c r="F717" i="3"/>
  <c r="F718" i="3"/>
  <c r="F719" i="3"/>
  <c r="F720" i="3"/>
  <c r="F721" i="3"/>
  <c r="F722" i="3"/>
  <c r="F723" i="3"/>
  <c r="F724" i="3"/>
  <c r="F725" i="3"/>
  <c r="F726" i="3"/>
  <c r="F727" i="3"/>
  <c r="F728" i="3"/>
  <c r="F729" i="3"/>
  <c r="F730" i="3"/>
  <c r="F731" i="3"/>
  <c r="F732" i="3"/>
  <c r="F733" i="3"/>
  <c r="F734" i="3"/>
  <c r="F735" i="3"/>
  <c r="F736" i="3"/>
  <c r="F737" i="3"/>
  <c r="F738" i="3"/>
  <c r="F739" i="3"/>
  <c r="F740" i="3"/>
  <c r="F741" i="3"/>
  <c r="F742" i="3"/>
  <c r="F743" i="3"/>
  <c r="F744" i="3"/>
  <c r="F745" i="3"/>
  <c r="F746" i="3"/>
  <c r="F747" i="3"/>
  <c r="F748" i="3"/>
  <c r="F749" i="3"/>
  <c r="F750" i="3"/>
  <c r="F751" i="3"/>
  <c r="F752" i="3"/>
  <c r="F753" i="3"/>
  <c r="F754" i="3"/>
  <c r="F755" i="3"/>
  <c r="F756" i="3"/>
  <c r="F757" i="3"/>
  <c r="F758" i="3"/>
  <c r="F759" i="3"/>
  <c r="F760" i="3"/>
  <c r="F761" i="3"/>
  <c r="F762" i="3"/>
  <c r="F763" i="3"/>
  <c r="F764" i="3"/>
  <c r="F765" i="3"/>
  <c r="F766" i="3"/>
  <c r="F767" i="3"/>
  <c r="F768" i="3"/>
  <c r="F769" i="3"/>
  <c r="F770" i="3"/>
  <c r="F771" i="3"/>
  <c r="F772" i="3"/>
  <c r="F773" i="3"/>
  <c r="F774" i="3"/>
  <c r="F775" i="3"/>
  <c r="F776" i="3"/>
  <c r="F777" i="3"/>
  <c r="F778" i="3"/>
  <c r="F779" i="3"/>
  <c r="F780" i="3"/>
  <c r="F781" i="3"/>
  <c r="F782" i="3"/>
  <c r="F783" i="3"/>
  <c r="F784" i="3"/>
  <c r="F785" i="3"/>
  <c r="F786" i="3"/>
  <c r="F787" i="3"/>
  <c r="F788" i="3"/>
  <c r="F789" i="3"/>
  <c r="F790" i="3"/>
  <c r="F791" i="3"/>
  <c r="F792" i="3"/>
  <c r="F793" i="3"/>
  <c r="F794" i="3"/>
  <c r="F795" i="3"/>
  <c r="F796" i="3"/>
  <c r="F797" i="3"/>
  <c r="F798" i="3"/>
  <c r="F799" i="3"/>
  <c r="F800" i="3"/>
  <c r="F801" i="3"/>
  <c r="F802" i="3"/>
  <c r="F803" i="3"/>
  <c r="F804" i="3"/>
  <c r="F805" i="3"/>
  <c r="F806" i="3"/>
  <c r="F807" i="3"/>
  <c r="F808" i="3"/>
  <c r="F809" i="3"/>
  <c r="F810" i="3"/>
  <c r="F811" i="3"/>
  <c r="F812" i="3"/>
  <c r="F813" i="3"/>
  <c r="F814" i="3"/>
  <c r="F815" i="3"/>
  <c r="F816" i="3"/>
  <c r="F817" i="3"/>
  <c r="F818" i="3"/>
  <c r="F819" i="3"/>
  <c r="F820" i="3"/>
  <c r="F821" i="3"/>
  <c r="F822" i="3"/>
  <c r="F823" i="3"/>
  <c r="F824" i="3"/>
  <c r="F825" i="3"/>
  <c r="F826" i="3"/>
  <c r="F827" i="3"/>
  <c r="F828" i="3"/>
  <c r="F829" i="3"/>
  <c r="F830" i="3"/>
  <c r="F831" i="3"/>
  <c r="F832" i="3"/>
  <c r="F833" i="3"/>
  <c r="F834" i="3"/>
  <c r="F835" i="3"/>
  <c r="F836" i="3"/>
  <c r="F837" i="3"/>
  <c r="F838" i="3"/>
  <c r="F839" i="3"/>
  <c r="F840" i="3"/>
  <c r="F841" i="3"/>
  <c r="F842" i="3"/>
  <c r="F843" i="3"/>
  <c r="F844" i="3"/>
  <c r="F845" i="3"/>
  <c r="F846" i="3"/>
  <c r="F847" i="3"/>
  <c r="F848" i="3"/>
  <c r="F849" i="3"/>
  <c r="F850" i="3"/>
  <c r="F851" i="3"/>
  <c r="F852" i="3"/>
  <c r="F853" i="3"/>
  <c r="F854" i="3"/>
  <c r="F855" i="3"/>
  <c r="F856" i="3"/>
  <c r="F857" i="3"/>
  <c r="F858" i="3"/>
  <c r="F859" i="3"/>
  <c r="F860" i="3"/>
  <c r="F861" i="3"/>
  <c r="F862" i="3"/>
  <c r="F863" i="3"/>
  <c r="F864" i="3"/>
  <c r="F865" i="3"/>
  <c r="F866" i="3"/>
  <c r="F867" i="3"/>
  <c r="F868" i="3"/>
  <c r="F869" i="3"/>
  <c r="F870" i="3"/>
  <c r="F871" i="3"/>
  <c r="F872" i="3"/>
  <c r="F873" i="3"/>
  <c r="F874" i="3"/>
  <c r="F875" i="3"/>
  <c r="F876" i="3"/>
  <c r="F877" i="3"/>
  <c r="F878" i="3"/>
  <c r="F879" i="3"/>
  <c r="F880" i="3"/>
  <c r="F881" i="3"/>
  <c r="F882" i="3"/>
  <c r="F883" i="3"/>
  <c r="F884" i="3"/>
  <c r="F885" i="3"/>
  <c r="F886" i="3"/>
  <c r="F887" i="3"/>
  <c r="F888" i="3"/>
  <c r="F889" i="3"/>
  <c r="F890" i="3"/>
  <c r="F891" i="3"/>
  <c r="F892" i="3"/>
  <c r="F893" i="3"/>
  <c r="F894" i="3"/>
  <c r="F895" i="3"/>
  <c r="F896" i="3"/>
  <c r="F897" i="3"/>
  <c r="F898" i="3"/>
  <c r="F899" i="3"/>
  <c r="F900" i="3"/>
  <c r="F901" i="3"/>
  <c r="F902" i="3"/>
  <c r="F903" i="3"/>
  <c r="F904" i="3"/>
  <c r="F905" i="3"/>
  <c r="F906" i="3"/>
  <c r="F907" i="3"/>
  <c r="F908" i="3"/>
  <c r="F909" i="3"/>
  <c r="F910" i="3"/>
  <c r="F911" i="3"/>
  <c r="F912" i="3"/>
  <c r="F913" i="3"/>
  <c r="F914" i="3"/>
  <c r="F915" i="3"/>
  <c r="F916" i="3"/>
  <c r="F917" i="3"/>
  <c r="F918" i="3"/>
  <c r="F919" i="3"/>
  <c r="F920" i="3"/>
  <c r="F921" i="3"/>
  <c r="F922" i="3"/>
  <c r="F923" i="3"/>
  <c r="F924" i="3"/>
  <c r="F925" i="3"/>
  <c r="F926" i="3"/>
  <c r="F927" i="3"/>
  <c r="F928" i="3"/>
  <c r="F929" i="3"/>
  <c r="F930" i="3"/>
  <c r="F931" i="3"/>
  <c r="F932" i="3"/>
  <c r="F933" i="3"/>
  <c r="F934" i="3"/>
  <c r="F935" i="3"/>
  <c r="F936" i="3"/>
  <c r="F937" i="3"/>
  <c r="F938" i="3"/>
  <c r="F939" i="3"/>
  <c r="F940" i="3"/>
  <c r="F941" i="3"/>
  <c r="F942" i="3"/>
  <c r="F943" i="3"/>
  <c r="F944" i="3"/>
  <c r="F945" i="3"/>
  <c r="F946" i="3"/>
  <c r="F947" i="3"/>
  <c r="F948" i="3"/>
  <c r="F949" i="3"/>
  <c r="F950" i="3"/>
  <c r="F951" i="3"/>
  <c r="F952" i="3"/>
  <c r="F953" i="3"/>
  <c r="F954" i="3"/>
  <c r="F955" i="3"/>
  <c r="F956" i="3"/>
  <c r="F957" i="3"/>
  <c r="F958" i="3"/>
  <c r="F959" i="3"/>
  <c r="F960" i="3"/>
  <c r="F961" i="3"/>
  <c r="F962" i="3"/>
  <c r="F963" i="3"/>
  <c r="F964" i="3"/>
  <c r="F965" i="3"/>
  <c r="F966" i="3"/>
  <c r="F967" i="3"/>
  <c r="F968" i="3"/>
  <c r="F969" i="3"/>
  <c r="F970" i="3"/>
  <c r="F971" i="3"/>
  <c r="F972" i="3"/>
  <c r="F973" i="3"/>
  <c r="F974" i="3"/>
  <c r="F975" i="3"/>
  <c r="F976" i="3"/>
  <c r="F977" i="3"/>
  <c r="F978" i="3"/>
  <c r="F979" i="3"/>
  <c r="F980" i="3"/>
  <c r="F981" i="3"/>
  <c r="F982" i="3"/>
  <c r="F983" i="3"/>
  <c r="F984" i="3"/>
  <c r="F985" i="3"/>
  <c r="F986" i="3"/>
  <c r="F987" i="3"/>
  <c r="F988" i="3"/>
  <c r="F989" i="3"/>
  <c r="F990" i="3"/>
  <c r="F991" i="3"/>
  <c r="F992" i="3"/>
  <c r="F993" i="3"/>
  <c r="F994" i="3"/>
  <c r="F995" i="3"/>
  <c r="F996" i="3"/>
  <c r="F997" i="3"/>
  <c r="F998" i="3"/>
  <c r="F999" i="3"/>
  <c r="F100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242" i="3"/>
  <c r="G243" i="3"/>
  <c r="G244" i="3"/>
  <c r="G245" i="3"/>
  <c r="G246" i="3"/>
  <c r="G247" i="3"/>
  <c r="G248" i="3"/>
  <c r="G249" i="3"/>
  <c r="G250" i="3"/>
  <c r="G251" i="3"/>
  <c r="G252" i="3"/>
  <c r="G253" i="3"/>
  <c r="G254" i="3"/>
  <c r="G255" i="3"/>
  <c r="G256" i="3"/>
  <c r="G257" i="3"/>
  <c r="G258"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64" i="3"/>
  <c r="G365" i="3"/>
  <c r="G366" i="3"/>
  <c r="G367" i="3"/>
  <c r="G368" i="3"/>
  <c r="G369" i="3"/>
  <c r="G370" i="3"/>
  <c r="G371" i="3"/>
  <c r="G372" i="3"/>
  <c r="G373" i="3"/>
  <c r="G374" i="3"/>
  <c r="G375" i="3"/>
  <c r="G376" i="3"/>
  <c r="G377" i="3"/>
  <c r="G378" i="3"/>
  <c r="G379" i="3"/>
  <c r="G380" i="3"/>
  <c r="G381" i="3"/>
  <c r="G382" i="3"/>
  <c r="G383" i="3"/>
  <c r="G384" i="3"/>
  <c r="G385" i="3"/>
  <c r="G386" i="3"/>
  <c r="G387" i="3"/>
  <c r="G388" i="3"/>
  <c r="G389" i="3"/>
  <c r="G390" i="3"/>
  <c r="G391" i="3"/>
  <c r="G392" i="3"/>
  <c r="G393" i="3"/>
  <c r="G394" i="3"/>
  <c r="G395" i="3"/>
  <c r="G396" i="3"/>
  <c r="G397" i="3"/>
  <c r="G398" i="3"/>
  <c r="G399" i="3"/>
  <c r="G400" i="3"/>
  <c r="G401" i="3"/>
  <c r="G402" i="3"/>
  <c r="G403" i="3"/>
  <c r="G404" i="3"/>
  <c r="G405" i="3"/>
  <c r="G406" i="3"/>
  <c r="G407" i="3"/>
  <c r="G408" i="3"/>
  <c r="G409" i="3"/>
  <c r="G410" i="3"/>
  <c r="G411" i="3"/>
  <c r="G412" i="3"/>
  <c r="G413" i="3"/>
  <c r="G414" i="3"/>
  <c r="G415" i="3"/>
  <c r="G416" i="3"/>
  <c r="G417" i="3"/>
  <c r="G418" i="3"/>
  <c r="G419" i="3"/>
  <c r="G420" i="3"/>
  <c r="G421" i="3"/>
  <c r="G422" i="3"/>
  <c r="G423" i="3"/>
  <c r="G424" i="3"/>
  <c r="G425" i="3"/>
  <c r="G426" i="3"/>
  <c r="G427" i="3"/>
  <c r="G428" i="3"/>
  <c r="G429" i="3"/>
  <c r="G430" i="3"/>
  <c r="G431" i="3"/>
  <c r="G432" i="3"/>
  <c r="G433" i="3"/>
  <c r="G434" i="3"/>
  <c r="G435" i="3"/>
  <c r="G436" i="3"/>
  <c r="G437" i="3"/>
  <c r="G438" i="3"/>
  <c r="G439" i="3"/>
  <c r="G440" i="3"/>
  <c r="G441" i="3"/>
  <c r="G442" i="3"/>
  <c r="G443" i="3"/>
  <c r="G444" i="3"/>
  <c r="G445" i="3"/>
  <c r="G446" i="3"/>
  <c r="G447" i="3"/>
  <c r="G448" i="3"/>
  <c r="G449" i="3"/>
  <c r="G450" i="3"/>
  <c r="G451" i="3"/>
  <c r="G452" i="3"/>
  <c r="G453" i="3"/>
  <c r="G454" i="3"/>
  <c r="G455" i="3"/>
  <c r="G456" i="3"/>
  <c r="G457" i="3"/>
  <c r="G458" i="3"/>
  <c r="G459" i="3"/>
  <c r="G460" i="3"/>
  <c r="G461" i="3"/>
  <c r="G462" i="3"/>
  <c r="G463" i="3"/>
  <c r="G464" i="3"/>
  <c r="G465" i="3"/>
  <c r="G466" i="3"/>
  <c r="G467" i="3"/>
  <c r="G468" i="3"/>
  <c r="G469" i="3"/>
  <c r="G470" i="3"/>
  <c r="G471" i="3"/>
  <c r="G472" i="3"/>
  <c r="G473" i="3"/>
  <c r="G474" i="3"/>
  <c r="G475" i="3"/>
  <c r="G476" i="3"/>
  <c r="G477" i="3"/>
  <c r="G478" i="3"/>
  <c r="G479" i="3"/>
  <c r="G480" i="3"/>
  <c r="G481" i="3"/>
  <c r="G482" i="3"/>
  <c r="G483" i="3"/>
  <c r="G484" i="3"/>
  <c r="G485" i="3"/>
  <c r="G486" i="3"/>
  <c r="G487" i="3"/>
  <c r="G488" i="3"/>
  <c r="G489" i="3"/>
  <c r="G490" i="3"/>
  <c r="G491" i="3"/>
  <c r="G492" i="3"/>
  <c r="G493" i="3"/>
  <c r="G494" i="3"/>
  <c r="G495" i="3"/>
  <c r="G496" i="3"/>
  <c r="G497" i="3"/>
  <c r="G498" i="3"/>
  <c r="G499" i="3"/>
  <c r="G500" i="3"/>
  <c r="G501" i="3"/>
  <c r="G502" i="3"/>
  <c r="G503" i="3"/>
  <c r="G504" i="3"/>
  <c r="G505" i="3"/>
  <c r="G506" i="3"/>
  <c r="G507" i="3"/>
  <c r="G508" i="3"/>
  <c r="G509" i="3"/>
  <c r="G510" i="3"/>
  <c r="G511" i="3"/>
  <c r="G512" i="3"/>
  <c r="G513" i="3"/>
  <c r="G514" i="3"/>
  <c r="G515" i="3"/>
  <c r="G516" i="3"/>
  <c r="G517" i="3"/>
  <c r="G518" i="3"/>
  <c r="G519" i="3"/>
  <c r="G520" i="3"/>
  <c r="G521" i="3"/>
  <c r="G522" i="3"/>
  <c r="G523" i="3"/>
  <c r="G524" i="3"/>
  <c r="G525" i="3"/>
  <c r="G526" i="3"/>
  <c r="G527" i="3"/>
  <c r="G528" i="3"/>
  <c r="G529" i="3"/>
  <c r="G530" i="3"/>
  <c r="G531" i="3"/>
  <c r="G532" i="3"/>
  <c r="G533" i="3"/>
  <c r="G534" i="3"/>
  <c r="G535" i="3"/>
  <c r="G536" i="3"/>
  <c r="G537" i="3"/>
  <c r="G538" i="3"/>
  <c r="G539" i="3"/>
  <c r="G540" i="3"/>
  <c r="G541" i="3"/>
  <c r="G542" i="3"/>
  <c r="G543" i="3"/>
  <c r="G544" i="3"/>
  <c r="G545" i="3"/>
  <c r="G546" i="3"/>
  <c r="G547" i="3"/>
  <c r="G548" i="3"/>
  <c r="G549" i="3"/>
  <c r="G550" i="3"/>
  <c r="G551" i="3"/>
  <c r="G552" i="3"/>
  <c r="G553" i="3"/>
  <c r="G554" i="3"/>
  <c r="G555" i="3"/>
  <c r="G556" i="3"/>
  <c r="G557" i="3"/>
  <c r="G558" i="3"/>
  <c r="G559" i="3"/>
  <c r="G560" i="3"/>
  <c r="G561" i="3"/>
  <c r="G562" i="3"/>
  <c r="G563" i="3"/>
  <c r="G564" i="3"/>
  <c r="G565" i="3"/>
  <c r="G566" i="3"/>
  <c r="G567" i="3"/>
  <c r="G568" i="3"/>
  <c r="G569" i="3"/>
  <c r="G570" i="3"/>
  <c r="G571" i="3"/>
  <c r="G572" i="3"/>
  <c r="G573" i="3"/>
  <c r="G574" i="3"/>
  <c r="G575" i="3"/>
  <c r="G576" i="3"/>
  <c r="G577" i="3"/>
  <c r="G578" i="3"/>
  <c r="G579" i="3"/>
  <c r="G580" i="3"/>
  <c r="G581" i="3"/>
  <c r="G582" i="3"/>
  <c r="G583" i="3"/>
  <c r="G584" i="3"/>
  <c r="G585" i="3"/>
  <c r="G586" i="3"/>
  <c r="G587" i="3"/>
  <c r="G588" i="3"/>
  <c r="G589" i="3"/>
  <c r="G590" i="3"/>
  <c r="G591" i="3"/>
  <c r="G592" i="3"/>
  <c r="G593" i="3"/>
  <c r="G594" i="3"/>
  <c r="G595" i="3"/>
  <c r="G596" i="3"/>
  <c r="G597" i="3"/>
  <c r="G598" i="3"/>
  <c r="G599" i="3"/>
  <c r="G600" i="3"/>
  <c r="G601" i="3"/>
  <c r="G602" i="3"/>
  <c r="G603" i="3"/>
  <c r="G604" i="3"/>
  <c r="G605" i="3"/>
  <c r="G606" i="3"/>
  <c r="G607" i="3"/>
  <c r="G608" i="3"/>
  <c r="G609" i="3"/>
  <c r="G610" i="3"/>
  <c r="G611" i="3"/>
  <c r="G612" i="3"/>
  <c r="G613" i="3"/>
  <c r="G614" i="3"/>
  <c r="G615" i="3"/>
  <c r="G616" i="3"/>
  <c r="G617" i="3"/>
  <c r="G618" i="3"/>
  <c r="G619" i="3"/>
  <c r="G620" i="3"/>
  <c r="G621" i="3"/>
  <c r="G622" i="3"/>
  <c r="G623" i="3"/>
  <c r="G624" i="3"/>
  <c r="G625" i="3"/>
  <c r="G626" i="3"/>
  <c r="G627" i="3"/>
  <c r="G628" i="3"/>
  <c r="G629" i="3"/>
  <c r="G630" i="3"/>
  <c r="G631" i="3"/>
  <c r="G632" i="3"/>
  <c r="G633" i="3"/>
  <c r="G634" i="3"/>
  <c r="G635" i="3"/>
  <c r="G636" i="3"/>
  <c r="G637" i="3"/>
  <c r="G638" i="3"/>
  <c r="G639" i="3"/>
  <c r="G640" i="3"/>
  <c r="G641" i="3"/>
  <c r="G642" i="3"/>
  <c r="G643" i="3"/>
  <c r="G644" i="3"/>
  <c r="G645" i="3"/>
  <c r="G646" i="3"/>
  <c r="G647" i="3"/>
  <c r="G648" i="3"/>
  <c r="G649" i="3"/>
  <c r="G650" i="3"/>
  <c r="G651" i="3"/>
  <c r="G652" i="3"/>
  <c r="G653" i="3"/>
  <c r="G654" i="3"/>
  <c r="G655" i="3"/>
  <c r="G656" i="3"/>
  <c r="G657" i="3"/>
  <c r="G658" i="3"/>
  <c r="G659" i="3"/>
  <c r="G660" i="3"/>
  <c r="G661" i="3"/>
  <c r="G662" i="3"/>
  <c r="G663" i="3"/>
  <c r="G664" i="3"/>
  <c r="G665" i="3"/>
  <c r="G666" i="3"/>
  <c r="G667" i="3"/>
  <c r="G668" i="3"/>
  <c r="G669" i="3"/>
  <c r="G670" i="3"/>
  <c r="G671" i="3"/>
  <c r="G672" i="3"/>
  <c r="G673" i="3"/>
  <c r="G674" i="3"/>
  <c r="G675" i="3"/>
  <c r="G676" i="3"/>
  <c r="G677" i="3"/>
  <c r="G678" i="3"/>
  <c r="G679" i="3"/>
  <c r="G680" i="3"/>
  <c r="G681" i="3"/>
  <c r="G682" i="3"/>
  <c r="G683" i="3"/>
  <c r="G684" i="3"/>
  <c r="G685" i="3"/>
  <c r="G686" i="3"/>
  <c r="G687" i="3"/>
  <c r="G688" i="3"/>
  <c r="G689" i="3"/>
  <c r="G690" i="3"/>
  <c r="G691" i="3"/>
  <c r="G692" i="3"/>
  <c r="G693" i="3"/>
  <c r="G694" i="3"/>
  <c r="G695" i="3"/>
  <c r="G696" i="3"/>
  <c r="G697" i="3"/>
  <c r="G698" i="3"/>
  <c r="G699" i="3"/>
  <c r="G700" i="3"/>
  <c r="G701" i="3"/>
  <c r="G702" i="3"/>
  <c r="G703" i="3"/>
  <c r="G704" i="3"/>
  <c r="G705" i="3"/>
  <c r="G706" i="3"/>
  <c r="G707" i="3"/>
  <c r="G708" i="3"/>
  <c r="G709" i="3"/>
  <c r="G710" i="3"/>
  <c r="G711" i="3"/>
  <c r="G712" i="3"/>
  <c r="G713" i="3"/>
  <c r="G714" i="3"/>
  <c r="G715" i="3"/>
  <c r="G716" i="3"/>
  <c r="G717" i="3"/>
  <c r="G718" i="3"/>
  <c r="G719" i="3"/>
  <c r="G720" i="3"/>
  <c r="G721" i="3"/>
  <c r="G722" i="3"/>
  <c r="G723" i="3"/>
  <c r="G724" i="3"/>
  <c r="G725" i="3"/>
  <c r="G726" i="3"/>
  <c r="G727" i="3"/>
  <c r="G728" i="3"/>
  <c r="G729" i="3"/>
  <c r="G730" i="3"/>
  <c r="G731" i="3"/>
  <c r="G732" i="3"/>
  <c r="G733" i="3"/>
  <c r="G734" i="3"/>
  <c r="G735" i="3"/>
  <c r="G736" i="3"/>
  <c r="G737" i="3"/>
  <c r="G738" i="3"/>
  <c r="G739" i="3"/>
  <c r="G740" i="3"/>
  <c r="G741" i="3"/>
  <c r="G742" i="3"/>
  <c r="G743" i="3"/>
  <c r="G744" i="3"/>
  <c r="G745" i="3"/>
  <c r="G746" i="3"/>
  <c r="G747" i="3"/>
  <c r="G748" i="3"/>
  <c r="G749" i="3"/>
  <c r="G750" i="3"/>
  <c r="G751" i="3"/>
  <c r="G752" i="3"/>
  <c r="G753" i="3"/>
  <c r="G754" i="3"/>
  <c r="G755" i="3"/>
  <c r="G756" i="3"/>
  <c r="G757" i="3"/>
  <c r="G758" i="3"/>
  <c r="G759" i="3"/>
  <c r="G760" i="3"/>
  <c r="G761" i="3"/>
  <c r="G762" i="3"/>
  <c r="G763" i="3"/>
  <c r="G764" i="3"/>
  <c r="G765" i="3"/>
  <c r="G766" i="3"/>
  <c r="G767" i="3"/>
  <c r="G768" i="3"/>
  <c r="G769" i="3"/>
  <c r="G770" i="3"/>
  <c r="G771" i="3"/>
  <c r="G772" i="3"/>
  <c r="G773" i="3"/>
  <c r="G774" i="3"/>
  <c r="G775" i="3"/>
  <c r="G776" i="3"/>
  <c r="G777" i="3"/>
  <c r="G778" i="3"/>
  <c r="G779" i="3"/>
  <c r="G780" i="3"/>
  <c r="G781" i="3"/>
  <c r="G782" i="3"/>
  <c r="G783" i="3"/>
  <c r="G784" i="3"/>
  <c r="G785" i="3"/>
  <c r="G786" i="3"/>
  <c r="G787" i="3"/>
  <c r="G788" i="3"/>
  <c r="G789" i="3"/>
  <c r="G790" i="3"/>
  <c r="G791" i="3"/>
  <c r="G792" i="3"/>
  <c r="G793" i="3"/>
  <c r="G794" i="3"/>
  <c r="G795" i="3"/>
  <c r="G796" i="3"/>
  <c r="G797" i="3"/>
  <c r="G798" i="3"/>
  <c r="G799" i="3"/>
  <c r="G800" i="3"/>
  <c r="G801" i="3"/>
  <c r="G802" i="3"/>
  <c r="G803" i="3"/>
  <c r="G804" i="3"/>
  <c r="G805" i="3"/>
  <c r="G806" i="3"/>
  <c r="G807" i="3"/>
  <c r="G808" i="3"/>
  <c r="G809" i="3"/>
  <c r="G810" i="3"/>
  <c r="G811" i="3"/>
  <c r="G812" i="3"/>
  <c r="G813" i="3"/>
  <c r="G814" i="3"/>
  <c r="G815" i="3"/>
  <c r="G816" i="3"/>
  <c r="G817" i="3"/>
  <c r="G818" i="3"/>
  <c r="G819" i="3"/>
  <c r="G820" i="3"/>
  <c r="G821" i="3"/>
  <c r="G822" i="3"/>
  <c r="G823" i="3"/>
  <c r="G824" i="3"/>
  <c r="G825" i="3"/>
  <c r="G826" i="3"/>
  <c r="G827" i="3"/>
  <c r="G828" i="3"/>
  <c r="G829" i="3"/>
  <c r="G830" i="3"/>
  <c r="G831" i="3"/>
  <c r="G832" i="3"/>
  <c r="G833" i="3"/>
  <c r="G834" i="3"/>
  <c r="G835" i="3"/>
  <c r="G836" i="3"/>
  <c r="G837" i="3"/>
  <c r="G838" i="3"/>
  <c r="G839" i="3"/>
  <c r="G840" i="3"/>
  <c r="G841" i="3"/>
  <c r="G842" i="3"/>
  <c r="G843" i="3"/>
  <c r="G844" i="3"/>
  <c r="G845" i="3"/>
  <c r="G846" i="3"/>
  <c r="G847" i="3"/>
  <c r="G848" i="3"/>
  <c r="G849" i="3"/>
  <c r="G850" i="3"/>
  <c r="G851" i="3"/>
  <c r="G852" i="3"/>
  <c r="G853" i="3"/>
  <c r="G854" i="3"/>
  <c r="G855" i="3"/>
  <c r="G856" i="3"/>
  <c r="G857" i="3"/>
  <c r="G858" i="3"/>
  <c r="G859" i="3"/>
  <c r="G860" i="3"/>
  <c r="G861" i="3"/>
  <c r="G862" i="3"/>
  <c r="G863" i="3"/>
  <c r="G864" i="3"/>
  <c r="G865" i="3"/>
  <c r="G866" i="3"/>
  <c r="G867" i="3"/>
  <c r="G868" i="3"/>
  <c r="G869" i="3"/>
  <c r="G870" i="3"/>
  <c r="G871" i="3"/>
  <c r="G872" i="3"/>
  <c r="G873" i="3"/>
  <c r="G874" i="3"/>
  <c r="G875" i="3"/>
  <c r="G876" i="3"/>
  <c r="G877" i="3"/>
  <c r="G878" i="3"/>
  <c r="G879" i="3"/>
  <c r="G880" i="3"/>
  <c r="G881" i="3"/>
  <c r="G882" i="3"/>
  <c r="G883" i="3"/>
  <c r="G884" i="3"/>
  <c r="G885" i="3"/>
  <c r="G886" i="3"/>
  <c r="G887" i="3"/>
  <c r="G888" i="3"/>
  <c r="G889" i="3"/>
  <c r="G890" i="3"/>
  <c r="G891" i="3"/>
  <c r="G892" i="3"/>
  <c r="G893" i="3"/>
  <c r="G894" i="3"/>
  <c r="G895" i="3"/>
  <c r="G896" i="3"/>
  <c r="G897" i="3"/>
  <c r="G898" i="3"/>
  <c r="G899" i="3"/>
  <c r="G900" i="3"/>
  <c r="G901" i="3"/>
  <c r="G902" i="3"/>
  <c r="G903" i="3"/>
  <c r="G904" i="3"/>
  <c r="G905" i="3"/>
  <c r="G906" i="3"/>
  <c r="G907" i="3"/>
  <c r="G908" i="3"/>
  <c r="G909" i="3"/>
  <c r="G910" i="3"/>
  <c r="G911" i="3"/>
  <c r="G912" i="3"/>
  <c r="G913" i="3"/>
  <c r="G914" i="3"/>
  <c r="G915" i="3"/>
  <c r="G916" i="3"/>
  <c r="G917" i="3"/>
  <c r="G918" i="3"/>
  <c r="G919" i="3"/>
  <c r="G920" i="3"/>
  <c r="G921" i="3"/>
  <c r="G922" i="3"/>
  <c r="G923" i="3"/>
  <c r="G924" i="3"/>
  <c r="G925" i="3"/>
  <c r="G926" i="3"/>
  <c r="G927" i="3"/>
  <c r="G928" i="3"/>
  <c r="G929" i="3"/>
  <c r="G930" i="3"/>
  <c r="G931" i="3"/>
  <c r="G932" i="3"/>
  <c r="G933" i="3"/>
  <c r="G934" i="3"/>
  <c r="G935" i="3"/>
  <c r="G936" i="3"/>
  <c r="G937" i="3"/>
  <c r="G938" i="3"/>
  <c r="G939" i="3"/>
  <c r="G940" i="3"/>
  <c r="G941" i="3"/>
  <c r="G942" i="3"/>
  <c r="G943" i="3"/>
  <c r="G944" i="3"/>
  <c r="G945" i="3"/>
  <c r="G946" i="3"/>
  <c r="G947" i="3"/>
  <c r="G948" i="3"/>
  <c r="G949" i="3"/>
  <c r="G950" i="3"/>
  <c r="G951" i="3"/>
  <c r="G952" i="3"/>
  <c r="G953" i="3"/>
  <c r="G954" i="3"/>
  <c r="G955" i="3"/>
  <c r="G956" i="3"/>
  <c r="G957" i="3"/>
  <c r="G958" i="3"/>
  <c r="G959" i="3"/>
  <c r="G960" i="3"/>
  <c r="G961" i="3"/>
  <c r="G962" i="3"/>
  <c r="G963" i="3"/>
  <c r="G964" i="3"/>
  <c r="G965" i="3"/>
  <c r="G966" i="3"/>
  <c r="G967" i="3"/>
  <c r="G968" i="3"/>
  <c r="G969" i="3"/>
  <c r="G970" i="3"/>
  <c r="G971" i="3"/>
  <c r="G972" i="3"/>
  <c r="G973" i="3"/>
  <c r="G974" i="3"/>
  <c r="G975" i="3"/>
  <c r="G976" i="3"/>
  <c r="G977" i="3"/>
  <c r="G978" i="3"/>
  <c r="G979" i="3"/>
  <c r="G980" i="3"/>
  <c r="G981" i="3"/>
  <c r="G982" i="3"/>
  <c r="G983" i="3"/>
  <c r="G984" i="3"/>
  <c r="G985" i="3"/>
  <c r="G986" i="3"/>
  <c r="G987" i="3"/>
  <c r="G988" i="3"/>
  <c r="G989" i="3"/>
  <c r="G990" i="3"/>
  <c r="G991" i="3"/>
  <c r="G992" i="3"/>
  <c r="G993" i="3"/>
  <c r="G994" i="3"/>
  <c r="G995" i="3"/>
  <c r="G996" i="3"/>
  <c r="G997" i="3"/>
  <c r="G998" i="3"/>
  <c r="G999" i="3"/>
  <c r="G100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207" i="3"/>
  <c r="H208" i="3"/>
  <c r="H209" i="3"/>
  <c r="H210" i="3"/>
  <c r="H211" i="3"/>
  <c r="H212" i="3"/>
  <c r="H213" i="3"/>
  <c r="H214" i="3"/>
  <c r="H215" i="3"/>
  <c r="H216" i="3"/>
  <c r="H217" i="3"/>
  <c r="H218" i="3"/>
  <c r="H219" i="3"/>
  <c r="H220" i="3"/>
  <c r="H221" i="3"/>
  <c r="H222" i="3"/>
  <c r="H223" i="3"/>
  <c r="H224" i="3"/>
  <c r="H225" i="3"/>
  <c r="H226" i="3"/>
  <c r="H227" i="3"/>
  <c r="H228" i="3"/>
  <c r="H229" i="3"/>
  <c r="H230" i="3"/>
  <c r="H231" i="3"/>
  <c r="H232" i="3"/>
  <c r="H233" i="3"/>
  <c r="H234" i="3"/>
  <c r="H235" i="3"/>
  <c r="H236" i="3"/>
  <c r="H237" i="3"/>
  <c r="H238" i="3"/>
  <c r="H239" i="3"/>
  <c r="H240" i="3"/>
  <c r="H241" i="3"/>
  <c r="H242" i="3"/>
  <c r="H243" i="3"/>
  <c r="H244" i="3"/>
  <c r="H245" i="3"/>
  <c r="H246" i="3"/>
  <c r="H247" i="3"/>
  <c r="H248" i="3"/>
  <c r="H249" i="3"/>
  <c r="H250" i="3"/>
  <c r="H251" i="3"/>
  <c r="H252" i="3"/>
  <c r="H253" i="3"/>
  <c r="H254" i="3"/>
  <c r="H255" i="3"/>
  <c r="H256" i="3"/>
  <c r="H257" i="3"/>
  <c r="H258" i="3"/>
  <c r="H259" i="3"/>
  <c r="H260" i="3"/>
  <c r="H261" i="3"/>
  <c r="H262" i="3"/>
  <c r="H263" i="3"/>
  <c r="H264" i="3"/>
  <c r="H265" i="3"/>
  <c r="H266" i="3"/>
  <c r="H267" i="3"/>
  <c r="H268" i="3"/>
  <c r="H269" i="3"/>
  <c r="H270" i="3"/>
  <c r="H271" i="3"/>
  <c r="H272" i="3"/>
  <c r="H273" i="3"/>
  <c r="H274" i="3"/>
  <c r="H275" i="3"/>
  <c r="H276" i="3"/>
  <c r="H277" i="3"/>
  <c r="H278" i="3"/>
  <c r="H279" i="3"/>
  <c r="H280" i="3"/>
  <c r="H281" i="3"/>
  <c r="H282" i="3"/>
  <c r="H283" i="3"/>
  <c r="H284" i="3"/>
  <c r="H285" i="3"/>
  <c r="H286" i="3"/>
  <c r="H287" i="3"/>
  <c r="H288" i="3"/>
  <c r="H289" i="3"/>
  <c r="H290" i="3"/>
  <c r="H291" i="3"/>
  <c r="H292" i="3"/>
  <c r="H293" i="3"/>
  <c r="H294" i="3"/>
  <c r="H295" i="3"/>
  <c r="H296" i="3"/>
  <c r="H297" i="3"/>
  <c r="H298" i="3"/>
  <c r="H299" i="3"/>
  <c r="H300" i="3"/>
  <c r="H301" i="3"/>
  <c r="H302" i="3"/>
  <c r="H303" i="3"/>
  <c r="H304" i="3"/>
  <c r="H305" i="3"/>
  <c r="H306" i="3"/>
  <c r="H307" i="3"/>
  <c r="H308" i="3"/>
  <c r="H309" i="3"/>
  <c r="H310" i="3"/>
  <c r="H311" i="3"/>
  <c r="H312" i="3"/>
  <c r="H313" i="3"/>
  <c r="H314" i="3"/>
  <c r="H315" i="3"/>
  <c r="H316" i="3"/>
  <c r="H317" i="3"/>
  <c r="H318" i="3"/>
  <c r="H319" i="3"/>
  <c r="H320" i="3"/>
  <c r="H321" i="3"/>
  <c r="H322" i="3"/>
  <c r="H323" i="3"/>
  <c r="H324" i="3"/>
  <c r="H325" i="3"/>
  <c r="H326" i="3"/>
  <c r="H327" i="3"/>
  <c r="H328" i="3"/>
  <c r="H329" i="3"/>
  <c r="H330" i="3"/>
  <c r="H331" i="3"/>
  <c r="H332" i="3"/>
  <c r="H333" i="3"/>
  <c r="H334" i="3"/>
  <c r="H335" i="3"/>
  <c r="H336" i="3"/>
  <c r="H337" i="3"/>
  <c r="H338" i="3"/>
  <c r="H339" i="3"/>
  <c r="H340" i="3"/>
  <c r="H341" i="3"/>
  <c r="H342" i="3"/>
  <c r="H343" i="3"/>
  <c r="H344" i="3"/>
  <c r="H345" i="3"/>
  <c r="H346" i="3"/>
  <c r="H347" i="3"/>
  <c r="H348" i="3"/>
  <c r="H349" i="3"/>
  <c r="H350" i="3"/>
  <c r="H351" i="3"/>
  <c r="H352" i="3"/>
  <c r="H353" i="3"/>
  <c r="H354" i="3"/>
  <c r="H355" i="3"/>
  <c r="H356" i="3"/>
  <c r="H357" i="3"/>
  <c r="H358" i="3"/>
  <c r="H359" i="3"/>
  <c r="H360" i="3"/>
  <c r="H361" i="3"/>
  <c r="H362" i="3"/>
  <c r="H363" i="3"/>
  <c r="H364" i="3"/>
  <c r="H365" i="3"/>
  <c r="H366" i="3"/>
  <c r="H367" i="3"/>
  <c r="H368" i="3"/>
  <c r="H369" i="3"/>
  <c r="H370" i="3"/>
  <c r="H371" i="3"/>
  <c r="H372" i="3"/>
  <c r="H373" i="3"/>
  <c r="H374" i="3"/>
  <c r="H375" i="3"/>
  <c r="H376" i="3"/>
  <c r="H377" i="3"/>
  <c r="H378" i="3"/>
  <c r="H379" i="3"/>
  <c r="H380" i="3"/>
  <c r="H381" i="3"/>
  <c r="H382" i="3"/>
  <c r="H383" i="3"/>
  <c r="H384" i="3"/>
  <c r="H385" i="3"/>
  <c r="H386" i="3"/>
  <c r="H387" i="3"/>
  <c r="H388" i="3"/>
  <c r="H389" i="3"/>
  <c r="H390" i="3"/>
  <c r="H391" i="3"/>
  <c r="H392" i="3"/>
  <c r="H393" i="3"/>
  <c r="H394" i="3"/>
  <c r="H395" i="3"/>
  <c r="H396" i="3"/>
  <c r="H397" i="3"/>
  <c r="H398" i="3"/>
  <c r="H399" i="3"/>
  <c r="H400" i="3"/>
  <c r="H401" i="3"/>
  <c r="H402" i="3"/>
  <c r="H403" i="3"/>
  <c r="H404" i="3"/>
  <c r="H405" i="3"/>
  <c r="H406" i="3"/>
  <c r="H407" i="3"/>
  <c r="H408" i="3"/>
  <c r="H409" i="3"/>
  <c r="H410" i="3"/>
  <c r="H411" i="3"/>
  <c r="H412" i="3"/>
  <c r="H413" i="3"/>
  <c r="H414" i="3"/>
  <c r="H415" i="3"/>
  <c r="H416" i="3"/>
  <c r="H417" i="3"/>
  <c r="H418" i="3"/>
  <c r="H419" i="3"/>
  <c r="H420" i="3"/>
  <c r="H421" i="3"/>
  <c r="H422" i="3"/>
  <c r="H423" i="3"/>
  <c r="H424" i="3"/>
  <c r="H425" i="3"/>
  <c r="H426" i="3"/>
  <c r="H427" i="3"/>
  <c r="H428" i="3"/>
  <c r="H429" i="3"/>
  <c r="H430" i="3"/>
  <c r="H431" i="3"/>
  <c r="H432" i="3"/>
  <c r="H433" i="3"/>
  <c r="H434" i="3"/>
  <c r="H435" i="3"/>
  <c r="H436" i="3"/>
  <c r="H437" i="3"/>
  <c r="H438" i="3"/>
  <c r="H439" i="3"/>
  <c r="H440" i="3"/>
  <c r="H441" i="3"/>
  <c r="H442" i="3"/>
  <c r="H443" i="3"/>
  <c r="H444" i="3"/>
  <c r="H445" i="3"/>
  <c r="H446" i="3"/>
  <c r="H447" i="3"/>
  <c r="H448" i="3"/>
  <c r="H449" i="3"/>
  <c r="H450" i="3"/>
  <c r="H451" i="3"/>
  <c r="H452" i="3"/>
  <c r="H453" i="3"/>
  <c r="H454" i="3"/>
  <c r="H455" i="3"/>
  <c r="H456" i="3"/>
  <c r="H457" i="3"/>
  <c r="H458" i="3"/>
  <c r="H459" i="3"/>
  <c r="H460" i="3"/>
  <c r="H461" i="3"/>
  <c r="H462" i="3"/>
  <c r="H463" i="3"/>
  <c r="H464" i="3"/>
  <c r="H465" i="3"/>
  <c r="H466" i="3"/>
  <c r="H467" i="3"/>
  <c r="H468" i="3"/>
  <c r="H469" i="3"/>
  <c r="H470" i="3"/>
  <c r="H471" i="3"/>
  <c r="H472" i="3"/>
  <c r="H473" i="3"/>
  <c r="H474" i="3"/>
  <c r="H475" i="3"/>
  <c r="H476" i="3"/>
  <c r="H477" i="3"/>
  <c r="H478" i="3"/>
  <c r="H479" i="3"/>
  <c r="H480" i="3"/>
  <c r="H481" i="3"/>
  <c r="H482" i="3"/>
  <c r="H483" i="3"/>
  <c r="H484" i="3"/>
  <c r="H485" i="3"/>
  <c r="H486" i="3"/>
  <c r="H487" i="3"/>
  <c r="H488" i="3"/>
  <c r="H489" i="3"/>
  <c r="H490" i="3"/>
  <c r="H491" i="3"/>
  <c r="H492" i="3"/>
  <c r="H493" i="3"/>
  <c r="H494" i="3"/>
  <c r="H495" i="3"/>
  <c r="H496" i="3"/>
  <c r="H497" i="3"/>
  <c r="H498" i="3"/>
  <c r="H499" i="3"/>
  <c r="H500" i="3"/>
  <c r="H501" i="3"/>
  <c r="H502" i="3"/>
  <c r="H503" i="3"/>
  <c r="H504" i="3"/>
  <c r="H505" i="3"/>
  <c r="H506" i="3"/>
  <c r="H507" i="3"/>
  <c r="H508" i="3"/>
  <c r="H509" i="3"/>
  <c r="H510" i="3"/>
  <c r="H511" i="3"/>
  <c r="H512" i="3"/>
  <c r="H513" i="3"/>
  <c r="H514" i="3"/>
  <c r="H515" i="3"/>
  <c r="H516" i="3"/>
  <c r="H517" i="3"/>
  <c r="H518" i="3"/>
  <c r="H519" i="3"/>
  <c r="H520" i="3"/>
  <c r="H521" i="3"/>
  <c r="H522" i="3"/>
  <c r="H523" i="3"/>
  <c r="H524" i="3"/>
  <c r="H525" i="3"/>
  <c r="H526" i="3"/>
  <c r="H527" i="3"/>
  <c r="H528" i="3"/>
  <c r="H529" i="3"/>
  <c r="H530" i="3"/>
  <c r="H531" i="3"/>
  <c r="H532" i="3"/>
  <c r="H533" i="3"/>
  <c r="H534" i="3"/>
  <c r="H535" i="3"/>
  <c r="H536" i="3"/>
  <c r="H537" i="3"/>
  <c r="H538" i="3"/>
  <c r="H539" i="3"/>
  <c r="H540" i="3"/>
  <c r="H541" i="3"/>
  <c r="H542" i="3"/>
  <c r="H543" i="3"/>
  <c r="H544" i="3"/>
  <c r="H545" i="3"/>
  <c r="H546" i="3"/>
  <c r="H547" i="3"/>
  <c r="H548" i="3"/>
  <c r="H549" i="3"/>
  <c r="H550" i="3"/>
  <c r="H551" i="3"/>
  <c r="H552" i="3"/>
  <c r="H553" i="3"/>
  <c r="H554" i="3"/>
  <c r="H555" i="3"/>
  <c r="H556" i="3"/>
  <c r="H557" i="3"/>
  <c r="H558" i="3"/>
  <c r="H559" i="3"/>
  <c r="H560" i="3"/>
  <c r="H561" i="3"/>
  <c r="H562" i="3"/>
  <c r="H563" i="3"/>
  <c r="H564" i="3"/>
  <c r="H565" i="3"/>
  <c r="H566" i="3"/>
  <c r="H567" i="3"/>
  <c r="H568" i="3"/>
  <c r="H569" i="3"/>
  <c r="H570" i="3"/>
  <c r="H571" i="3"/>
  <c r="H572" i="3"/>
  <c r="H573" i="3"/>
  <c r="H574" i="3"/>
  <c r="H575" i="3"/>
  <c r="H576" i="3"/>
  <c r="H577" i="3"/>
  <c r="H578" i="3"/>
  <c r="H579" i="3"/>
  <c r="H580" i="3"/>
  <c r="H581" i="3"/>
  <c r="H582" i="3"/>
  <c r="H583" i="3"/>
  <c r="H584" i="3"/>
  <c r="H585" i="3"/>
  <c r="H586" i="3"/>
  <c r="H587" i="3"/>
  <c r="H588" i="3"/>
  <c r="H589" i="3"/>
  <c r="H590" i="3"/>
  <c r="H591" i="3"/>
  <c r="H592" i="3"/>
  <c r="H593" i="3"/>
  <c r="H594" i="3"/>
  <c r="H595" i="3"/>
  <c r="H596" i="3"/>
  <c r="H597" i="3"/>
  <c r="H598" i="3"/>
  <c r="H599" i="3"/>
  <c r="H600" i="3"/>
  <c r="H601" i="3"/>
  <c r="H602" i="3"/>
  <c r="H603" i="3"/>
  <c r="H604" i="3"/>
  <c r="H605" i="3"/>
  <c r="H606" i="3"/>
  <c r="H607" i="3"/>
  <c r="H608" i="3"/>
  <c r="H609" i="3"/>
  <c r="H610" i="3"/>
  <c r="H611" i="3"/>
  <c r="H612" i="3"/>
  <c r="H613" i="3"/>
  <c r="H614" i="3"/>
  <c r="H615" i="3"/>
  <c r="H616" i="3"/>
  <c r="H617" i="3"/>
  <c r="H618" i="3"/>
  <c r="H619" i="3"/>
  <c r="H620" i="3"/>
  <c r="H621" i="3"/>
  <c r="H622" i="3"/>
  <c r="H623" i="3"/>
  <c r="H624" i="3"/>
  <c r="H625" i="3"/>
  <c r="H626" i="3"/>
  <c r="H627" i="3"/>
  <c r="H628" i="3"/>
  <c r="H629" i="3"/>
  <c r="H630" i="3"/>
  <c r="H631" i="3"/>
  <c r="H632" i="3"/>
  <c r="H633" i="3"/>
  <c r="H634" i="3"/>
  <c r="H635" i="3"/>
  <c r="H636" i="3"/>
  <c r="H637" i="3"/>
  <c r="H638" i="3"/>
  <c r="H639" i="3"/>
  <c r="H640" i="3"/>
  <c r="H641" i="3"/>
  <c r="H642" i="3"/>
  <c r="H643" i="3"/>
  <c r="H644" i="3"/>
  <c r="H645" i="3"/>
  <c r="H646" i="3"/>
  <c r="H647" i="3"/>
  <c r="H648" i="3"/>
  <c r="H649" i="3"/>
  <c r="H650" i="3"/>
  <c r="H651" i="3"/>
  <c r="H652" i="3"/>
  <c r="H653" i="3"/>
  <c r="H654" i="3"/>
  <c r="H655" i="3"/>
  <c r="H656" i="3"/>
  <c r="H657" i="3"/>
  <c r="H658" i="3"/>
  <c r="H659" i="3"/>
  <c r="H660" i="3"/>
  <c r="H661" i="3"/>
  <c r="H662" i="3"/>
  <c r="H663" i="3"/>
  <c r="H664" i="3"/>
  <c r="H665" i="3"/>
  <c r="H666" i="3"/>
  <c r="H667" i="3"/>
  <c r="H668" i="3"/>
  <c r="H669" i="3"/>
  <c r="H670" i="3"/>
  <c r="H671" i="3"/>
  <c r="H672" i="3"/>
  <c r="H673" i="3"/>
  <c r="H674" i="3"/>
  <c r="H675" i="3"/>
  <c r="H676" i="3"/>
  <c r="H677" i="3"/>
  <c r="H678" i="3"/>
  <c r="H679" i="3"/>
  <c r="H680" i="3"/>
  <c r="H681" i="3"/>
  <c r="H682" i="3"/>
  <c r="H683" i="3"/>
  <c r="H684" i="3"/>
  <c r="H685" i="3"/>
  <c r="H686" i="3"/>
  <c r="H687" i="3"/>
  <c r="H688" i="3"/>
  <c r="H689" i="3"/>
  <c r="H690" i="3"/>
  <c r="H691" i="3"/>
  <c r="H692" i="3"/>
  <c r="H693" i="3"/>
  <c r="H694" i="3"/>
  <c r="H695" i="3"/>
  <c r="H696" i="3"/>
  <c r="H697" i="3"/>
  <c r="H698" i="3"/>
  <c r="H699" i="3"/>
  <c r="H700" i="3"/>
  <c r="H701" i="3"/>
  <c r="H702" i="3"/>
  <c r="H703" i="3"/>
  <c r="H704" i="3"/>
  <c r="H705" i="3"/>
  <c r="H706" i="3"/>
  <c r="H707" i="3"/>
  <c r="H708" i="3"/>
  <c r="H709" i="3"/>
  <c r="H710" i="3"/>
  <c r="H711" i="3"/>
  <c r="H712" i="3"/>
  <c r="H713" i="3"/>
  <c r="H714" i="3"/>
  <c r="H715" i="3"/>
  <c r="H716" i="3"/>
  <c r="H717" i="3"/>
  <c r="H718" i="3"/>
  <c r="H719" i="3"/>
  <c r="H720" i="3"/>
  <c r="H721" i="3"/>
  <c r="H722" i="3"/>
  <c r="H723" i="3"/>
  <c r="H724" i="3"/>
  <c r="H725" i="3"/>
  <c r="H726" i="3"/>
  <c r="H727" i="3"/>
  <c r="H728" i="3"/>
  <c r="H729" i="3"/>
  <c r="H730" i="3"/>
  <c r="H731" i="3"/>
  <c r="H732" i="3"/>
  <c r="H733" i="3"/>
  <c r="H734" i="3"/>
  <c r="H735" i="3"/>
  <c r="H736" i="3"/>
  <c r="H737" i="3"/>
  <c r="H738" i="3"/>
  <c r="H739" i="3"/>
  <c r="H740" i="3"/>
  <c r="H741" i="3"/>
  <c r="H742" i="3"/>
  <c r="H743" i="3"/>
  <c r="H744" i="3"/>
  <c r="H745" i="3"/>
  <c r="H746" i="3"/>
  <c r="H747" i="3"/>
  <c r="H748" i="3"/>
  <c r="H749" i="3"/>
  <c r="H750" i="3"/>
  <c r="H751" i="3"/>
  <c r="H752" i="3"/>
  <c r="H753" i="3"/>
  <c r="H754" i="3"/>
  <c r="H755" i="3"/>
  <c r="H756" i="3"/>
  <c r="H757" i="3"/>
  <c r="H758" i="3"/>
  <c r="H759" i="3"/>
  <c r="H760" i="3"/>
  <c r="H761" i="3"/>
  <c r="H762" i="3"/>
  <c r="H763" i="3"/>
  <c r="H764" i="3"/>
  <c r="H765" i="3"/>
  <c r="H766" i="3"/>
  <c r="H767" i="3"/>
  <c r="H768" i="3"/>
  <c r="H769" i="3"/>
  <c r="H770" i="3"/>
  <c r="H771" i="3"/>
  <c r="H772" i="3"/>
  <c r="H773" i="3"/>
  <c r="H774" i="3"/>
  <c r="H775" i="3"/>
  <c r="H776" i="3"/>
  <c r="H777" i="3"/>
  <c r="H778" i="3"/>
  <c r="H779" i="3"/>
  <c r="H780" i="3"/>
  <c r="H781" i="3"/>
  <c r="H782" i="3"/>
  <c r="H783" i="3"/>
  <c r="H784" i="3"/>
  <c r="H785" i="3"/>
  <c r="H786" i="3"/>
  <c r="H787" i="3"/>
  <c r="H788" i="3"/>
  <c r="H789" i="3"/>
  <c r="H790" i="3"/>
  <c r="H791" i="3"/>
  <c r="H792" i="3"/>
  <c r="H793" i="3"/>
  <c r="H794" i="3"/>
  <c r="H795" i="3"/>
  <c r="H796" i="3"/>
  <c r="H797" i="3"/>
  <c r="H798" i="3"/>
  <c r="H799" i="3"/>
  <c r="H800" i="3"/>
  <c r="H801" i="3"/>
  <c r="H802" i="3"/>
  <c r="H803" i="3"/>
  <c r="H804" i="3"/>
  <c r="H805" i="3"/>
  <c r="H806" i="3"/>
  <c r="H807" i="3"/>
  <c r="H808" i="3"/>
  <c r="H809" i="3"/>
  <c r="H810" i="3"/>
  <c r="H811" i="3"/>
  <c r="H812" i="3"/>
  <c r="H813" i="3"/>
  <c r="H814" i="3"/>
  <c r="H815" i="3"/>
  <c r="H816" i="3"/>
  <c r="H817" i="3"/>
  <c r="H818" i="3"/>
  <c r="H819" i="3"/>
  <c r="H820" i="3"/>
  <c r="H821" i="3"/>
  <c r="H822" i="3"/>
  <c r="H823" i="3"/>
  <c r="H824" i="3"/>
  <c r="H825" i="3"/>
  <c r="H826" i="3"/>
  <c r="H827" i="3"/>
  <c r="H828" i="3"/>
  <c r="H829" i="3"/>
  <c r="H830" i="3"/>
  <c r="H831" i="3"/>
  <c r="H832" i="3"/>
  <c r="H833" i="3"/>
  <c r="H834" i="3"/>
  <c r="H835" i="3"/>
  <c r="H836" i="3"/>
  <c r="H837" i="3"/>
  <c r="H838" i="3"/>
  <c r="H839" i="3"/>
  <c r="H840" i="3"/>
  <c r="H841" i="3"/>
  <c r="H842" i="3"/>
  <c r="H843" i="3"/>
  <c r="H844" i="3"/>
  <c r="H845" i="3"/>
  <c r="H846" i="3"/>
  <c r="H847" i="3"/>
  <c r="H848" i="3"/>
  <c r="H849" i="3"/>
  <c r="H850" i="3"/>
  <c r="H851" i="3"/>
  <c r="H852" i="3"/>
  <c r="H853" i="3"/>
  <c r="H854" i="3"/>
  <c r="H855" i="3"/>
  <c r="H856" i="3"/>
  <c r="H857" i="3"/>
  <c r="H858" i="3"/>
  <c r="H859" i="3"/>
  <c r="H860" i="3"/>
  <c r="H861" i="3"/>
  <c r="H862" i="3"/>
  <c r="H863" i="3"/>
  <c r="H864" i="3"/>
  <c r="H865" i="3"/>
  <c r="H866" i="3"/>
  <c r="H867" i="3"/>
  <c r="H868" i="3"/>
  <c r="H869" i="3"/>
  <c r="H870" i="3"/>
  <c r="H871" i="3"/>
  <c r="H872" i="3"/>
  <c r="H873" i="3"/>
  <c r="H874" i="3"/>
  <c r="H875" i="3"/>
  <c r="H876" i="3"/>
  <c r="H877" i="3"/>
  <c r="H878" i="3"/>
  <c r="H879" i="3"/>
  <c r="H880" i="3"/>
  <c r="H881" i="3"/>
  <c r="H882" i="3"/>
  <c r="H883" i="3"/>
  <c r="H884" i="3"/>
  <c r="H885" i="3"/>
  <c r="H886" i="3"/>
  <c r="H887" i="3"/>
  <c r="H888" i="3"/>
  <c r="H889" i="3"/>
  <c r="H890" i="3"/>
  <c r="H891" i="3"/>
  <c r="H892" i="3"/>
  <c r="H893" i="3"/>
  <c r="H894" i="3"/>
  <c r="H895" i="3"/>
  <c r="H896" i="3"/>
  <c r="H897" i="3"/>
  <c r="H898" i="3"/>
  <c r="H899" i="3"/>
  <c r="H900" i="3"/>
  <c r="H901" i="3"/>
  <c r="H902" i="3"/>
  <c r="H903" i="3"/>
  <c r="H904" i="3"/>
  <c r="H905" i="3"/>
  <c r="H906" i="3"/>
  <c r="H907" i="3"/>
  <c r="H908" i="3"/>
  <c r="H909" i="3"/>
  <c r="H910" i="3"/>
  <c r="H911" i="3"/>
  <c r="H912" i="3"/>
  <c r="H913" i="3"/>
  <c r="H914" i="3"/>
  <c r="H915" i="3"/>
  <c r="H916" i="3"/>
  <c r="H917" i="3"/>
  <c r="H918" i="3"/>
  <c r="H919" i="3"/>
  <c r="H920" i="3"/>
  <c r="H921" i="3"/>
  <c r="H922" i="3"/>
  <c r="H923" i="3"/>
  <c r="H924" i="3"/>
  <c r="H925" i="3"/>
  <c r="H926" i="3"/>
  <c r="H927" i="3"/>
  <c r="H928" i="3"/>
  <c r="H929" i="3"/>
  <c r="H930" i="3"/>
  <c r="H931" i="3"/>
  <c r="H932" i="3"/>
  <c r="H933" i="3"/>
  <c r="H934" i="3"/>
  <c r="H935" i="3"/>
  <c r="H936" i="3"/>
  <c r="H937" i="3"/>
  <c r="H938" i="3"/>
  <c r="H939" i="3"/>
  <c r="H940" i="3"/>
  <c r="H941" i="3"/>
  <c r="H942" i="3"/>
  <c r="H943" i="3"/>
  <c r="H944" i="3"/>
  <c r="H945" i="3"/>
  <c r="H946" i="3"/>
  <c r="H947" i="3"/>
  <c r="H948" i="3"/>
  <c r="H949" i="3"/>
  <c r="H950" i="3"/>
  <c r="H951" i="3"/>
  <c r="H952" i="3"/>
  <c r="H953" i="3"/>
  <c r="H954" i="3"/>
  <c r="H955" i="3"/>
  <c r="H956" i="3"/>
  <c r="H957" i="3"/>
  <c r="H958" i="3"/>
  <c r="H959" i="3"/>
  <c r="H960" i="3"/>
  <c r="H961" i="3"/>
  <c r="H962" i="3"/>
  <c r="H963" i="3"/>
  <c r="H964" i="3"/>
  <c r="H965" i="3"/>
  <c r="H966" i="3"/>
  <c r="H967" i="3"/>
  <c r="H968" i="3"/>
  <c r="H969" i="3"/>
  <c r="H970" i="3"/>
  <c r="H971" i="3"/>
  <c r="H972" i="3"/>
  <c r="H973" i="3"/>
  <c r="H974" i="3"/>
  <c r="H975" i="3"/>
  <c r="H976" i="3"/>
  <c r="H977" i="3"/>
  <c r="H978" i="3"/>
  <c r="H979" i="3"/>
  <c r="H980" i="3"/>
  <c r="H981" i="3"/>
  <c r="H982" i="3"/>
  <c r="H983" i="3"/>
  <c r="H984" i="3"/>
  <c r="H985" i="3"/>
  <c r="H986" i="3"/>
  <c r="H987" i="3"/>
  <c r="H988" i="3"/>
  <c r="H989" i="3"/>
  <c r="H990" i="3"/>
  <c r="H991" i="3"/>
  <c r="H992" i="3"/>
  <c r="H993" i="3"/>
  <c r="H994" i="3"/>
  <c r="H995" i="3"/>
  <c r="H996" i="3"/>
  <c r="H997" i="3"/>
  <c r="H998" i="3"/>
  <c r="H999" i="3"/>
  <c r="H1000" i="3"/>
  <c r="I51" i="3" a="1"/>
  <c r="I51" i="3"/>
  <c r="I52" i="3" a="1"/>
  <c r="I52" i="3"/>
  <c r="I53" i="3" a="1"/>
  <c r="I53" i="3"/>
  <c r="I54" i="3" a="1"/>
  <c r="I54" i="3"/>
  <c r="I55" i="3" a="1"/>
  <c r="I55" i="3"/>
  <c r="I56" i="3" a="1"/>
  <c r="I56" i="3"/>
  <c r="I57" i="3" a="1"/>
  <c r="I57" i="3"/>
  <c r="I58" i="3" a="1"/>
  <c r="I58" i="3"/>
  <c r="I59" i="3" a="1"/>
  <c r="I59" i="3"/>
  <c r="I60" i="3" a="1"/>
  <c r="I60" i="3"/>
  <c r="I61" i="3" a="1"/>
  <c r="I61" i="3"/>
  <c r="I62" i="3" a="1"/>
  <c r="I62" i="3"/>
  <c r="I63" i="3" a="1"/>
  <c r="I63" i="3"/>
  <c r="I64" i="3" a="1"/>
  <c r="I64" i="3"/>
  <c r="I65" i="3" a="1"/>
  <c r="I65" i="3"/>
  <c r="I66" i="3" a="1"/>
  <c r="I66" i="3"/>
  <c r="I67" i="3" a="1"/>
  <c r="I67" i="3"/>
  <c r="I68" i="3" a="1"/>
  <c r="I68" i="3"/>
  <c r="I69" i="3" a="1"/>
  <c r="I69" i="3"/>
  <c r="I70" i="3" a="1"/>
  <c r="I70" i="3"/>
  <c r="I71" i="3" a="1"/>
  <c r="I71" i="3"/>
  <c r="I72" i="3" a="1"/>
  <c r="I72" i="3"/>
  <c r="I73" i="3" a="1"/>
  <c r="I73" i="3"/>
  <c r="I74" i="3" a="1"/>
  <c r="I74" i="3"/>
  <c r="I75" i="3" a="1"/>
  <c r="I75" i="3"/>
  <c r="I76" i="3" a="1"/>
  <c r="I76" i="3"/>
  <c r="I77" i="3" a="1"/>
  <c r="I77" i="3"/>
  <c r="I78" i="3" a="1"/>
  <c r="I78" i="3"/>
  <c r="I79" i="3" a="1"/>
  <c r="I79" i="3"/>
  <c r="I80" i="3" a="1"/>
  <c r="I80" i="3"/>
  <c r="I81" i="3" a="1"/>
  <c r="I81" i="3"/>
  <c r="I82" i="3" a="1"/>
  <c r="I82" i="3"/>
  <c r="I83" i="3" a="1"/>
  <c r="I83" i="3"/>
  <c r="I84" i="3" a="1"/>
  <c r="I84" i="3"/>
  <c r="I85" i="3" a="1"/>
  <c r="I85" i="3"/>
  <c r="I86" i="3" a="1"/>
  <c r="I86" i="3"/>
  <c r="I87" i="3" a="1"/>
  <c r="I87" i="3"/>
  <c r="I88" i="3" a="1"/>
  <c r="I88" i="3"/>
  <c r="I89" i="3" a="1"/>
  <c r="I89" i="3"/>
  <c r="I90" i="3" a="1"/>
  <c r="I90" i="3"/>
  <c r="I91" i="3" a="1"/>
  <c r="I91" i="3"/>
  <c r="I92" i="3" a="1"/>
  <c r="I92" i="3"/>
  <c r="I93" i="3" a="1"/>
  <c r="I93" i="3"/>
  <c r="I94" i="3" a="1"/>
  <c r="I94" i="3"/>
  <c r="I95" i="3" a="1"/>
  <c r="I95" i="3"/>
  <c r="I96" i="3" a="1"/>
  <c r="I96" i="3"/>
  <c r="I97" i="3" a="1"/>
  <c r="I97" i="3"/>
  <c r="I98" i="3" a="1"/>
  <c r="I98" i="3"/>
  <c r="I99" i="3" a="1"/>
  <c r="I99" i="3"/>
  <c r="I100" i="3" a="1"/>
  <c r="I100" i="3"/>
  <c r="I101" i="3" a="1"/>
  <c r="I101" i="3"/>
  <c r="I102" i="3" a="1"/>
  <c r="I102" i="3"/>
  <c r="I103" i="3" a="1"/>
  <c r="I103" i="3"/>
  <c r="I104" i="3" a="1"/>
  <c r="I104" i="3"/>
  <c r="I105" i="3" a="1"/>
  <c r="I105" i="3"/>
  <c r="I106" i="3" a="1"/>
  <c r="I106" i="3"/>
  <c r="I107" i="3" a="1"/>
  <c r="I107" i="3"/>
  <c r="I108" i="3" a="1"/>
  <c r="I108" i="3"/>
  <c r="I109" i="3" a="1"/>
  <c r="I109" i="3"/>
  <c r="I110" i="3" a="1"/>
  <c r="I110" i="3"/>
  <c r="I111" i="3" a="1"/>
  <c r="I111" i="3"/>
  <c r="I112" i="3" a="1"/>
  <c r="I112" i="3"/>
  <c r="I113" i="3" a="1"/>
  <c r="I113" i="3"/>
  <c r="I114" i="3" a="1"/>
  <c r="I114" i="3"/>
  <c r="I115" i="3" a="1"/>
  <c r="I115" i="3"/>
  <c r="I116" i="3" a="1"/>
  <c r="I116" i="3"/>
  <c r="I117" i="3" a="1"/>
  <c r="I117" i="3"/>
  <c r="I118" i="3" a="1"/>
  <c r="I118" i="3"/>
  <c r="I119" i="3" a="1"/>
  <c r="I119" i="3"/>
  <c r="I120" i="3" a="1"/>
  <c r="I120" i="3"/>
  <c r="I121" i="3" a="1"/>
  <c r="I121" i="3"/>
  <c r="I122" i="3" a="1"/>
  <c r="I122" i="3"/>
  <c r="I123" i="3" a="1"/>
  <c r="I123" i="3"/>
  <c r="I124" i="3" a="1"/>
  <c r="I124" i="3"/>
  <c r="I125" i="3" a="1"/>
  <c r="I125" i="3"/>
  <c r="I126" i="3" a="1"/>
  <c r="I126" i="3"/>
  <c r="I127" i="3" a="1"/>
  <c r="I127" i="3"/>
  <c r="I128" i="3" a="1"/>
  <c r="I128" i="3"/>
  <c r="I129" i="3" a="1"/>
  <c r="I129" i="3"/>
  <c r="I130" i="3" a="1"/>
  <c r="I130" i="3"/>
  <c r="I131" i="3" a="1"/>
  <c r="I131" i="3"/>
  <c r="I132" i="3" a="1"/>
  <c r="I132" i="3"/>
  <c r="I133" i="3" a="1"/>
  <c r="I133" i="3"/>
  <c r="I134" i="3" a="1"/>
  <c r="I134" i="3"/>
  <c r="I135" i="3" a="1"/>
  <c r="I135" i="3"/>
  <c r="I136" i="3" a="1"/>
  <c r="I136" i="3"/>
  <c r="I137" i="3" a="1"/>
  <c r="I137" i="3"/>
  <c r="I138" i="3" a="1"/>
  <c r="I138" i="3"/>
  <c r="I139" i="3" a="1"/>
  <c r="I139" i="3"/>
  <c r="I140" i="3" a="1"/>
  <c r="I140" i="3"/>
  <c r="I141" i="3" a="1"/>
  <c r="I141" i="3"/>
  <c r="I142" i="3" a="1"/>
  <c r="I142" i="3"/>
  <c r="I143" i="3" a="1"/>
  <c r="I143" i="3"/>
  <c r="I144" i="3" a="1"/>
  <c r="I144" i="3"/>
  <c r="I145" i="3" a="1"/>
  <c r="I145" i="3"/>
  <c r="I146" i="3" a="1"/>
  <c r="I146" i="3"/>
  <c r="I147" i="3" a="1"/>
  <c r="I147" i="3"/>
  <c r="I148" i="3" a="1"/>
  <c r="I148" i="3"/>
  <c r="I149" i="3" a="1"/>
  <c r="I149" i="3"/>
  <c r="I150" i="3" a="1"/>
  <c r="I150" i="3"/>
  <c r="I151" i="3" a="1"/>
  <c r="I151" i="3"/>
  <c r="I152" i="3" a="1"/>
  <c r="I152" i="3"/>
  <c r="I153" i="3" a="1"/>
  <c r="I153" i="3"/>
  <c r="I154" i="3" a="1"/>
  <c r="I154" i="3"/>
  <c r="I155" i="3" a="1"/>
  <c r="I155" i="3"/>
  <c r="I156" i="3" a="1"/>
  <c r="I156" i="3"/>
  <c r="I157" i="3" a="1"/>
  <c r="I157" i="3"/>
  <c r="I158" i="3" a="1"/>
  <c r="I158" i="3"/>
  <c r="I159" i="3" a="1"/>
  <c r="I159" i="3"/>
  <c r="I160" i="3" a="1"/>
  <c r="I160" i="3"/>
  <c r="I161" i="3" a="1"/>
  <c r="I161" i="3"/>
  <c r="I162" i="3" a="1"/>
  <c r="I162" i="3"/>
  <c r="I163" i="3" a="1"/>
  <c r="I163" i="3"/>
  <c r="I164" i="3" a="1"/>
  <c r="I164" i="3"/>
  <c r="I165" i="3" a="1"/>
  <c r="I165" i="3"/>
  <c r="I166" i="3" a="1"/>
  <c r="I166" i="3"/>
  <c r="I167" i="3" a="1"/>
  <c r="I167" i="3"/>
  <c r="I168" i="3" a="1"/>
  <c r="I168" i="3"/>
  <c r="I169" i="3" a="1"/>
  <c r="I169" i="3"/>
  <c r="I170" i="3" a="1"/>
  <c r="I170" i="3"/>
  <c r="I171" i="3" a="1"/>
  <c r="I171" i="3"/>
  <c r="I172" i="3" a="1"/>
  <c r="I172" i="3"/>
  <c r="I173" i="3" a="1"/>
  <c r="I173" i="3"/>
  <c r="I174" i="3" a="1"/>
  <c r="I174" i="3"/>
  <c r="I175" i="3" a="1"/>
  <c r="I175" i="3"/>
  <c r="I176" i="3" a="1"/>
  <c r="I176" i="3"/>
  <c r="I177" i="3" a="1"/>
  <c r="I177" i="3"/>
  <c r="I178" i="3" a="1"/>
  <c r="I178" i="3"/>
  <c r="I179" i="3" a="1"/>
  <c r="I179" i="3"/>
  <c r="I180" i="3" a="1"/>
  <c r="I180" i="3"/>
  <c r="I181" i="3" a="1"/>
  <c r="I181" i="3"/>
  <c r="I182" i="3" a="1"/>
  <c r="I182" i="3"/>
  <c r="I183" i="3" a="1"/>
  <c r="I183" i="3"/>
  <c r="I184" i="3" a="1"/>
  <c r="I184" i="3"/>
  <c r="I185" i="3" a="1"/>
  <c r="I185" i="3"/>
  <c r="I186" i="3" a="1"/>
  <c r="I186" i="3"/>
  <c r="I187" i="3" a="1"/>
  <c r="I187" i="3"/>
  <c r="I188" i="3" a="1"/>
  <c r="I188" i="3"/>
  <c r="I189" i="3" a="1"/>
  <c r="I189" i="3"/>
  <c r="I190" i="3" a="1"/>
  <c r="I190" i="3"/>
  <c r="I191" i="3" a="1"/>
  <c r="I191" i="3"/>
  <c r="I192" i="3" a="1"/>
  <c r="I192" i="3"/>
  <c r="I193" i="3" a="1"/>
  <c r="I193" i="3"/>
  <c r="I194" i="3" a="1"/>
  <c r="I194" i="3"/>
  <c r="I195" i="3" a="1"/>
  <c r="I195" i="3"/>
  <c r="I196" i="3" a="1"/>
  <c r="I196" i="3"/>
  <c r="I197" i="3" a="1"/>
  <c r="I197" i="3"/>
  <c r="I198" i="3" a="1"/>
  <c r="I198" i="3"/>
  <c r="I199" i="3" a="1"/>
  <c r="I199" i="3"/>
  <c r="I200" i="3" a="1"/>
  <c r="I200" i="3"/>
  <c r="I201" i="3" a="1"/>
  <c r="I201" i="3"/>
  <c r="I202" i="3" a="1"/>
  <c r="I202" i="3"/>
  <c r="I203" i="3" a="1"/>
  <c r="I203" i="3"/>
  <c r="I204" i="3" a="1"/>
  <c r="I204" i="3"/>
  <c r="I205" i="3" a="1"/>
  <c r="I205" i="3"/>
  <c r="I206" i="3" a="1"/>
  <c r="I206" i="3"/>
  <c r="I207" i="3" a="1"/>
  <c r="I207" i="3"/>
  <c r="I208" i="3" a="1"/>
  <c r="I208" i="3"/>
  <c r="I209" i="3" a="1"/>
  <c r="I209" i="3"/>
  <c r="I210" i="3" a="1"/>
  <c r="I210" i="3"/>
  <c r="I211" i="3" a="1"/>
  <c r="I211" i="3"/>
  <c r="I212" i="3" a="1"/>
  <c r="I212" i="3"/>
  <c r="I213" i="3" a="1"/>
  <c r="I213" i="3"/>
  <c r="I214" i="3" a="1"/>
  <c r="I214" i="3"/>
  <c r="I215" i="3" a="1"/>
  <c r="I215" i="3"/>
  <c r="I216" i="3" a="1"/>
  <c r="I216" i="3"/>
  <c r="I217" i="3" a="1"/>
  <c r="I217" i="3"/>
  <c r="I218" i="3" a="1"/>
  <c r="I218" i="3"/>
  <c r="I219" i="3" a="1"/>
  <c r="I219" i="3"/>
  <c r="I220" i="3" a="1"/>
  <c r="I220" i="3"/>
  <c r="I221" i="3" a="1"/>
  <c r="I221" i="3"/>
  <c r="I222" i="3" a="1"/>
  <c r="I222" i="3"/>
  <c r="I223" i="3" a="1"/>
  <c r="I223" i="3"/>
  <c r="I224" i="3" a="1"/>
  <c r="I224" i="3"/>
  <c r="I225" i="3" a="1"/>
  <c r="I225" i="3"/>
  <c r="I226" i="3" a="1"/>
  <c r="I226" i="3"/>
  <c r="I227" i="3" a="1"/>
  <c r="I227" i="3"/>
  <c r="I228" i="3" a="1"/>
  <c r="I228" i="3"/>
  <c r="I229" i="3" a="1"/>
  <c r="I229" i="3"/>
  <c r="I230" i="3" a="1"/>
  <c r="I230" i="3"/>
  <c r="I231" i="3" a="1"/>
  <c r="I231" i="3"/>
  <c r="I232" i="3" a="1"/>
  <c r="I232" i="3"/>
  <c r="I233" i="3" a="1"/>
  <c r="I233" i="3"/>
  <c r="I234" i="3" a="1"/>
  <c r="I234" i="3"/>
  <c r="I235" i="3" a="1"/>
  <c r="I235" i="3"/>
  <c r="I236" i="3" a="1"/>
  <c r="I236" i="3"/>
  <c r="I237" i="3" a="1"/>
  <c r="I237" i="3"/>
  <c r="I238" i="3" a="1"/>
  <c r="I238" i="3"/>
  <c r="I239" i="3" a="1"/>
  <c r="I239" i="3"/>
  <c r="I240" i="3" a="1"/>
  <c r="I240" i="3"/>
  <c r="I241" i="3" a="1"/>
  <c r="I241" i="3"/>
  <c r="I242" i="3" a="1"/>
  <c r="I242" i="3"/>
  <c r="I243" i="3" a="1"/>
  <c r="I243" i="3"/>
  <c r="I244" i="3" a="1"/>
  <c r="I244" i="3"/>
  <c r="I245" i="3" a="1"/>
  <c r="I245" i="3"/>
  <c r="I246" i="3" a="1"/>
  <c r="I246" i="3"/>
  <c r="I247" i="3" a="1"/>
  <c r="I247" i="3"/>
  <c r="I248" i="3" a="1"/>
  <c r="I248" i="3"/>
  <c r="I249" i="3" a="1"/>
  <c r="I249" i="3"/>
  <c r="I250" i="3" a="1"/>
  <c r="I250" i="3"/>
  <c r="I251" i="3" a="1"/>
  <c r="I251" i="3"/>
  <c r="I252" i="3" a="1"/>
  <c r="I252" i="3"/>
  <c r="I253" i="3" a="1"/>
  <c r="I253" i="3"/>
  <c r="I254" i="3" a="1"/>
  <c r="I254" i="3"/>
  <c r="I255" i="3" a="1"/>
  <c r="I255" i="3"/>
  <c r="I256" i="3" a="1"/>
  <c r="I256" i="3"/>
  <c r="I257" i="3" a="1"/>
  <c r="I257" i="3"/>
  <c r="I258" i="3" a="1"/>
  <c r="I258" i="3"/>
  <c r="I259" i="3" a="1"/>
  <c r="I259" i="3"/>
  <c r="I260" i="3" a="1"/>
  <c r="I260" i="3"/>
  <c r="I261" i="3" a="1"/>
  <c r="I261" i="3"/>
  <c r="I262" i="3" a="1"/>
  <c r="I262" i="3"/>
  <c r="I263" i="3" a="1"/>
  <c r="I263" i="3"/>
  <c r="I264" i="3" a="1"/>
  <c r="I264" i="3"/>
  <c r="I265" i="3" a="1"/>
  <c r="I265" i="3"/>
  <c r="I266" i="3" a="1"/>
  <c r="I266" i="3"/>
  <c r="I267" i="3" a="1"/>
  <c r="I267" i="3"/>
  <c r="I268" i="3" a="1"/>
  <c r="I268" i="3"/>
  <c r="I269" i="3" a="1"/>
  <c r="I269" i="3"/>
  <c r="I270" i="3" a="1"/>
  <c r="I270" i="3"/>
  <c r="I271" i="3" a="1"/>
  <c r="I271" i="3"/>
  <c r="I272" i="3" a="1"/>
  <c r="I272" i="3"/>
  <c r="I273" i="3" a="1"/>
  <c r="I273" i="3"/>
  <c r="I274" i="3" a="1"/>
  <c r="I274" i="3"/>
  <c r="I275" i="3" a="1"/>
  <c r="I275" i="3"/>
  <c r="I276" i="3" a="1"/>
  <c r="I276" i="3"/>
  <c r="I277" i="3" a="1"/>
  <c r="I277" i="3"/>
  <c r="I278" i="3" a="1"/>
  <c r="I278" i="3"/>
  <c r="I279" i="3" a="1"/>
  <c r="I279" i="3"/>
  <c r="I280" i="3" a="1"/>
  <c r="I280" i="3"/>
  <c r="I281" i="3" a="1"/>
  <c r="I281" i="3"/>
  <c r="I282" i="3" a="1"/>
  <c r="I282" i="3"/>
  <c r="I283" i="3" a="1"/>
  <c r="I283" i="3"/>
  <c r="I284" i="3" a="1"/>
  <c r="I284" i="3"/>
  <c r="I285" i="3" a="1"/>
  <c r="I285" i="3"/>
  <c r="I286" i="3" a="1"/>
  <c r="I286" i="3"/>
  <c r="I287" i="3" a="1"/>
  <c r="I287" i="3"/>
  <c r="I288" i="3" a="1"/>
  <c r="I288" i="3"/>
  <c r="I289" i="3" a="1"/>
  <c r="I289" i="3"/>
  <c r="I290" i="3" a="1"/>
  <c r="I290" i="3"/>
  <c r="I291" i="3" a="1"/>
  <c r="I291" i="3"/>
  <c r="I292" i="3" a="1"/>
  <c r="I292" i="3"/>
  <c r="I293" i="3" a="1"/>
  <c r="I293" i="3"/>
  <c r="I294" i="3" a="1"/>
  <c r="I294" i="3"/>
  <c r="I295" i="3" a="1"/>
  <c r="I295" i="3"/>
  <c r="I296" i="3" a="1"/>
  <c r="I296" i="3"/>
  <c r="I297" i="3" a="1"/>
  <c r="I297" i="3"/>
  <c r="I298" i="3" a="1"/>
  <c r="I298" i="3"/>
  <c r="I299" i="3" a="1"/>
  <c r="I299" i="3"/>
  <c r="I300" i="3" a="1"/>
  <c r="I300" i="3"/>
  <c r="I301" i="3" a="1"/>
  <c r="I301" i="3"/>
  <c r="I302" i="3" a="1"/>
  <c r="I302" i="3"/>
  <c r="I303" i="3" a="1"/>
  <c r="I303" i="3"/>
  <c r="I304" i="3" a="1"/>
  <c r="I304" i="3"/>
  <c r="I305" i="3" a="1"/>
  <c r="I305" i="3"/>
  <c r="I306" i="3" a="1"/>
  <c r="I306" i="3"/>
  <c r="I307" i="3" a="1"/>
  <c r="I307" i="3"/>
  <c r="I308" i="3" a="1"/>
  <c r="I308" i="3"/>
  <c r="I309" i="3" a="1"/>
  <c r="I309" i="3"/>
  <c r="I310" i="3" a="1"/>
  <c r="I310" i="3"/>
  <c r="I311" i="3" a="1"/>
  <c r="I311" i="3"/>
  <c r="I312" i="3" a="1"/>
  <c r="I312" i="3"/>
  <c r="I313" i="3" a="1"/>
  <c r="I313" i="3"/>
  <c r="I314" i="3" a="1"/>
  <c r="I314" i="3"/>
  <c r="I315" i="3" a="1"/>
  <c r="I315" i="3"/>
  <c r="I316" i="3" a="1"/>
  <c r="I316" i="3"/>
  <c r="I317" i="3" a="1"/>
  <c r="I317" i="3"/>
  <c r="I318" i="3" a="1"/>
  <c r="I318" i="3"/>
  <c r="I319" i="3" a="1"/>
  <c r="I319" i="3"/>
  <c r="I320" i="3" a="1"/>
  <c r="I320" i="3"/>
  <c r="I321" i="3" a="1"/>
  <c r="I321" i="3"/>
  <c r="I322" i="3" a="1"/>
  <c r="I322" i="3"/>
  <c r="I323" i="3" a="1"/>
  <c r="I323" i="3"/>
  <c r="I324" i="3" a="1"/>
  <c r="I324" i="3"/>
  <c r="I325" i="3" a="1"/>
  <c r="I325" i="3"/>
  <c r="I326" i="3" a="1"/>
  <c r="I326" i="3"/>
  <c r="I327" i="3" a="1"/>
  <c r="I327" i="3"/>
  <c r="I328" i="3" a="1"/>
  <c r="I328" i="3"/>
  <c r="I329" i="3" a="1"/>
  <c r="I329" i="3"/>
  <c r="I330" i="3" a="1"/>
  <c r="I330" i="3"/>
  <c r="I331" i="3" a="1"/>
  <c r="I331" i="3"/>
  <c r="I332" i="3" a="1"/>
  <c r="I332" i="3"/>
  <c r="I333" i="3" a="1"/>
  <c r="I333" i="3"/>
  <c r="I334" i="3" a="1"/>
  <c r="I334" i="3"/>
  <c r="I335" i="3" a="1"/>
  <c r="I335" i="3"/>
  <c r="I336" i="3" a="1"/>
  <c r="I336" i="3"/>
  <c r="I337" i="3" a="1"/>
  <c r="I337" i="3"/>
  <c r="I338" i="3" a="1"/>
  <c r="I338" i="3"/>
  <c r="I339" i="3" a="1"/>
  <c r="I339" i="3"/>
  <c r="I340" i="3" a="1"/>
  <c r="I340" i="3"/>
  <c r="I341" i="3" a="1"/>
  <c r="I341" i="3"/>
  <c r="I342" i="3" a="1"/>
  <c r="I342" i="3"/>
  <c r="I343" i="3" a="1"/>
  <c r="I343" i="3"/>
  <c r="I344" i="3" a="1"/>
  <c r="I344" i="3"/>
  <c r="I345" i="3" a="1"/>
  <c r="I345" i="3"/>
  <c r="I346" i="3" a="1"/>
  <c r="I346" i="3"/>
  <c r="I347" i="3" a="1"/>
  <c r="I347" i="3"/>
  <c r="I348" i="3" a="1"/>
  <c r="I348" i="3"/>
  <c r="I349" i="3" a="1"/>
  <c r="I349" i="3"/>
  <c r="I350" i="3" a="1"/>
  <c r="I350" i="3"/>
  <c r="I351" i="3" a="1"/>
  <c r="I351" i="3"/>
  <c r="I352" i="3" a="1"/>
  <c r="I352" i="3"/>
  <c r="I353" i="3" a="1"/>
  <c r="I353" i="3"/>
  <c r="I354" i="3" a="1"/>
  <c r="I354" i="3"/>
  <c r="I355" i="3" a="1"/>
  <c r="I355" i="3"/>
  <c r="I356" i="3" a="1"/>
  <c r="I356" i="3"/>
  <c r="I357" i="3" a="1"/>
  <c r="I357" i="3"/>
  <c r="I358" i="3" a="1"/>
  <c r="I358" i="3"/>
  <c r="I359" i="3" a="1"/>
  <c r="I359" i="3"/>
  <c r="I360" i="3" a="1"/>
  <c r="I360" i="3"/>
  <c r="I361" i="3" a="1"/>
  <c r="I361" i="3"/>
  <c r="I362" i="3" a="1"/>
  <c r="I362" i="3"/>
  <c r="I363" i="3" a="1"/>
  <c r="I363" i="3"/>
  <c r="I364" i="3" a="1"/>
  <c r="I364" i="3"/>
  <c r="I365" i="3" a="1"/>
  <c r="I365" i="3"/>
  <c r="I366" i="3" a="1"/>
  <c r="I366" i="3"/>
  <c r="I367" i="3" a="1"/>
  <c r="I367" i="3"/>
  <c r="I368" i="3" a="1"/>
  <c r="I368" i="3"/>
  <c r="I369" i="3" a="1"/>
  <c r="I369" i="3"/>
  <c r="I370" i="3" a="1"/>
  <c r="I370" i="3"/>
  <c r="I371" i="3" a="1"/>
  <c r="I371" i="3"/>
  <c r="I372" i="3" a="1"/>
  <c r="I372" i="3"/>
  <c r="I373" i="3" a="1"/>
  <c r="I373" i="3"/>
  <c r="I374" i="3" a="1"/>
  <c r="I374" i="3"/>
  <c r="I375" i="3" a="1"/>
  <c r="I375" i="3"/>
  <c r="I376" i="3" a="1"/>
  <c r="I376" i="3"/>
  <c r="I377" i="3" a="1"/>
  <c r="I377" i="3"/>
  <c r="I378" i="3" a="1"/>
  <c r="I378" i="3"/>
  <c r="I379" i="3" a="1"/>
  <c r="I379" i="3"/>
  <c r="I380" i="3" a="1"/>
  <c r="I380" i="3"/>
  <c r="I381" i="3" a="1"/>
  <c r="I381" i="3"/>
  <c r="I382" i="3" a="1"/>
  <c r="I382" i="3"/>
  <c r="I383" i="3" a="1"/>
  <c r="I383" i="3"/>
  <c r="I384" i="3" a="1"/>
  <c r="I384" i="3"/>
  <c r="I385" i="3" a="1"/>
  <c r="I385" i="3"/>
  <c r="I386" i="3" a="1"/>
  <c r="I386" i="3"/>
  <c r="I387" i="3" a="1"/>
  <c r="I387" i="3"/>
  <c r="I388" i="3" a="1"/>
  <c r="I388" i="3"/>
  <c r="I389" i="3" a="1"/>
  <c r="I389" i="3"/>
  <c r="I390" i="3" a="1"/>
  <c r="I390" i="3"/>
  <c r="I391" i="3" a="1"/>
  <c r="I391" i="3"/>
  <c r="I392" i="3" a="1"/>
  <c r="I392" i="3"/>
  <c r="I393" i="3" a="1"/>
  <c r="I393" i="3"/>
  <c r="I394" i="3" a="1"/>
  <c r="I394" i="3"/>
  <c r="I395" i="3" a="1"/>
  <c r="I395" i="3"/>
  <c r="I396" i="3" a="1"/>
  <c r="I396" i="3"/>
  <c r="I397" i="3" a="1"/>
  <c r="I397" i="3"/>
  <c r="I398" i="3" a="1"/>
  <c r="I398" i="3"/>
  <c r="I399" i="3" a="1"/>
  <c r="I399" i="3"/>
  <c r="I400" i="3" a="1"/>
  <c r="I400" i="3"/>
  <c r="I401" i="3" a="1"/>
  <c r="I401" i="3"/>
  <c r="I402" i="3" a="1"/>
  <c r="I402" i="3"/>
  <c r="I403" i="3" a="1"/>
  <c r="I403" i="3"/>
  <c r="I404" i="3" a="1"/>
  <c r="I404" i="3"/>
  <c r="I405" i="3" a="1"/>
  <c r="I405" i="3"/>
  <c r="I406" i="3" a="1"/>
  <c r="I406" i="3"/>
  <c r="I407" i="3" a="1"/>
  <c r="I407" i="3"/>
  <c r="I408" i="3" a="1"/>
  <c r="I408" i="3"/>
  <c r="I409" i="3" a="1"/>
  <c r="I409" i="3"/>
  <c r="I410" i="3" a="1"/>
  <c r="I410" i="3"/>
  <c r="I411" i="3" a="1"/>
  <c r="I411" i="3"/>
  <c r="I412" i="3" a="1"/>
  <c r="I412" i="3"/>
  <c r="I413" i="3" a="1"/>
  <c r="I413" i="3"/>
  <c r="I414" i="3" a="1"/>
  <c r="I414" i="3"/>
  <c r="I415" i="3" a="1"/>
  <c r="I415" i="3"/>
  <c r="I416" i="3" a="1"/>
  <c r="I416" i="3"/>
  <c r="I417" i="3" a="1"/>
  <c r="I417" i="3"/>
  <c r="I418" i="3" a="1"/>
  <c r="I418" i="3"/>
  <c r="I419" i="3" a="1"/>
  <c r="I419" i="3"/>
  <c r="I420" i="3" a="1"/>
  <c r="I420" i="3"/>
  <c r="I421" i="3" a="1"/>
  <c r="I421" i="3"/>
  <c r="I422" i="3" a="1"/>
  <c r="I422" i="3"/>
  <c r="I423" i="3" a="1"/>
  <c r="I423" i="3"/>
  <c r="I424" i="3" a="1"/>
  <c r="I424" i="3"/>
  <c r="I425" i="3" a="1"/>
  <c r="I425" i="3"/>
  <c r="I426" i="3" a="1"/>
  <c r="I426" i="3"/>
  <c r="I427" i="3" a="1"/>
  <c r="I427" i="3"/>
  <c r="I428" i="3" a="1"/>
  <c r="I428" i="3"/>
  <c r="I429" i="3" a="1"/>
  <c r="I429" i="3"/>
  <c r="I430" i="3" a="1"/>
  <c r="I430" i="3"/>
  <c r="I431" i="3" a="1"/>
  <c r="I431" i="3"/>
  <c r="I432" i="3" a="1"/>
  <c r="I432" i="3"/>
  <c r="I433" i="3" a="1"/>
  <c r="I433" i="3"/>
  <c r="I434" i="3" a="1"/>
  <c r="I434" i="3"/>
  <c r="I435" i="3" a="1"/>
  <c r="I435" i="3"/>
  <c r="I436" i="3" a="1"/>
  <c r="I436" i="3"/>
  <c r="I437" i="3" a="1"/>
  <c r="I437" i="3"/>
  <c r="I438" i="3" a="1"/>
  <c r="I438" i="3"/>
  <c r="I439" i="3" a="1"/>
  <c r="I439" i="3"/>
  <c r="I440" i="3" a="1"/>
  <c r="I440" i="3"/>
  <c r="I441" i="3" a="1"/>
  <c r="I441" i="3"/>
  <c r="I442" i="3" a="1"/>
  <c r="I442" i="3"/>
  <c r="I443" i="3" a="1"/>
  <c r="I443" i="3"/>
  <c r="I444" i="3" a="1"/>
  <c r="I444" i="3"/>
  <c r="I445" i="3" a="1"/>
  <c r="I445" i="3"/>
  <c r="I446" i="3" a="1"/>
  <c r="I446" i="3"/>
  <c r="I447" i="3" a="1"/>
  <c r="I447" i="3"/>
  <c r="I448" i="3" a="1"/>
  <c r="I448" i="3"/>
  <c r="I449" i="3" a="1"/>
  <c r="I449" i="3"/>
  <c r="I450" i="3" a="1"/>
  <c r="I450" i="3"/>
  <c r="I451" i="3" a="1"/>
  <c r="I451" i="3"/>
  <c r="I452" i="3" a="1"/>
  <c r="I452" i="3"/>
  <c r="I453" i="3" a="1"/>
  <c r="I453" i="3"/>
  <c r="I454" i="3" a="1"/>
  <c r="I454" i="3"/>
  <c r="I455" i="3" a="1"/>
  <c r="I455" i="3"/>
  <c r="I456" i="3" a="1"/>
  <c r="I456" i="3"/>
  <c r="I457" i="3" a="1"/>
  <c r="I457" i="3"/>
  <c r="I458" i="3" a="1"/>
  <c r="I458" i="3"/>
  <c r="I459" i="3" a="1"/>
  <c r="I459" i="3"/>
  <c r="I460" i="3" a="1"/>
  <c r="I460" i="3"/>
  <c r="I461" i="3" a="1"/>
  <c r="I461" i="3"/>
  <c r="I462" i="3" a="1"/>
  <c r="I462" i="3"/>
  <c r="I463" i="3" a="1"/>
  <c r="I463" i="3"/>
  <c r="I464" i="3" a="1"/>
  <c r="I464" i="3"/>
  <c r="I465" i="3" a="1"/>
  <c r="I465" i="3"/>
  <c r="I466" i="3" a="1"/>
  <c r="I466" i="3"/>
  <c r="I467" i="3" a="1"/>
  <c r="I467" i="3"/>
  <c r="I468" i="3" a="1"/>
  <c r="I468" i="3"/>
  <c r="I469" i="3" a="1"/>
  <c r="I469" i="3"/>
  <c r="I470" i="3" a="1"/>
  <c r="I470" i="3"/>
  <c r="I471" i="3" a="1"/>
  <c r="I471" i="3"/>
  <c r="I472" i="3" a="1"/>
  <c r="I472" i="3"/>
  <c r="I473" i="3" a="1"/>
  <c r="I473" i="3"/>
  <c r="I474" i="3" a="1"/>
  <c r="I474" i="3"/>
  <c r="I475" i="3" a="1"/>
  <c r="I475" i="3"/>
  <c r="I476" i="3" a="1"/>
  <c r="I476" i="3"/>
  <c r="I477" i="3" a="1"/>
  <c r="I477" i="3"/>
  <c r="I478" i="3" a="1"/>
  <c r="I478" i="3"/>
  <c r="I479" i="3" a="1"/>
  <c r="I479" i="3"/>
  <c r="I480" i="3" a="1"/>
  <c r="I480" i="3"/>
  <c r="I481" i="3" a="1"/>
  <c r="I481" i="3"/>
  <c r="I482" i="3" a="1"/>
  <c r="I482" i="3"/>
  <c r="I483" i="3" a="1"/>
  <c r="I483" i="3"/>
  <c r="I484" i="3" a="1"/>
  <c r="I484" i="3"/>
  <c r="I485" i="3" a="1"/>
  <c r="I485" i="3"/>
  <c r="I486" i="3" a="1"/>
  <c r="I486" i="3"/>
  <c r="I487" i="3" a="1"/>
  <c r="I487" i="3"/>
  <c r="I488" i="3" a="1"/>
  <c r="I488" i="3"/>
  <c r="I489" i="3" a="1"/>
  <c r="I489" i="3"/>
  <c r="I490" i="3" a="1"/>
  <c r="I490" i="3"/>
  <c r="I491" i="3" a="1"/>
  <c r="I491" i="3"/>
  <c r="I492" i="3" a="1"/>
  <c r="I492" i="3"/>
  <c r="I493" i="3" a="1"/>
  <c r="I493" i="3"/>
  <c r="I494" i="3" a="1"/>
  <c r="I494" i="3"/>
  <c r="I495" i="3" a="1"/>
  <c r="I495" i="3"/>
  <c r="I496" i="3" a="1"/>
  <c r="I496" i="3"/>
  <c r="I497" i="3" a="1"/>
  <c r="I497" i="3"/>
  <c r="I498" i="3" a="1"/>
  <c r="I498" i="3"/>
  <c r="I499" i="3" a="1"/>
  <c r="I499" i="3"/>
  <c r="I500" i="3" a="1"/>
  <c r="I500" i="3"/>
  <c r="I501" i="3" a="1"/>
  <c r="I501" i="3"/>
  <c r="I502" i="3" a="1"/>
  <c r="I502" i="3"/>
  <c r="I503" i="3" a="1"/>
  <c r="I503" i="3"/>
  <c r="I504" i="3" a="1"/>
  <c r="I504" i="3"/>
  <c r="I505" i="3" a="1"/>
  <c r="I505" i="3"/>
  <c r="I506" i="3" a="1"/>
  <c r="I506" i="3"/>
  <c r="I507" i="3" a="1"/>
  <c r="I507" i="3"/>
  <c r="I508" i="3" a="1"/>
  <c r="I508" i="3"/>
  <c r="I509" i="3" a="1"/>
  <c r="I509" i="3"/>
  <c r="I510" i="3" a="1"/>
  <c r="I510" i="3"/>
  <c r="I511" i="3" a="1"/>
  <c r="I511" i="3"/>
  <c r="I512" i="3" a="1"/>
  <c r="I512" i="3"/>
  <c r="I513" i="3" a="1"/>
  <c r="I513" i="3"/>
  <c r="I514" i="3" a="1"/>
  <c r="I514" i="3"/>
  <c r="I515" i="3" a="1"/>
  <c r="I515" i="3"/>
  <c r="I516" i="3" a="1"/>
  <c r="I516" i="3"/>
  <c r="I517" i="3" a="1"/>
  <c r="I517" i="3"/>
  <c r="I518" i="3" a="1"/>
  <c r="I518" i="3"/>
  <c r="I519" i="3" a="1"/>
  <c r="I519" i="3"/>
  <c r="I520" i="3" a="1"/>
  <c r="I520" i="3"/>
  <c r="I521" i="3" a="1"/>
  <c r="I521" i="3"/>
  <c r="I522" i="3" a="1"/>
  <c r="I522" i="3"/>
  <c r="I523" i="3" a="1"/>
  <c r="I523" i="3"/>
  <c r="I524" i="3" a="1"/>
  <c r="I524" i="3"/>
  <c r="I525" i="3" a="1"/>
  <c r="I525" i="3"/>
  <c r="I526" i="3" a="1"/>
  <c r="I526" i="3"/>
  <c r="I527" i="3" a="1"/>
  <c r="I527" i="3"/>
  <c r="I528" i="3" a="1"/>
  <c r="I528" i="3"/>
  <c r="I529" i="3" a="1"/>
  <c r="I529" i="3"/>
  <c r="I530" i="3" a="1"/>
  <c r="I530" i="3"/>
  <c r="I531" i="3" a="1"/>
  <c r="I531" i="3"/>
  <c r="I532" i="3" a="1"/>
  <c r="I532" i="3"/>
  <c r="I533" i="3" a="1"/>
  <c r="I533" i="3"/>
  <c r="I534" i="3" a="1"/>
  <c r="I534" i="3"/>
  <c r="I535" i="3" a="1"/>
  <c r="I535" i="3"/>
  <c r="I536" i="3" a="1"/>
  <c r="I536" i="3"/>
  <c r="I537" i="3" a="1"/>
  <c r="I537" i="3"/>
  <c r="I538" i="3" a="1"/>
  <c r="I538" i="3"/>
  <c r="I539" i="3" a="1"/>
  <c r="I539" i="3"/>
  <c r="I540" i="3" a="1"/>
  <c r="I540" i="3"/>
  <c r="I541" i="3" a="1"/>
  <c r="I541" i="3"/>
  <c r="I542" i="3" a="1"/>
  <c r="I542" i="3"/>
  <c r="I543" i="3" a="1"/>
  <c r="I543" i="3"/>
  <c r="I544" i="3" a="1"/>
  <c r="I544" i="3"/>
  <c r="I545" i="3" a="1"/>
  <c r="I545" i="3"/>
  <c r="I546" i="3" a="1"/>
  <c r="I546" i="3"/>
  <c r="I547" i="3" a="1"/>
  <c r="I547" i="3"/>
  <c r="I548" i="3" a="1"/>
  <c r="I548" i="3"/>
  <c r="I549" i="3" a="1"/>
  <c r="I549" i="3"/>
  <c r="I550" i="3" a="1"/>
  <c r="I550" i="3"/>
  <c r="I551" i="3" a="1"/>
  <c r="I551" i="3"/>
  <c r="I552" i="3" a="1"/>
  <c r="I552" i="3"/>
  <c r="I553" i="3" a="1"/>
  <c r="I553" i="3"/>
  <c r="I554" i="3" a="1"/>
  <c r="I554" i="3"/>
  <c r="I555" i="3" a="1"/>
  <c r="I555" i="3"/>
  <c r="I556" i="3" a="1"/>
  <c r="I556" i="3"/>
  <c r="I557" i="3" a="1"/>
  <c r="I557" i="3"/>
  <c r="I558" i="3" a="1"/>
  <c r="I558" i="3"/>
  <c r="I559" i="3" a="1"/>
  <c r="I559" i="3"/>
  <c r="I560" i="3" a="1"/>
  <c r="I560" i="3"/>
  <c r="I561" i="3" a="1"/>
  <c r="I561" i="3"/>
  <c r="I562" i="3" a="1"/>
  <c r="I562" i="3"/>
  <c r="I563" i="3" a="1"/>
  <c r="I563" i="3"/>
  <c r="I564" i="3" a="1"/>
  <c r="I564" i="3"/>
  <c r="I565" i="3" a="1"/>
  <c r="I565" i="3"/>
  <c r="I566" i="3" a="1"/>
  <c r="I566" i="3"/>
  <c r="I567" i="3" a="1"/>
  <c r="I567" i="3"/>
  <c r="I568" i="3" a="1"/>
  <c r="I568" i="3"/>
  <c r="I569" i="3" a="1"/>
  <c r="I569" i="3"/>
  <c r="I570" i="3" a="1"/>
  <c r="I570" i="3"/>
  <c r="I571" i="3" a="1"/>
  <c r="I571" i="3"/>
  <c r="I572" i="3" a="1"/>
  <c r="I572" i="3"/>
  <c r="I573" i="3" a="1"/>
  <c r="I573" i="3"/>
  <c r="I574" i="3" a="1"/>
  <c r="I574" i="3"/>
  <c r="I575" i="3" a="1"/>
  <c r="I575" i="3"/>
  <c r="I576" i="3" a="1"/>
  <c r="I576" i="3"/>
  <c r="I577" i="3" a="1"/>
  <c r="I577" i="3"/>
  <c r="I578" i="3" a="1"/>
  <c r="I578" i="3"/>
  <c r="I579" i="3" a="1"/>
  <c r="I579" i="3"/>
  <c r="I580" i="3" a="1"/>
  <c r="I580" i="3"/>
  <c r="I581" i="3" a="1"/>
  <c r="I581" i="3"/>
  <c r="I582" i="3" a="1"/>
  <c r="I582" i="3"/>
  <c r="I583" i="3" a="1"/>
  <c r="I583" i="3"/>
  <c r="I584" i="3" a="1"/>
  <c r="I584" i="3"/>
  <c r="I585" i="3" a="1"/>
  <c r="I585" i="3"/>
  <c r="I586" i="3" a="1"/>
  <c r="I586" i="3"/>
  <c r="I587" i="3" a="1"/>
  <c r="I587" i="3"/>
  <c r="I588" i="3" a="1"/>
  <c r="I588" i="3"/>
  <c r="I589" i="3" a="1"/>
  <c r="I589" i="3"/>
  <c r="I590" i="3" a="1"/>
  <c r="I590" i="3"/>
  <c r="I591" i="3" a="1"/>
  <c r="I591" i="3"/>
  <c r="I592" i="3" a="1"/>
  <c r="I592" i="3"/>
  <c r="I593" i="3" a="1"/>
  <c r="I593" i="3"/>
  <c r="I594" i="3" a="1"/>
  <c r="I594" i="3"/>
  <c r="I595" i="3" a="1"/>
  <c r="I595" i="3"/>
  <c r="I596" i="3" a="1"/>
  <c r="I596" i="3"/>
  <c r="I597" i="3" a="1"/>
  <c r="I597" i="3"/>
  <c r="I598" i="3" a="1"/>
  <c r="I598" i="3"/>
  <c r="I599" i="3" a="1"/>
  <c r="I599" i="3"/>
  <c r="I600" i="3" a="1"/>
  <c r="I600" i="3"/>
  <c r="I601" i="3" a="1"/>
  <c r="I601" i="3"/>
  <c r="I602" i="3" a="1"/>
  <c r="I602" i="3"/>
  <c r="I603" i="3" a="1"/>
  <c r="I603" i="3"/>
  <c r="I604" i="3" a="1"/>
  <c r="I604" i="3"/>
  <c r="I605" i="3" a="1"/>
  <c r="I605" i="3"/>
  <c r="I606" i="3" a="1"/>
  <c r="I606" i="3"/>
  <c r="I607" i="3" a="1"/>
  <c r="I607" i="3"/>
  <c r="I608" i="3" a="1"/>
  <c r="I608" i="3"/>
  <c r="I609" i="3" a="1"/>
  <c r="I609" i="3"/>
  <c r="I610" i="3" a="1"/>
  <c r="I610" i="3"/>
  <c r="I611" i="3" a="1"/>
  <c r="I611" i="3"/>
  <c r="I612" i="3" a="1"/>
  <c r="I612" i="3"/>
  <c r="I613" i="3" a="1"/>
  <c r="I613" i="3"/>
  <c r="I614" i="3" a="1"/>
  <c r="I614" i="3"/>
  <c r="I615" i="3" a="1"/>
  <c r="I615" i="3"/>
  <c r="I616" i="3" a="1"/>
  <c r="I616" i="3"/>
  <c r="I617" i="3" a="1"/>
  <c r="I617" i="3"/>
  <c r="I618" i="3" a="1"/>
  <c r="I618" i="3"/>
  <c r="I619" i="3" a="1"/>
  <c r="I619" i="3"/>
  <c r="I620" i="3" a="1"/>
  <c r="I620" i="3"/>
  <c r="I621" i="3" a="1"/>
  <c r="I621" i="3"/>
  <c r="I622" i="3" a="1"/>
  <c r="I622" i="3"/>
  <c r="I623" i="3" a="1"/>
  <c r="I623" i="3"/>
  <c r="I624" i="3" a="1"/>
  <c r="I624" i="3"/>
  <c r="I625" i="3" a="1"/>
  <c r="I625" i="3"/>
  <c r="I626" i="3" a="1"/>
  <c r="I626" i="3"/>
  <c r="I627" i="3" a="1"/>
  <c r="I627" i="3"/>
  <c r="I628" i="3" a="1"/>
  <c r="I628" i="3"/>
  <c r="I629" i="3" a="1"/>
  <c r="I629" i="3"/>
  <c r="I630" i="3" a="1"/>
  <c r="I630" i="3"/>
  <c r="I631" i="3" a="1"/>
  <c r="I631" i="3"/>
  <c r="I632" i="3" a="1"/>
  <c r="I632" i="3"/>
  <c r="I633" i="3" a="1"/>
  <c r="I633" i="3"/>
  <c r="I634" i="3" a="1"/>
  <c r="I634" i="3"/>
  <c r="I635" i="3" a="1"/>
  <c r="I635" i="3"/>
  <c r="I636" i="3" a="1"/>
  <c r="I636" i="3"/>
  <c r="I637" i="3" a="1"/>
  <c r="I637" i="3"/>
  <c r="I638" i="3" a="1"/>
  <c r="I638" i="3"/>
  <c r="I639" i="3" a="1"/>
  <c r="I639" i="3"/>
  <c r="I640" i="3" a="1"/>
  <c r="I640" i="3"/>
  <c r="I641" i="3" a="1"/>
  <c r="I641" i="3"/>
  <c r="I642" i="3" a="1"/>
  <c r="I642" i="3"/>
  <c r="I643" i="3" a="1"/>
  <c r="I643" i="3"/>
  <c r="I644" i="3" a="1"/>
  <c r="I644" i="3"/>
  <c r="I645" i="3" a="1"/>
  <c r="I645" i="3"/>
  <c r="I646" i="3" a="1"/>
  <c r="I646" i="3"/>
  <c r="I647" i="3" a="1"/>
  <c r="I647" i="3"/>
  <c r="I648" i="3" a="1"/>
  <c r="I648" i="3"/>
  <c r="I649" i="3" a="1"/>
  <c r="I649" i="3"/>
  <c r="I650" i="3" a="1"/>
  <c r="I650" i="3"/>
  <c r="I651" i="3" a="1"/>
  <c r="I651" i="3"/>
  <c r="I652" i="3" a="1"/>
  <c r="I652" i="3"/>
  <c r="I653" i="3" a="1"/>
  <c r="I653" i="3"/>
  <c r="I654" i="3" a="1"/>
  <c r="I654" i="3"/>
  <c r="I655" i="3" a="1"/>
  <c r="I655" i="3"/>
  <c r="I656" i="3" a="1"/>
  <c r="I656" i="3"/>
  <c r="I657" i="3" a="1"/>
  <c r="I657" i="3"/>
  <c r="I658" i="3" a="1"/>
  <c r="I658" i="3"/>
  <c r="I659" i="3" a="1"/>
  <c r="I659" i="3"/>
  <c r="I660" i="3" a="1"/>
  <c r="I660" i="3"/>
  <c r="I661" i="3" a="1"/>
  <c r="I661" i="3"/>
  <c r="I662" i="3" a="1"/>
  <c r="I662" i="3"/>
  <c r="I663" i="3" a="1"/>
  <c r="I663" i="3"/>
  <c r="I664" i="3" a="1"/>
  <c r="I664" i="3"/>
  <c r="I665" i="3" a="1"/>
  <c r="I665" i="3"/>
  <c r="I666" i="3" a="1"/>
  <c r="I666" i="3"/>
  <c r="I667" i="3" a="1"/>
  <c r="I667" i="3"/>
  <c r="I668" i="3" a="1"/>
  <c r="I668" i="3"/>
  <c r="I669" i="3" a="1"/>
  <c r="I669" i="3"/>
  <c r="I670" i="3" a="1"/>
  <c r="I670" i="3"/>
  <c r="I671" i="3" a="1"/>
  <c r="I671" i="3"/>
  <c r="I672" i="3" a="1"/>
  <c r="I672" i="3"/>
  <c r="I673" i="3" a="1"/>
  <c r="I673" i="3"/>
  <c r="I674" i="3" a="1"/>
  <c r="I674" i="3"/>
  <c r="I675" i="3" a="1"/>
  <c r="I675" i="3"/>
  <c r="I676" i="3" a="1"/>
  <c r="I676" i="3"/>
  <c r="I677" i="3" a="1"/>
  <c r="I677" i="3"/>
  <c r="I678" i="3" a="1"/>
  <c r="I678" i="3"/>
  <c r="I679" i="3" a="1"/>
  <c r="I679" i="3"/>
  <c r="I680" i="3" a="1"/>
  <c r="I680" i="3"/>
  <c r="I681" i="3" a="1"/>
  <c r="I681" i="3"/>
  <c r="I682" i="3" a="1"/>
  <c r="I682" i="3"/>
  <c r="I683" i="3" a="1"/>
  <c r="I683" i="3"/>
  <c r="I684" i="3" a="1"/>
  <c r="I684" i="3"/>
  <c r="I685" i="3" a="1"/>
  <c r="I685" i="3"/>
  <c r="I686" i="3" a="1"/>
  <c r="I686" i="3"/>
  <c r="I687" i="3" a="1"/>
  <c r="I687" i="3"/>
  <c r="I688" i="3" a="1"/>
  <c r="I688" i="3"/>
  <c r="I689" i="3" a="1"/>
  <c r="I689" i="3"/>
  <c r="I690" i="3" a="1"/>
  <c r="I690" i="3"/>
  <c r="I691" i="3" a="1"/>
  <c r="I691" i="3"/>
  <c r="I692" i="3" a="1"/>
  <c r="I692" i="3"/>
  <c r="I693" i="3" a="1"/>
  <c r="I693" i="3"/>
  <c r="I694" i="3" a="1"/>
  <c r="I694" i="3"/>
  <c r="I695" i="3" a="1"/>
  <c r="I695" i="3"/>
  <c r="I696" i="3" a="1"/>
  <c r="I696" i="3"/>
  <c r="I697" i="3" a="1"/>
  <c r="I697" i="3"/>
  <c r="I698" i="3" a="1"/>
  <c r="I698" i="3"/>
  <c r="I699" i="3" a="1"/>
  <c r="I699" i="3"/>
  <c r="I700" i="3" a="1"/>
  <c r="I700" i="3"/>
  <c r="I701" i="3" a="1"/>
  <c r="I701" i="3"/>
  <c r="I702" i="3" a="1"/>
  <c r="I702" i="3"/>
  <c r="I703" i="3" a="1"/>
  <c r="I703" i="3"/>
  <c r="I704" i="3" a="1"/>
  <c r="I704" i="3"/>
  <c r="I705" i="3" a="1"/>
  <c r="I705" i="3"/>
  <c r="I706" i="3" a="1"/>
  <c r="I706" i="3"/>
  <c r="I707" i="3" a="1"/>
  <c r="I707" i="3"/>
  <c r="I708" i="3" a="1"/>
  <c r="I708" i="3"/>
  <c r="I709" i="3" a="1"/>
  <c r="I709" i="3"/>
  <c r="I710" i="3" a="1"/>
  <c r="I710" i="3"/>
  <c r="I711" i="3" a="1"/>
  <c r="I711" i="3"/>
  <c r="I712" i="3" a="1"/>
  <c r="I712" i="3"/>
  <c r="I713" i="3" a="1"/>
  <c r="I713" i="3"/>
  <c r="I714" i="3" a="1"/>
  <c r="I714" i="3"/>
  <c r="I715" i="3" a="1"/>
  <c r="I715" i="3"/>
  <c r="I716" i="3" a="1"/>
  <c r="I716" i="3"/>
  <c r="I717" i="3" a="1"/>
  <c r="I717" i="3"/>
  <c r="I718" i="3" a="1"/>
  <c r="I718" i="3"/>
  <c r="I719" i="3" a="1"/>
  <c r="I719" i="3"/>
  <c r="I720" i="3" a="1"/>
  <c r="I720" i="3"/>
  <c r="I721" i="3" a="1"/>
  <c r="I721" i="3"/>
  <c r="I722" i="3" a="1"/>
  <c r="I722" i="3"/>
  <c r="I723" i="3" a="1"/>
  <c r="I723" i="3"/>
  <c r="I724" i="3" a="1"/>
  <c r="I724" i="3"/>
  <c r="I725" i="3" a="1"/>
  <c r="I725" i="3"/>
  <c r="I726" i="3" a="1"/>
  <c r="I726" i="3"/>
  <c r="I727" i="3" a="1"/>
  <c r="I727" i="3"/>
  <c r="I728" i="3" a="1"/>
  <c r="I728" i="3"/>
  <c r="I729" i="3" a="1"/>
  <c r="I729" i="3"/>
  <c r="I730" i="3" a="1"/>
  <c r="I730" i="3"/>
  <c r="I731" i="3" a="1"/>
  <c r="I731" i="3"/>
  <c r="I732" i="3" a="1"/>
  <c r="I732" i="3"/>
  <c r="I733" i="3" a="1"/>
  <c r="I733" i="3"/>
  <c r="I734" i="3" a="1"/>
  <c r="I734" i="3"/>
  <c r="I735" i="3" a="1"/>
  <c r="I735" i="3"/>
  <c r="I736" i="3" a="1"/>
  <c r="I736" i="3"/>
  <c r="I737" i="3" a="1"/>
  <c r="I737" i="3"/>
  <c r="I738" i="3" a="1"/>
  <c r="I738" i="3"/>
  <c r="I739" i="3" a="1"/>
  <c r="I739" i="3"/>
  <c r="I740" i="3" a="1"/>
  <c r="I740" i="3"/>
  <c r="I741" i="3" a="1"/>
  <c r="I741" i="3"/>
  <c r="I742" i="3" a="1"/>
  <c r="I742" i="3"/>
  <c r="I743" i="3" a="1"/>
  <c r="I743" i="3"/>
  <c r="I744" i="3" a="1"/>
  <c r="I744" i="3"/>
  <c r="I745" i="3" a="1"/>
  <c r="I745" i="3"/>
  <c r="I746" i="3" a="1"/>
  <c r="I746" i="3"/>
  <c r="I747" i="3" a="1"/>
  <c r="I747" i="3"/>
  <c r="I748" i="3" a="1"/>
  <c r="I748" i="3"/>
  <c r="I749" i="3" a="1"/>
  <c r="I749" i="3"/>
  <c r="I750" i="3" a="1"/>
  <c r="I750" i="3"/>
  <c r="I751" i="3" a="1"/>
  <c r="I751" i="3"/>
  <c r="I752" i="3" a="1"/>
  <c r="I752" i="3"/>
  <c r="I753" i="3" a="1"/>
  <c r="I753" i="3"/>
  <c r="I754" i="3" a="1"/>
  <c r="I754" i="3"/>
  <c r="I755" i="3" a="1"/>
  <c r="I755" i="3"/>
  <c r="I756" i="3" a="1"/>
  <c r="I756" i="3"/>
  <c r="I757" i="3" a="1"/>
  <c r="I757" i="3"/>
  <c r="I758" i="3" a="1"/>
  <c r="I758" i="3"/>
  <c r="I759" i="3" a="1"/>
  <c r="I759" i="3"/>
  <c r="I760" i="3" a="1"/>
  <c r="I760" i="3"/>
  <c r="I761" i="3" a="1"/>
  <c r="I761" i="3"/>
  <c r="I762" i="3" a="1"/>
  <c r="I762" i="3"/>
  <c r="I763" i="3" a="1"/>
  <c r="I763" i="3"/>
  <c r="I764" i="3" a="1"/>
  <c r="I764" i="3"/>
  <c r="I765" i="3" a="1"/>
  <c r="I765" i="3"/>
  <c r="I766" i="3" a="1"/>
  <c r="I766" i="3"/>
  <c r="I767" i="3" a="1"/>
  <c r="I767" i="3"/>
  <c r="I768" i="3" a="1"/>
  <c r="I768" i="3"/>
  <c r="I769" i="3" a="1"/>
  <c r="I769" i="3"/>
  <c r="I770" i="3" a="1"/>
  <c r="I770" i="3"/>
  <c r="I771" i="3" a="1"/>
  <c r="I771" i="3"/>
  <c r="I772" i="3" a="1"/>
  <c r="I772" i="3"/>
  <c r="I773" i="3" a="1"/>
  <c r="I773" i="3"/>
  <c r="I774" i="3" a="1"/>
  <c r="I774" i="3"/>
  <c r="I775" i="3" a="1"/>
  <c r="I775" i="3"/>
  <c r="I776" i="3" a="1"/>
  <c r="I776" i="3"/>
  <c r="I777" i="3" a="1"/>
  <c r="I777" i="3"/>
  <c r="I778" i="3" a="1"/>
  <c r="I778" i="3"/>
  <c r="I779" i="3" a="1"/>
  <c r="I779" i="3"/>
  <c r="I780" i="3" a="1"/>
  <c r="I780" i="3"/>
  <c r="I781" i="3" a="1"/>
  <c r="I781" i="3"/>
  <c r="I782" i="3" a="1"/>
  <c r="I782" i="3"/>
  <c r="I783" i="3" a="1"/>
  <c r="I783" i="3"/>
  <c r="I784" i="3" a="1"/>
  <c r="I784" i="3"/>
  <c r="I785" i="3" a="1"/>
  <c r="I785" i="3"/>
  <c r="I786" i="3" a="1"/>
  <c r="I786" i="3"/>
  <c r="I787" i="3" a="1"/>
  <c r="I787" i="3"/>
  <c r="I788" i="3" a="1"/>
  <c r="I788" i="3"/>
  <c r="I789" i="3" a="1"/>
  <c r="I789" i="3"/>
  <c r="I790" i="3" a="1"/>
  <c r="I790" i="3"/>
  <c r="I791" i="3" a="1"/>
  <c r="I791" i="3"/>
  <c r="I792" i="3" a="1"/>
  <c r="I792" i="3"/>
  <c r="I793" i="3" a="1"/>
  <c r="I793" i="3"/>
  <c r="I794" i="3" a="1"/>
  <c r="I794" i="3"/>
  <c r="I795" i="3" a="1"/>
  <c r="I795" i="3"/>
  <c r="I796" i="3" a="1"/>
  <c r="I796" i="3"/>
  <c r="I797" i="3" a="1"/>
  <c r="I797" i="3"/>
  <c r="I798" i="3" a="1"/>
  <c r="I798" i="3"/>
  <c r="I799" i="3" a="1"/>
  <c r="I799" i="3"/>
  <c r="I800" i="3" a="1"/>
  <c r="I800" i="3"/>
  <c r="I801" i="3" a="1"/>
  <c r="I801" i="3"/>
  <c r="I802" i="3" a="1"/>
  <c r="I802" i="3"/>
  <c r="I803" i="3" a="1"/>
  <c r="I803" i="3"/>
  <c r="I804" i="3" a="1"/>
  <c r="I804" i="3"/>
  <c r="I805" i="3" a="1"/>
  <c r="I805" i="3"/>
  <c r="I806" i="3" a="1"/>
  <c r="I806" i="3"/>
  <c r="I807" i="3" a="1"/>
  <c r="I807" i="3"/>
  <c r="I808" i="3" a="1"/>
  <c r="I808" i="3"/>
  <c r="I809" i="3" a="1"/>
  <c r="I809" i="3"/>
  <c r="I810" i="3" a="1"/>
  <c r="I810" i="3"/>
  <c r="I811" i="3" a="1"/>
  <c r="I811" i="3"/>
  <c r="I812" i="3" a="1"/>
  <c r="I812" i="3"/>
  <c r="I813" i="3" a="1"/>
  <c r="I813" i="3"/>
  <c r="I814" i="3" a="1"/>
  <c r="I814" i="3"/>
  <c r="I815" i="3" a="1"/>
  <c r="I815" i="3"/>
  <c r="I816" i="3" a="1"/>
  <c r="I816" i="3"/>
  <c r="I817" i="3" a="1"/>
  <c r="I817" i="3"/>
  <c r="I818" i="3" a="1"/>
  <c r="I818" i="3"/>
  <c r="I819" i="3" a="1"/>
  <c r="I819" i="3"/>
  <c r="I820" i="3" a="1"/>
  <c r="I820" i="3"/>
  <c r="I821" i="3" a="1"/>
  <c r="I821" i="3"/>
  <c r="I822" i="3" a="1"/>
  <c r="I822" i="3"/>
  <c r="I823" i="3" a="1"/>
  <c r="I823" i="3"/>
  <c r="I824" i="3" a="1"/>
  <c r="I824" i="3"/>
  <c r="I825" i="3" a="1"/>
  <c r="I825" i="3"/>
  <c r="I826" i="3" a="1"/>
  <c r="I826" i="3"/>
  <c r="I827" i="3" a="1"/>
  <c r="I827" i="3"/>
  <c r="I828" i="3" a="1"/>
  <c r="I828" i="3"/>
  <c r="I829" i="3" a="1"/>
  <c r="I829" i="3"/>
  <c r="I830" i="3" a="1"/>
  <c r="I830" i="3"/>
  <c r="I831" i="3" a="1"/>
  <c r="I831" i="3"/>
  <c r="I832" i="3" a="1"/>
  <c r="I832" i="3"/>
  <c r="I833" i="3" a="1"/>
  <c r="I833" i="3"/>
  <c r="I834" i="3" a="1"/>
  <c r="I834" i="3"/>
  <c r="I835" i="3" a="1"/>
  <c r="I835" i="3"/>
  <c r="I836" i="3" a="1"/>
  <c r="I836" i="3"/>
  <c r="I837" i="3" a="1"/>
  <c r="I837" i="3"/>
  <c r="I838" i="3" a="1"/>
  <c r="I838" i="3"/>
  <c r="I839" i="3" a="1"/>
  <c r="I839" i="3"/>
  <c r="I840" i="3" a="1"/>
  <c r="I840" i="3"/>
  <c r="I841" i="3" a="1"/>
  <c r="I841" i="3"/>
  <c r="I842" i="3" a="1"/>
  <c r="I842" i="3"/>
  <c r="I843" i="3" a="1"/>
  <c r="I843" i="3"/>
  <c r="I844" i="3" a="1"/>
  <c r="I844" i="3"/>
  <c r="I845" i="3" a="1"/>
  <c r="I845" i="3"/>
  <c r="I846" i="3" a="1"/>
  <c r="I846" i="3"/>
  <c r="I847" i="3" a="1"/>
  <c r="I847" i="3"/>
  <c r="I848" i="3" a="1"/>
  <c r="I848" i="3"/>
  <c r="I849" i="3" a="1"/>
  <c r="I849" i="3"/>
  <c r="I850" i="3" a="1"/>
  <c r="I850" i="3"/>
  <c r="I851" i="3" a="1"/>
  <c r="I851" i="3"/>
  <c r="I852" i="3" a="1"/>
  <c r="I852" i="3"/>
  <c r="I853" i="3" a="1"/>
  <c r="I853" i="3"/>
  <c r="I854" i="3" a="1"/>
  <c r="I854" i="3"/>
  <c r="I855" i="3" a="1"/>
  <c r="I855" i="3"/>
  <c r="I856" i="3" a="1"/>
  <c r="I856" i="3"/>
  <c r="I857" i="3" a="1"/>
  <c r="I857" i="3"/>
  <c r="I858" i="3" a="1"/>
  <c r="I858" i="3"/>
  <c r="I859" i="3" a="1"/>
  <c r="I859" i="3"/>
  <c r="I860" i="3" a="1"/>
  <c r="I860" i="3"/>
  <c r="I861" i="3" a="1"/>
  <c r="I861" i="3"/>
  <c r="I862" i="3" a="1"/>
  <c r="I862" i="3"/>
  <c r="I863" i="3" a="1"/>
  <c r="I863" i="3"/>
  <c r="I864" i="3" a="1"/>
  <c r="I864" i="3"/>
  <c r="I865" i="3" a="1"/>
  <c r="I865" i="3"/>
  <c r="I866" i="3" a="1"/>
  <c r="I866" i="3"/>
  <c r="I867" i="3" a="1"/>
  <c r="I867" i="3"/>
  <c r="I868" i="3" a="1"/>
  <c r="I868" i="3"/>
  <c r="I869" i="3" a="1"/>
  <c r="I869" i="3"/>
  <c r="I870" i="3" a="1"/>
  <c r="I870" i="3"/>
  <c r="I871" i="3" a="1"/>
  <c r="I871" i="3"/>
  <c r="I872" i="3" a="1"/>
  <c r="I872" i="3"/>
  <c r="I873" i="3" a="1"/>
  <c r="I873" i="3"/>
  <c r="I874" i="3" a="1"/>
  <c r="I874" i="3"/>
  <c r="I875" i="3" a="1"/>
  <c r="I875" i="3"/>
  <c r="I876" i="3" a="1"/>
  <c r="I876" i="3"/>
  <c r="I877" i="3" a="1"/>
  <c r="I877" i="3"/>
  <c r="I878" i="3" a="1"/>
  <c r="I878" i="3"/>
  <c r="I879" i="3" a="1"/>
  <c r="I879" i="3"/>
  <c r="I880" i="3" a="1"/>
  <c r="I880" i="3"/>
  <c r="I881" i="3" a="1"/>
  <c r="I881" i="3"/>
  <c r="I882" i="3" a="1"/>
  <c r="I882" i="3"/>
  <c r="I883" i="3" a="1"/>
  <c r="I883" i="3"/>
  <c r="I884" i="3" a="1"/>
  <c r="I884" i="3"/>
  <c r="I885" i="3" a="1"/>
  <c r="I885" i="3"/>
  <c r="I886" i="3" a="1"/>
  <c r="I886" i="3"/>
  <c r="I887" i="3" a="1"/>
  <c r="I887" i="3"/>
  <c r="I888" i="3" a="1"/>
  <c r="I888" i="3"/>
  <c r="I889" i="3" a="1"/>
  <c r="I889" i="3"/>
  <c r="I890" i="3" a="1"/>
  <c r="I890" i="3"/>
  <c r="I891" i="3" a="1"/>
  <c r="I891" i="3"/>
  <c r="I892" i="3" a="1"/>
  <c r="I892" i="3"/>
  <c r="I893" i="3" a="1"/>
  <c r="I893" i="3"/>
  <c r="I894" i="3" a="1"/>
  <c r="I894" i="3"/>
  <c r="I895" i="3" a="1"/>
  <c r="I895" i="3"/>
  <c r="I896" i="3" a="1"/>
  <c r="I896" i="3"/>
  <c r="I897" i="3" a="1"/>
  <c r="I897" i="3"/>
  <c r="I898" i="3" a="1"/>
  <c r="I898" i="3"/>
  <c r="I899" i="3" a="1"/>
  <c r="I899" i="3"/>
  <c r="I900" i="3" a="1"/>
  <c r="I900" i="3"/>
  <c r="I901" i="3" a="1"/>
  <c r="I901" i="3"/>
  <c r="I902" i="3" a="1"/>
  <c r="I902" i="3"/>
  <c r="I903" i="3" a="1"/>
  <c r="I903" i="3"/>
  <c r="I904" i="3" a="1"/>
  <c r="I904" i="3"/>
  <c r="I905" i="3" a="1"/>
  <c r="I905" i="3"/>
  <c r="I906" i="3" a="1"/>
  <c r="I906" i="3"/>
  <c r="I907" i="3" a="1"/>
  <c r="I907" i="3"/>
  <c r="I908" i="3" a="1"/>
  <c r="I908" i="3"/>
  <c r="I909" i="3" a="1"/>
  <c r="I909" i="3"/>
  <c r="I910" i="3" a="1"/>
  <c r="I910" i="3"/>
  <c r="I911" i="3" a="1"/>
  <c r="I911" i="3"/>
  <c r="I912" i="3" a="1"/>
  <c r="I912" i="3"/>
  <c r="I913" i="3" a="1"/>
  <c r="I913" i="3"/>
  <c r="I914" i="3" a="1"/>
  <c r="I914" i="3"/>
  <c r="I915" i="3" a="1"/>
  <c r="I915" i="3"/>
  <c r="I916" i="3" a="1"/>
  <c r="I916" i="3"/>
  <c r="I917" i="3" a="1"/>
  <c r="I917" i="3"/>
  <c r="I918" i="3" a="1"/>
  <c r="I918" i="3"/>
  <c r="I919" i="3" a="1"/>
  <c r="I919" i="3"/>
  <c r="I920" i="3" a="1"/>
  <c r="I920" i="3"/>
  <c r="I921" i="3" a="1"/>
  <c r="I921" i="3"/>
  <c r="I922" i="3" a="1"/>
  <c r="I922" i="3"/>
  <c r="I923" i="3" a="1"/>
  <c r="I923" i="3"/>
  <c r="I924" i="3" a="1"/>
  <c r="I924" i="3"/>
  <c r="I925" i="3" a="1"/>
  <c r="I925" i="3"/>
  <c r="I926" i="3" a="1"/>
  <c r="I926" i="3"/>
  <c r="I927" i="3" a="1"/>
  <c r="I927" i="3"/>
  <c r="I928" i="3" a="1"/>
  <c r="I928" i="3"/>
  <c r="I929" i="3" a="1"/>
  <c r="I929" i="3"/>
  <c r="I930" i="3" a="1"/>
  <c r="I930" i="3"/>
  <c r="I931" i="3" a="1"/>
  <c r="I931" i="3"/>
  <c r="I932" i="3" a="1"/>
  <c r="I932" i="3"/>
  <c r="I933" i="3" a="1"/>
  <c r="I933" i="3"/>
  <c r="I934" i="3" a="1"/>
  <c r="I934" i="3"/>
  <c r="I935" i="3" a="1"/>
  <c r="I935" i="3"/>
  <c r="I936" i="3" a="1"/>
  <c r="I936" i="3"/>
  <c r="I937" i="3" a="1"/>
  <c r="I937" i="3"/>
  <c r="I938" i="3" a="1"/>
  <c r="I938" i="3"/>
  <c r="I939" i="3" a="1"/>
  <c r="I939" i="3"/>
  <c r="I940" i="3" a="1"/>
  <c r="I940" i="3"/>
  <c r="I941" i="3" a="1"/>
  <c r="I941" i="3"/>
  <c r="I942" i="3" a="1"/>
  <c r="I942" i="3"/>
  <c r="I943" i="3" a="1"/>
  <c r="I943" i="3"/>
  <c r="I944" i="3" a="1"/>
  <c r="I944" i="3"/>
  <c r="I945" i="3" a="1"/>
  <c r="I945" i="3"/>
  <c r="I946" i="3" a="1"/>
  <c r="I946" i="3"/>
  <c r="I947" i="3" a="1"/>
  <c r="I947" i="3"/>
  <c r="I948" i="3" a="1"/>
  <c r="I948" i="3"/>
  <c r="I949" i="3" a="1"/>
  <c r="I949" i="3"/>
  <c r="I950" i="3" a="1"/>
  <c r="I950" i="3"/>
  <c r="I951" i="3" a="1"/>
  <c r="I951" i="3"/>
  <c r="I952" i="3" a="1"/>
  <c r="I952" i="3"/>
  <c r="I953" i="3" a="1"/>
  <c r="I953" i="3"/>
  <c r="I954" i="3" a="1"/>
  <c r="I954" i="3"/>
  <c r="I955" i="3" a="1"/>
  <c r="I955" i="3"/>
  <c r="I956" i="3" a="1"/>
  <c r="I956" i="3"/>
  <c r="I957" i="3" a="1"/>
  <c r="I957" i="3"/>
  <c r="I958" i="3" a="1"/>
  <c r="I958" i="3"/>
  <c r="I959" i="3" a="1"/>
  <c r="I959" i="3"/>
  <c r="I960" i="3" a="1"/>
  <c r="I960" i="3"/>
  <c r="I961" i="3" a="1"/>
  <c r="I961" i="3"/>
  <c r="I962" i="3" a="1"/>
  <c r="I962" i="3"/>
  <c r="I963" i="3" a="1"/>
  <c r="I963" i="3"/>
  <c r="I964" i="3" a="1"/>
  <c r="I964" i="3"/>
  <c r="I965" i="3" a="1"/>
  <c r="I965" i="3"/>
  <c r="I966" i="3" a="1"/>
  <c r="I966" i="3"/>
  <c r="I967" i="3" a="1"/>
  <c r="I967" i="3"/>
  <c r="I968" i="3" a="1"/>
  <c r="I968" i="3"/>
  <c r="I969" i="3" a="1"/>
  <c r="I969" i="3"/>
  <c r="I970" i="3" a="1"/>
  <c r="I970" i="3"/>
  <c r="I971" i="3" a="1"/>
  <c r="I971" i="3"/>
  <c r="I972" i="3" a="1"/>
  <c r="I972" i="3"/>
  <c r="I973" i="3" a="1"/>
  <c r="I973" i="3"/>
  <c r="I974" i="3" a="1"/>
  <c r="I974" i="3"/>
  <c r="I975" i="3" a="1"/>
  <c r="I975" i="3"/>
  <c r="I976" i="3" a="1"/>
  <c r="I976" i="3"/>
  <c r="I977" i="3" a="1"/>
  <c r="I977" i="3"/>
  <c r="I978" i="3" a="1"/>
  <c r="I978" i="3"/>
  <c r="I979" i="3" a="1"/>
  <c r="I979" i="3"/>
  <c r="I980" i="3" a="1"/>
  <c r="I980" i="3"/>
  <c r="I981" i="3" a="1"/>
  <c r="I981" i="3"/>
  <c r="I982" i="3" a="1"/>
  <c r="I982" i="3"/>
  <c r="I983" i="3" a="1"/>
  <c r="I983" i="3"/>
  <c r="I984" i="3" a="1"/>
  <c r="I984" i="3"/>
  <c r="I985" i="3" a="1"/>
  <c r="I985" i="3"/>
  <c r="I986" i="3" a="1"/>
  <c r="I986" i="3"/>
  <c r="I987" i="3" a="1"/>
  <c r="I987" i="3"/>
  <c r="I988" i="3" a="1"/>
  <c r="I988" i="3"/>
  <c r="I989" i="3" a="1"/>
  <c r="I989" i="3"/>
  <c r="I990" i="3" a="1"/>
  <c r="I990" i="3"/>
  <c r="I991" i="3" a="1"/>
  <c r="I991" i="3"/>
  <c r="I992" i="3" a="1"/>
  <c r="I992" i="3"/>
  <c r="I993" i="3" a="1"/>
  <c r="I993" i="3"/>
  <c r="I994" i="3" a="1"/>
  <c r="I994" i="3"/>
  <c r="I995" i="3" a="1"/>
  <c r="I995" i="3"/>
  <c r="I996" i="3" a="1"/>
  <c r="I996" i="3"/>
  <c r="I997" i="3" a="1"/>
  <c r="I997" i="3"/>
  <c r="I998" i="3" a="1"/>
  <c r="I998" i="3"/>
  <c r="I999" i="3" a="1"/>
  <c r="I999" i="3"/>
  <c r="I1000" i="3" a="1"/>
  <c r="I100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J156" i="3"/>
  <c r="J157" i="3"/>
  <c r="J158" i="3"/>
  <c r="J159" i="3"/>
  <c r="J160" i="3"/>
  <c r="J161" i="3"/>
  <c r="J162" i="3"/>
  <c r="J163" i="3"/>
  <c r="J164" i="3"/>
  <c r="J165" i="3"/>
  <c r="J166" i="3"/>
  <c r="J167" i="3"/>
  <c r="J168" i="3"/>
  <c r="J169" i="3"/>
  <c r="J170"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J270" i="3"/>
  <c r="J271" i="3"/>
  <c r="J272" i="3"/>
  <c r="J273" i="3"/>
  <c r="J274" i="3"/>
  <c r="J275" i="3"/>
  <c r="J276" i="3"/>
  <c r="J277" i="3"/>
  <c r="J278" i="3"/>
  <c r="J279" i="3"/>
  <c r="J280" i="3"/>
  <c r="J281" i="3"/>
  <c r="J282" i="3"/>
  <c r="J283" i="3"/>
  <c r="J284" i="3"/>
  <c r="J285" i="3"/>
  <c r="J286" i="3"/>
  <c r="J287" i="3"/>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387" i="3"/>
  <c r="J388" i="3"/>
  <c r="J389" i="3"/>
  <c r="J390" i="3"/>
  <c r="J391" i="3"/>
  <c r="J392" i="3"/>
  <c r="J393" i="3"/>
  <c r="J394" i="3"/>
  <c r="J395" i="3"/>
  <c r="J396" i="3"/>
  <c r="J397" i="3"/>
  <c r="J398" i="3"/>
  <c r="J399" i="3"/>
  <c r="J400" i="3"/>
  <c r="J401" i="3"/>
  <c r="J402" i="3"/>
  <c r="J403" i="3"/>
  <c r="J404" i="3"/>
  <c r="J405" i="3"/>
  <c r="J406" i="3"/>
  <c r="J407" i="3"/>
  <c r="J408" i="3"/>
  <c r="J409" i="3"/>
  <c r="J410" i="3"/>
  <c r="J411" i="3"/>
  <c r="J412" i="3"/>
  <c r="J413" i="3"/>
  <c r="J414" i="3"/>
  <c r="J415" i="3"/>
  <c r="J416" i="3"/>
  <c r="J417" i="3"/>
  <c r="J418" i="3"/>
  <c r="J419" i="3"/>
  <c r="J420" i="3"/>
  <c r="J421" i="3"/>
  <c r="J422" i="3"/>
  <c r="J423" i="3"/>
  <c r="J424" i="3"/>
  <c r="J425" i="3"/>
  <c r="J426" i="3"/>
  <c r="J427" i="3"/>
  <c r="J428" i="3"/>
  <c r="J429" i="3"/>
  <c r="J430" i="3"/>
  <c r="J431" i="3"/>
  <c r="J432" i="3"/>
  <c r="J433" i="3"/>
  <c r="J434" i="3"/>
  <c r="J435" i="3"/>
  <c r="J436" i="3"/>
  <c r="J437" i="3"/>
  <c r="J438" i="3"/>
  <c r="J439" i="3"/>
  <c r="J440" i="3"/>
  <c r="J441" i="3"/>
  <c r="J442" i="3"/>
  <c r="J443" i="3"/>
  <c r="J444" i="3"/>
  <c r="J445" i="3"/>
  <c r="J446" i="3"/>
  <c r="J447" i="3"/>
  <c r="J448" i="3"/>
  <c r="J449" i="3"/>
  <c r="J450" i="3"/>
  <c r="J451" i="3"/>
  <c r="J452" i="3"/>
  <c r="J453" i="3"/>
  <c r="J454" i="3"/>
  <c r="J455" i="3"/>
  <c r="J456" i="3"/>
  <c r="J457" i="3"/>
  <c r="J458" i="3"/>
  <c r="J459" i="3"/>
  <c r="J460" i="3"/>
  <c r="J461" i="3"/>
  <c r="J462" i="3"/>
  <c r="J463" i="3"/>
  <c r="J464" i="3"/>
  <c r="J465" i="3"/>
  <c r="J466" i="3"/>
  <c r="J467" i="3"/>
  <c r="J468" i="3"/>
  <c r="J469" i="3"/>
  <c r="J470" i="3"/>
  <c r="J471" i="3"/>
  <c r="J472" i="3"/>
  <c r="J473" i="3"/>
  <c r="J474" i="3"/>
  <c r="J475" i="3"/>
  <c r="J476" i="3"/>
  <c r="J477" i="3"/>
  <c r="J478" i="3"/>
  <c r="J479" i="3"/>
  <c r="J480" i="3"/>
  <c r="J481" i="3"/>
  <c r="J482" i="3"/>
  <c r="J483" i="3"/>
  <c r="J484" i="3"/>
  <c r="J485" i="3"/>
  <c r="J486" i="3"/>
  <c r="J487" i="3"/>
  <c r="J488" i="3"/>
  <c r="J489" i="3"/>
  <c r="J490" i="3"/>
  <c r="J491" i="3"/>
  <c r="J492" i="3"/>
  <c r="J493" i="3"/>
  <c r="J494" i="3"/>
  <c r="J495" i="3"/>
  <c r="J496" i="3"/>
  <c r="J497" i="3"/>
  <c r="J498" i="3"/>
  <c r="J499" i="3"/>
  <c r="J500" i="3"/>
  <c r="J501" i="3"/>
  <c r="J502" i="3"/>
  <c r="J503" i="3"/>
  <c r="J504" i="3"/>
  <c r="J505" i="3"/>
  <c r="J506" i="3"/>
  <c r="J507" i="3"/>
  <c r="J508" i="3"/>
  <c r="J509" i="3"/>
  <c r="J510" i="3"/>
  <c r="J511" i="3"/>
  <c r="J512" i="3"/>
  <c r="J513" i="3"/>
  <c r="J514" i="3"/>
  <c r="J515" i="3"/>
  <c r="J516" i="3"/>
  <c r="J517" i="3"/>
  <c r="J518" i="3"/>
  <c r="J519" i="3"/>
  <c r="J520" i="3"/>
  <c r="J521" i="3"/>
  <c r="J522" i="3"/>
  <c r="J523" i="3"/>
  <c r="J524" i="3"/>
  <c r="J525" i="3"/>
  <c r="J526" i="3"/>
  <c r="J527" i="3"/>
  <c r="J528" i="3"/>
  <c r="J529" i="3"/>
  <c r="J530" i="3"/>
  <c r="J531" i="3"/>
  <c r="J532" i="3"/>
  <c r="J533" i="3"/>
  <c r="J534" i="3"/>
  <c r="J535" i="3"/>
  <c r="J536" i="3"/>
  <c r="J537" i="3"/>
  <c r="J538" i="3"/>
  <c r="J539" i="3"/>
  <c r="J540" i="3"/>
  <c r="J541" i="3"/>
  <c r="J542" i="3"/>
  <c r="J543" i="3"/>
  <c r="J544" i="3"/>
  <c r="J545" i="3"/>
  <c r="J546" i="3"/>
  <c r="J547" i="3"/>
  <c r="J548" i="3"/>
  <c r="J549" i="3"/>
  <c r="J550" i="3"/>
  <c r="J551" i="3"/>
  <c r="J552" i="3"/>
  <c r="J553" i="3"/>
  <c r="J554" i="3"/>
  <c r="J555" i="3"/>
  <c r="J556" i="3"/>
  <c r="J557" i="3"/>
  <c r="J558" i="3"/>
  <c r="J559" i="3"/>
  <c r="J560" i="3"/>
  <c r="J561" i="3"/>
  <c r="J562" i="3"/>
  <c r="J563" i="3"/>
  <c r="J564" i="3"/>
  <c r="J565" i="3"/>
  <c r="J566" i="3"/>
  <c r="J567" i="3"/>
  <c r="J568" i="3"/>
  <c r="J569" i="3"/>
  <c r="J570" i="3"/>
  <c r="J571" i="3"/>
  <c r="J572" i="3"/>
  <c r="J573" i="3"/>
  <c r="J574" i="3"/>
  <c r="J575" i="3"/>
  <c r="J576" i="3"/>
  <c r="J577" i="3"/>
  <c r="J578" i="3"/>
  <c r="J579" i="3"/>
  <c r="J580" i="3"/>
  <c r="J581" i="3"/>
  <c r="J582" i="3"/>
  <c r="J583" i="3"/>
  <c r="J584" i="3"/>
  <c r="J585" i="3"/>
  <c r="J586" i="3"/>
  <c r="J587" i="3"/>
  <c r="J588" i="3"/>
  <c r="J589" i="3"/>
  <c r="J590" i="3"/>
  <c r="J591" i="3"/>
  <c r="J592" i="3"/>
  <c r="J593" i="3"/>
  <c r="J594" i="3"/>
  <c r="J595" i="3"/>
  <c r="J596" i="3"/>
  <c r="J597" i="3"/>
  <c r="J598" i="3"/>
  <c r="J599" i="3"/>
  <c r="J600" i="3"/>
  <c r="J601" i="3"/>
  <c r="J602" i="3"/>
  <c r="J603" i="3"/>
  <c r="J604" i="3"/>
  <c r="J605" i="3"/>
  <c r="J606" i="3"/>
  <c r="J607" i="3"/>
  <c r="J608" i="3"/>
  <c r="J609" i="3"/>
  <c r="J610" i="3"/>
  <c r="J611" i="3"/>
  <c r="J612" i="3"/>
  <c r="J613" i="3"/>
  <c r="J614" i="3"/>
  <c r="J615" i="3"/>
  <c r="J616" i="3"/>
  <c r="J617" i="3"/>
  <c r="J618" i="3"/>
  <c r="J619" i="3"/>
  <c r="J620" i="3"/>
  <c r="J621" i="3"/>
  <c r="J622" i="3"/>
  <c r="J623" i="3"/>
  <c r="J624" i="3"/>
  <c r="J625" i="3"/>
  <c r="J626" i="3"/>
  <c r="J627" i="3"/>
  <c r="J628" i="3"/>
  <c r="J629" i="3"/>
  <c r="J630" i="3"/>
  <c r="J631" i="3"/>
  <c r="J632" i="3"/>
  <c r="J633" i="3"/>
  <c r="J634" i="3"/>
  <c r="J635" i="3"/>
  <c r="J636" i="3"/>
  <c r="J637" i="3"/>
  <c r="J638" i="3"/>
  <c r="J639" i="3"/>
  <c r="J640" i="3"/>
  <c r="J641" i="3"/>
  <c r="J642" i="3"/>
  <c r="J643" i="3"/>
  <c r="J644" i="3"/>
  <c r="J645" i="3"/>
  <c r="J646" i="3"/>
  <c r="J647" i="3"/>
  <c r="J648" i="3"/>
  <c r="J649" i="3"/>
  <c r="J650" i="3"/>
  <c r="J651" i="3"/>
  <c r="J652" i="3"/>
  <c r="J653" i="3"/>
  <c r="J654" i="3"/>
  <c r="J655" i="3"/>
  <c r="J656" i="3"/>
  <c r="J657" i="3"/>
  <c r="J658" i="3"/>
  <c r="J659" i="3"/>
  <c r="J660" i="3"/>
  <c r="J661" i="3"/>
  <c r="J662" i="3"/>
  <c r="J663" i="3"/>
  <c r="J664" i="3"/>
  <c r="J665" i="3"/>
  <c r="J666" i="3"/>
  <c r="J667" i="3"/>
  <c r="J668" i="3"/>
  <c r="J669" i="3"/>
  <c r="J670" i="3"/>
  <c r="J671" i="3"/>
  <c r="J672" i="3"/>
  <c r="J673" i="3"/>
  <c r="J674" i="3"/>
  <c r="J675" i="3"/>
  <c r="J676" i="3"/>
  <c r="J677" i="3"/>
  <c r="J678" i="3"/>
  <c r="J679" i="3"/>
  <c r="J680" i="3"/>
  <c r="J681" i="3"/>
  <c r="J682" i="3"/>
  <c r="J683" i="3"/>
  <c r="J684" i="3"/>
  <c r="J685" i="3"/>
  <c r="J686" i="3"/>
  <c r="J687" i="3"/>
  <c r="J688" i="3"/>
  <c r="J689" i="3"/>
  <c r="J690" i="3"/>
  <c r="J691" i="3"/>
  <c r="J692" i="3"/>
  <c r="J693" i="3"/>
  <c r="J694" i="3"/>
  <c r="J695" i="3"/>
  <c r="J696" i="3"/>
  <c r="J697" i="3"/>
  <c r="J698" i="3"/>
  <c r="J699" i="3"/>
  <c r="J700" i="3"/>
  <c r="J701" i="3"/>
  <c r="J702" i="3"/>
  <c r="J703" i="3"/>
  <c r="J704" i="3"/>
  <c r="J705" i="3"/>
  <c r="J706" i="3"/>
  <c r="J707" i="3"/>
  <c r="J708" i="3"/>
  <c r="J709" i="3"/>
  <c r="J710" i="3"/>
  <c r="J711" i="3"/>
  <c r="J712" i="3"/>
  <c r="J713" i="3"/>
  <c r="J714" i="3"/>
  <c r="J715" i="3"/>
  <c r="J716" i="3"/>
  <c r="J717" i="3"/>
  <c r="J718" i="3"/>
  <c r="J719" i="3"/>
  <c r="J720" i="3"/>
  <c r="J721" i="3"/>
  <c r="J722" i="3"/>
  <c r="J723" i="3"/>
  <c r="J724" i="3"/>
  <c r="J725" i="3"/>
  <c r="J726" i="3"/>
  <c r="J727" i="3"/>
  <c r="J728" i="3"/>
  <c r="J729" i="3"/>
  <c r="J730" i="3"/>
  <c r="J731" i="3"/>
  <c r="J732" i="3"/>
  <c r="J733" i="3"/>
  <c r="J734" i="3"/>
  <c r="J735" i="3"/>
  <c r="J736" i="3"/>
  <c r="J737" i="3"/>
  <c r="J738" i="3"/>
  <c r="J739" i="3"/>
  <c r="J740" i="3"/>
  <c r="J741" i="3"/>
  <c r="J742" i="3"/>
  <c r="J743" i="3"/>
  <c r="J744" i="3"/>
  <c r="J745" i="3"/>
  <c r="J746" i="3"/>
  <c r="J747" i="3"/>
  <c r="J748" i="3"/>
  <c r="J749" i="3"/>
  <c r="J750" i="3"/>
  <c r="J751" i="3"/>
  <c r="J752" i="3"/>
  <c r="J753" i="3"/>
  <c r="J754" i="3"/>
  <c r="J755" i="3"/>
  <c r="J756" i="3"/>
  <c r="J757" i="3"/>
  <c r="J758" i="3"/>
  <c r="J759" i="3"/>
  <c r="J760" i="3"/>
  <c r="J761" i="3"/>
  <c r="J762" i="3"/>
  <c r="J763" i="3"/>
  <c r="J764" i="3"/>
  <c r="J765" i="3"/>
  <c r="J766" i="3"/>
  <c r="J767" i="3"/>
  <c r="J768" i="3"/>
  <c r="J769" i="3"/>
  <c r="J770" i="3"/>
  <c r="J771" i="3"/>
  <c r="J772" i="3"/>
  <c r="J773" i="3"/>
  <c r="J774" i="3"/>
  <c r="J775" i="3"/>
  <c r="J776" i="3"/>
  <c r="J777" i="3"/>
  <c r="J778" i="3"/>
  <c r="J779" i="3"/>
  <c r="J780" i="3"/>
  <c r="J781" i="3"/>
  <c r="J782" i="3"/>
  <c r="J783" i="3"/>
  <c r="J784" i="3"/>
  <c r="J785" i="3"/>
  <c r="J786" i="3"/>
  <c r="J787" i="3"/>
  <c r="J788" i="3"/>
  <c r="J789" i="3"/>
  <c r="J790" i="3"/>
  <c r="J791" i="3"/>
  <c r="J792" i="3"/>
  <c r="J793" i="3"/>
  <c r="J794" i="3"/>
  <c r="J795" i="3"/>
  <c r="J796" i="3"/>
  <c r="J797" i="3"/>
  <c r="J798" i="3"/>
  <c r="J799" i="3"/>
  <c r="J800" i="3"/>
  <c r="J801" i="3"/>
  <c r="J802" i="3"/>
  <c r="J803" i="3"/>
  <c r="J804" i="3"/>
  <c r="J805" i="3"/>
  <c r="J806" i="3"/>
  <c r="J807" i="3"/>
  <c r="J808" i="3"/>
  <c r="J809" i="3"/>
  <c r="J810" i="3"/>
  <c r="J811" i="3"/>
  <c r="J812" i="3"/>
  <c r="J813" i="3"/>
  <c r="J814" i="3"/>
  <c r="J815" i="3"/>
  <c r="J816" i="3"/>
  <c r="J817" i="3"/>
  <c r="J818" i="3"/>
  <c r="J819" i="3"/>
  <c r="J820" i="3"/>
  <c r="J821" i="3"/>
  <c r="J822" i="3"/>
  <c r="J823" i="3"/>
  <c r="J824" i="3"/>
  <c r="J825" i="3"/>
  <c r="J826" i="3"/>
  <c r="J827" i="3"/>
  <c r="J828" i="3"/>
  <c r="J829" i="3"/>
  <c r="J830" i="3"/>
  <c r="J831" i="3"/>
  <c r="J832" i="3"/>
  <c r="J833" i="3"/>
  <c r="J834" i="3"/>
  <c r="J835" i="3"/>
  <c r="J836" i="3"/>
  <c r="J837" i="3"/>
  <c r="J838" i="3"/>
  <c r="J839" i="3"/>
  <c r="J840" i="3"/>
  <c r="J841" i="3"/>
  <c r="J842" i="3"/>
  <c r="J843" i="3"/>
  <c r="J844" i="3"/>
  <c r="J845" i="3"/>
  <c r="J846" i="3"/>
  <c r="J847" i="3"/>
  <c r="J848" i="3"/>
  <c r="J849" i="3"/>
  <c r="J850" i="3"/>
  <c r="J851" i="3"/>
  <c r="J852" i="3"/>
  <c r="J853" i="3"/>
  <c r="J854" i="3"/>
  <c r="J855" i="3"/>
  <c r="J856" i="3"/>
  <c r="J857" i="3"/>
  <c r="J858" i="3"/>
  <c r="J859" i="3"/>
  <c r="J860" i="3"/>
  <c r="J861" i="3"/>
  <c r="J862" i="3"/>
  <c r="J863" i="3"/>
  <c r="J864" i="3"/>
  <c r="J865" i="3"/>
  <c r="J866" i="3"/>
  <c r="J867" i="3"/>
  <c r="J868" i="3"/>
  <c r="J869" i="3"/>
  <c r="J870" i="3"/>
  <c r="J871" i="3"/>
  <c r="J872" i="3"/>
  <c r="J873" i="3"/>
  <c r="J874" i="3"/>
  <c r="J875" i="3"/>
  <c r="J876" i="3"/>
  <c r="J877" i="3"/>
  <c r="J878" i="3"/>
  <c r="J879" i="3"/>
  <c r="J880" i="3"/>
  <c r="J881" i="3"/>
  <c r="J882" i="3"/>
  <c r="J883" i="3"/>
  <c r="J884" i="3"/>
  <c r="J885" i="3"/>
  <c r="J886" i="3"/>
  <c r="J887" i="3"/>
  <c r="J888" i="3"/>
  <c r="J889" i="3"/>
  <c r="J890" i="3"/>
  <c r="J891" i="3"/>
  <c r="J892" i="3"/>
  <c r="J893" i="3"/>
  <c r="J894" i="3"/>
  <c r="J895" i="3"/>
  <c r="J896" i="3"/>
  <c r="J897" i="3"/>
  <c r="J898" i="3"/>
  <c r="J899" i="3"/>
  <c r="J900" i="3"/>
  <c r="J901" i="3"/>
  <c r="J902" i="3"/>
  <c r="J903" i="3"/>
  <c r="J904" i="3"/>
  <c r="J905" i="3"/>
  <c r="J906" i="3"/>
  <c r="J907" i="3"/>
  <c r="J908" i="3"/>
  <c r="J909" i="3"/>
  <c r="J910" i="3"/>
  <c r="J911" i="3"/>
  <c r="J912" i="3"/>
  <c r="J913" i="3"/>
  <c r="J914" i="3"/>
  <c r="J915" i="3"/>
  <c r="J916" i="3"/>
  <c r="J917" i="3"/>
  <c r="J918" i="3"/>
  <c r="J919" i="3"/>
  <c r="J920" i="3"/>
  <c r="J921" i="3"/>
  <c r="J922" i="3"/>
  <c r="J923" i="3"/>
  <c r="J924" i="3"/>
  <c r="J925" i="3"/>
  <c r="J926" i="3"/>
  <c r="J927" i="3"/>
  <c r="J928" i="3"/>
  <c r="J929" i="3"/>
  <c r="J930" i="3"/>
  <c r="J931" i="3"/>
  <c r="J932" i="3"/>
  <c r="J933" i="3"/>
  <c r="J934" i="3"/>
  <c r="J935" i="3"/>
  <c r="J936" i="3"/>
  <c r="J937" i="3"/>
  <c r="J938" i="3"/>
  <c r="J939" i="3"/>
  <c r="J940" i="3"/>
  <c r="J941" i="3"/>
  <c r="J942" i="3"/>
  <c r="J943" i="3"/>
  <c r="J944" i="3"/>
  <c r="J945" i="3"/>
  <c r="J946" i="3"/>
  <c r="J947" i="3"/>
  <c r="J948" i="3"/>
  <c r="J949" i="3"/>
  <c r="J950" i="3"/>
  <c r="J951" i="3"/>
  <c r="J952" i="3"/>
  <c r="J953" i="3"/>
  <c r="J954" i="3"/>
  <c r="J955" i="3"/>
  <c r="J956" i="3"/>
  <c r="J957" i="3"/>
  <c r="J958" i="3"/>
  <c r="J959" i="3"/>
  <c r="J960" i="3"/>
  <c r="J961" i="3"/>
  <c r="J962" i="3"/>
  <c r="J963" i="3"/>
  <c r="J964" i="3"/>
  <c r="J965" i="3"/>
  <c r="J966" i="3"/>
  <c r="J967" i="3"/>
  <c r="J968" i="3"/>
  <c r="J969" i="3"/>
  <c r="J970" i="3"/>
  <c r="J971" i="3"/>
  <c r="J972" i="3"/>
  <c r="J973" i="3"/>
  <c r="J974" i="3"/>
  <c r="J975" i="3"/>
  <c r="J976" i="3"/>
  <c r="J977" i="3"/>
  <c r="J978" i="3"/>
  <c r="J979" i="3"/>
  <c r="J980" i="3"/>
  <c r="J981" i="3"/>
  <c r="J982" i="3"/>
  <c r="J983" i="3"/>
  <c r="J984" i="3"/>
  <c r="J985" i="3"/>
  <c r="J986" i="3"/>
  <c r="J987" i="3"/>
  <c r="J988" i="3"/>
  <c r="J989" i="3"/>
  <c r="J990" i="3"/>
  <c r="J991" i="3"/>
  <c r="J992" i="3"/>
  <c r="J993" i="3"/>
  <c r="J994" i="3"/>
  <c r="J995" i="3"/>
  <c r="J996" i="3"/>
  <c r="J997" i="3"/>
  <c r="J998" i="3"/>
  <c r="J999" i="3"/>
  <c r="J1000" i="3"/>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95" i="5"/>
  <c r="J96" i="5"/>
  <c r="J97" i="5"/>
  <c r="J98" i="5"/>
  <c r="J99" i="5"/>
  <c r="J100" i="5"/>
  <c r="J101" i="5"/>
  <c r="J102" i="5"/>
  <c r="J103"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150" i="5"/>
  <c r="J151" i="5"/>
  <c r="J152" i="5"/>
  <c r="J153" i="5"/>
  <c r="J154" i="5"/>
  <c r="J155" i="5"/>
  <c r="J156" i="5"/>
  <c r="J157" i="5"/>
  <c r="J158" i="5"/>
  <c r="J159" i="5"/>
  <c r="J160" i="5"/>
  <c r="J161" i="5"/>
  <c r="J162" i="5"/>
  <c r="J163" i="5"/>
  <c r="J164" i="5"/>
  <c r="J165" i="5"/>
  <c r="J166" i="5"/>
  <c r="J167" i="5"/>
  <c r="J168"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473" i="5"/>
  <c r="J474" i="5"/>
  <c r="J475" i="5"/>
  <c r="J476" i="5"/>
  <c r="J477" i="5"/>
  <c r="J478" i="5"/>
  <c r="J479" i="5"/>
  <c r="J480" i="5"/>
  <c r="J481" i="5"/>
  <c r="J482" i="5"/>
  <c r="J483" i="5"/>
  <c r="J484" i="5"/>
  <c r="J485" i="5"/>
  <c r="J486" i="5"/>
  <c r="J487" i="5"/>
  <c r="J488" i="5"/>
  <c r="J489" i="5"/>
  <c r="J490" i="5"/>
  <c r="J491" i="5"/>
  <c r="J492" i="5"/>
  <c r="J493" i="5"/>
  <c r="J494" i="5"/>
  <c r="J495" i="5"/>
  <c r="J496" i="5"/>
  <c r="J497" i="5"/>
  <c r="J498" i="5"/>
  <c r="J499" i="5"/>
  <c r="J500" i="5"/>
  <c r="J501" i="5"/>
  <c r="J502" i="5"/>
  <c r="J503" i="5"/>
  <c r="J504" i="5"/>
  <c r="J505" i="5"/>
  <c r="J506" i="5"/>
  <c r="J507" i="5"/>
  <c r="J508" i="5"/>
  <c r="J509" i="5"/>
  <c r="J510" i="5"/>
  <c r="J511" i="5"/>
  <c r="J512" i="5"/>
  <c r="J513" i="5"/>
  <c r="J514" i="5"/>
  <c r="J515" i="5"/>
  <c r="J516" i="5"/>
  <c r="J517" i="5"/>
  <c r="J518" i="5"/>
  <c r="J519" i="5"/>
  <c r="J520" i="5"/>
  <c r="J521" i="5"/>
  <c r="J522" i="5"/>
  <c r="J523" i="5"/>
  <c r="J524" i="5"/>
  <c r="J525" i="5"/>
  <c r="J526" i="5"/>
  <c r="J527" i="5"/>
  <c r="J528" i="5"/>
  <c r="J529" i="5"/>
  <c r="J530" i="5"/>
  <c r="J531" i="5"/>
  <c r="J532" i="5"/>
  <c r="J533" i="5"/>
  <c r="J534" i="5"/>
  <c r="J535" i="5"/>
  <c r="J536" i="5"/>
  <c r="J537" i="5"/>
  <c r="J538" i="5"/>
  <c r="J539" i="5"/>
  <c r="J540" i="5"/>
  <c r="J541" i="5"/>
  <c r="J542" i="5"/>
  <c r="J543" i="5"/>
  <c r="J544" i="5"/>
  <c r="J545" i="5"/>
  <c r="J546" i="5"/>
  <c r="J547" i="5"/>
  <c r="J548" i="5"/>
  <c r="J549" i="5"/>
  <c r="J550" i="5"/>
  <c r="J551" i="5"/>
  <c r="J552" i="5"/>
  <c r="J553" i="5"/>
  <c r="J554" i="5"/>
  <c r="J555" i="5"/>
  <c r="J556" i="5"/>
  <c r="J557" i="5"/>
  <c r="J558" i="5"/>
  <c r="J559" i="5"/>
  <c r="J560" i="5"/>
  <c r="J561" i="5"/>
  <c r="J562" i="5"/>
  <c r="J563" i="5"/>
  <c r="J564" i="5"/>
  <c r="J565" i="5"/>
  <c r="J566" i="5"/>
  <c r="J567" i="5"/>
  <c r="J568" i="5"/>
  <c r="J569" i="5"/>
  <c r="J570" i="5"/>
  <c r="J571" i="5"/>
  <c r="J572" i="5"/>
  <c r="J573" i="5"/>
  <c r="J574" i="5"/>
  <c r="J575" i="5"/>
  <c r="J576" i="5"/>
  <c r="J577" i="5"/>
  <c r="J578" i="5"/>
  <c r="J579" i="5"/>
  <c r="J580" i="5"/>
  <c r="J581" i="5"/>
  <c r="J582" i="5"/>
  <c r="J583" i="5"/>
  <c r="J584" i="5"/>
  <c r="J585" i="5"/>
  <c r="J586" i="5"/>
  <c r="J587" i="5"/>
  <c r="J588" i="5"/>
  <c r="J589" i="5"/>
  <c r="J590" i="5"/>
  <c r="J591" i="5"/>
  <c r="J592" i="5"/>
  <c r="J593" i="5"/>
  <c r="J594" i="5"/>
  <c r="J595" i="5"/>
  <c r="J596" i="5"/>
  <c r="J597" i="5"/>
  <c r="J598" i="5"/>
  <c r="J599" i="5"/>
  <c r="J600" i="5"/>
  <c r="J601" i="5"/>
  <c r="J602" i="5"/>
  <c r="J603" i="5"/>
  <c r="J604" i="5"/>
  <c r="J605" i="5"/>
  <c r="J606" i="5"/>
  <c r="J607" i="5"/>
  <c r="J608" i="5"/>
  <c r="J609" i="5"/>
  <c r="J610" i="5"/>
  <c r="J611" i="5"/>
  <c r="J612" i="5"/>
  <c r="J613" i="5"/>
  <c r="J614" i="5"/>
  <c r="J615" i="5"/>
  <c r="J616" i="5"/>
  <c r="J617" i="5"/>
  <c r="J618" i="5"/>
  <c r="J619" i="5"/>
  <c r="J620" i="5"/>
  <c r="J621" i="5"/>
  <c r="J622" i="5"/>
  <c r="J623" i="5"/>
  <c r="J624" i="5"/>
  <c r="J625" i="5"/>
  <c r="J626" i="5"/>
  <c r="J627" i="5"/>
  <c r="J628" i="5"/>
  <c r="J629" i="5"/>
  <c r="J630" i="5"/>
  <c r="J631" i="5"/>
  <c r="J632" i="5"/>
  <c r="J633" i="5"/>
  <c r="J634" i="5"/>
  <c r="J635" i="5"/>
  <c r="J636" i="5"/>
  <c r="J637" i="5"/>
  <c r="J638" i="5"/>
  <c r="J639" i="5"/>
  <c r="J640" i="5"/>
  <c r="J641" i="5"/>
  <c r="J642" i="5"/>
  <c r="J643" i="5"/>
  <c r="J644" i="5"/>
  <c r="J645" i="5"/>
  <c r="J646" i="5"/>
  <c r="J647" i="5"/>
  <c r="J648" i="5"/>
  <c r="J649" i="5"/>
  <c r="J650" i="5"/>
  <c r="J651" i="5"/>
  <c r="J652" i="5"/>
  <c r="J653" i="5"/>
  <c r="J654" i="5"/>
  <c r="J655" i="5"/>
  <c r="J656" i="5"/>
  <c r="J657" i="5"/>
  <c r="J658" i="5"/>
  <c r="J659" i="5"/>
  <c r="J660" i="5"/>
  <c r="J661" i="5"/>
  <c r="J662" i="5"/>
  <c r="J663" i="5"/>
  <c r="J664" i="5"/>
  <c r="J665" i="5"/>
  <c r="J666" i="5"/>
  <c r="J667" i="5"/>
  <c r="J668" i="5"/>
  <c r="J669" i="5"/>
  <c r="J670" i="5"/>
  <c r="J671" i="5"/>
  <c r="J672" i="5"/>
  <c r="J673" i="5"/>
  <c r="J674" i="5"/>
  <c r="J675" i="5"/>
  <c r="J676" i="5"/>
  <c r="J677" i="5"/>
  <c r="J678" i="5"/>
  <c r="J679" i="5"/>
  <c r="J680" i="5"/>
  <c r="J681" i="5"/>
  <c r="J682" i="5"/>
  <c r="J683" i="5"/>
  <c r="J684" i="5"/>
  <c r="J685" i="5"/>
  <c r="J686" i="5"/>
  <c r="J687" i="5"/>
  <c r="J688" i="5"/>
  <c r="J689" i="5"/>
  <c r="J690" i="5"/>
  <c r="J691" i="5"/>
  <c r="J692" i="5"/>
  <c r="J693" i="5"/>
  <c r="J694" i="5"/>
  <c r="J695" i="5"/>
  <c r="J696" i="5"/>
  <c r="J697" i="5"/>
  <c r="J698" i="5"/>
  <c r="J699" i="5"/>
  <c r="J700" i="5"/>
  <c r="J701" i="5"/>
  <c r="J702" i="5"/>
  <c r="J703" i="5"/>
  <c r="J704" i="5"/>
  <c r="J705" i="5"/>
  <c r="J706" i="5"/>
  <c r="J707" i="5"/>
  <c r="J708" i="5"/>
  <c r="J709" i="5"/>
  <c r="J710" i="5"/>
  <c r="J711" i="5"/>
  <c r="J712" i="5"/>
  <c r="J713" i="5"/>
  <c r="J714" i="5"/>
  <c r="J715" i="5"/>
  <c r="J716" i="5"/>
  <c r="J717" i="5"/>
  <c r="J718" i="5"/>
  <c r="J719" i="5"/>
  <c r="J720" i="5"/>
  <c r="J721" i="5"/>
  <c r="J722" i="5"/>
  <c r="J723" i="5"/>
  <c r="J724" i="5"/>
  <c r="J725" i="5"/>
  <c r="J726" i="5"/>
  <c r="J727" i="5"/>
  <c r="J728" i="5"/>
  <c r="J729" i="5"/>
  <c r="J730" i="5"/>
  <c r="J731" i="5"/>
  <c r="J732" i="5"/>
  <c r="J733" i="5"/>
  <c r="J734" i="5"/>
  <c r="J735" i="5"/>
  <c r="J736" i="5"/>
  <c r="J737" i="5"/>
  <c r="J738" i="5"/>
  <c r="J739" i="5"/>
  <c r="J740" i="5"/>
  <c r="J741" i="5"/>
  <c r="J742" i="5"/>
  <c r="J743" i="5"/>
  <c r="J744" i="5"/>
  <c r="J745" i="5"/>
  <c r="J746" i="5"/>
  <c r="J747" i="5"/>
  <c r="J748" i="5"/>
  <c r="J749" i="5"/>
  <c r="J750" i="5"/>
  <c r="J751" i="5"/>
  <c r="J752" i="5"/>
  <c r="J753" i="5"/>
  <c r="J754" i="5"/>
  <c r="J755" i="5"/>
  <c r="J756" i="5"/>
  <c r="J757" i="5"/>
  <c r="J758" i="5"/>
  <c r="J759" i="5"/>
  <c r="J760" i="5"/>
  <c r="J761" i="5"/>
  <c r="J762" i="5"/>
  <c r="J763" i="5"/>
  <c r="J764" i="5"/>
  <c r="J765" i="5"/>
  <c r="J766" i="5"/>
  <c r="J767" i="5"/>
  <c r="J768" i="5"/>
  <c r="J769" i="5"/>
  <c r="J770" i="5"/>
  <c r="J771" i="5"/>
  <c r="J772" i="5"/>
  <c r="J773" i="5"/>
  <c r="J774" i="5"/>
  <c r="J775" i="5"/>
  <c r="J776" i="5"/>
  <c r="J777" i="5"/>
  <c r="J778" i="5"/>
  <c r="J779" i="5"/>
  <c r="J780" i="5"/>
  <c r="J781" i="5"/>
  <c r="J782" i="5"/>
  <c r="J783" i="5"/>
  <c r="J784" i="5"/>
  <c r="J785" i="5"/>
  <c r="J786" i="5"/>
  <c r="J787" i="5"/>
  <c r="J788" i="5"/>
  <c r="J789" i="5"/>
  <c r="J790" i="5"/>
  <c r="J791" i="5"/>
  <c r="J792" i="5"/>
  <c r="J793" i="5"/>
  <c r="J794" i="5"/>
  <c r="J795" i="5"/>
  <c r="J796" i="5"/>
  <c r="J797" i="5"/>
  <c r="J798" i="5"/>
  <c r="J799" i="5"/>
  <c r="J800" i="5"/>
  <c r="J801" i="5"/>
  <c r="J802" i="5"/>
  <c r="J803" i="5"/>
  <c r="J804" i="5"/>
  <c r="J805" i="5"/>
  <c r="J806" i="5"/>
  <c r="J807" i="5"/>
  <c r="J808" i="5"/>
  <c r="J809" i="5"/>
  <c r="J810" i="5"/>
  <c r="J811" i="5"/>
  <c r="J812" i="5"/>
  <c r="J813" i="5"/>
  <c r="J814" i="5"/>
  <c r="J815" i="5"/>
  <c r="J816" i="5"/>
  <c r="J817" i="5"/>
  <c r="J818" i="5"/>
  <c r="J819" i="5"/>
  <c r="J820" i="5"/>
  <c r="J821" i="5"/>
  <c r="J822" i="5"/>
  <c r="J823" i="5"/>
  <c r="J824" i="5"/>
  <c r="J825" i="5"/>
  <c r="J826" i="5"/>
  <c r="J827" i="5"/>
  <c r="J828" i="5"/>
  <c r="J829" i="5"/>
  <c r="J830" i="5"/>
  <c r="J831" i="5"/>
  <c r="J832" i="5"/>
  <c r="J833" i="5"/>
  <c r="J834" i="5"/>
  <c r="J835" i="5"/>
  <c r="J836" i="5"/>
  <c r="J837" i="5"/>
  <c r="J838" i="5"/>
  <c r="J839" i="5"/>
  <c r="J840" i="5"/>
  <c r="J841" i="5"/>
  <c r="J842" i="5"/>
  <c r="J843" i="5"/>
  <c r="J844" i="5"/>
  <c r="J845" i="5"/>
  <c r="J846" i="5"/>
  <c r="J847" i="5"/>
  <c r="J848" i="5"/>
  <c r="J849" i="5"/>
  <c r="J850" i="5"/>
  <c r="J851" i="5"/>
  <c r="J852" i="5"/>
  <c r="J853" i="5"/>
  <c r="J854" i="5"/>
  <c r="J855" i="5"/>
  <c r="J856" i="5"/>
  <c r="J857" i="5"/>
  <c r="J858" i="5"/>
  <c r="J859" i="5"/>
  <c r="J860" i="5"/>
  <c r="J861" i="5"/>
  <c r="J862" i="5"/>
  <c r="J863" i="5"/>
  <c r="J864" i="5"/>
  <c r="J865" i="5"/>
  <c r="J866" i="5"/>
  <c r="J867" i="5"/>
  <c r="J868" i="5"/>
  <c r="J869" i="5"/>
  <c r="J870" i="5"/>
  <c r="J871" i="5"/>
  <c r="J872" i="5"/>
  <c r="J873" i="5"/>
  <c r="J874" i="5"/>
  <c r="J875" i="5"/>
  <c r="J876" i="5"/>
  <c r="J877" i="5"/>
  <c r="J878" i="5"/>
  <c r="J879" i="5"/>
  <c r="J880" i="5"/>
  <c r="J881" i="5"/>
  <c r="J882" i="5"/>
  <c r="J883" i="5"/>
  <c r="J884" i="5"/>
  <c r="J885" i="5"/>
  <c r="J886" i="5"/>
  <c r="J887" i="5"/>
  <c r="J888" i="5"/>
  <c r="J889" i="5"/>
  <c r="J890" i="5"/>
  <c r="J891" i="5"/>
  <c r="J892" i="5"/>
  <c r="J893" i="5"/>
  <c r="J894" i="5"/>
  <c r="J895" i="5"/>
  <c r="J896" i="5"/>
  <c r="J897" i="5"/>
  <c r="J898" i="5"/>
  <c r="J899" i="5"/>
  <c r="J900" i="5"/>
  <c r="J901" i="5"/>
  <c r="J902" i="5"/>
  <c r="J903" i="5"/>
  <c r="J904" i="5"/>
  <c r="J905" i="5"/>
  <c r="J906" i="5"/>
  <c r="J907" i="5"/>
  <c r="J908" i="5"/>
  <c r="J909" i="5"/>
  <c r="J910" i="5"/>
  <c r="J911" i="5"/>
  <c r="J912" i="5"/>
  <c r="J913" i="5"/>
  <c r="J914" i="5"/>
  <c r="J915" i="5"/>
  <c r="J916" i="5"/>
  <c r="J917" i="5"/>
  <c r="J918" i="5"/>
  <c r="J919" i="5"/>
  <c r="J920" i="5"/>
  <c r="J921" i="5"/>
  <c r="J922" i="5"/>
  <c r="J923" i="5"/>
  <c r="J924" i="5"/>
  <c r="J925" i="5"/>
  <c r="J926" i="5"/>
  <c r="J927" i="5"/>
  <c r="J928" i="5"/>
  <c r="J929" i="5"/>
  <c r="J930" i="5"/>
  <c r="J931" i="5"/>
  <c r="J932" i="5"/>
  <c r="J933" i="5"/>
  <c r="J934" i="5"/>
  <c r="J935" i="5"/>
  <c r="J936" i="5"/>
  <c r="J937" i="5"/>
  <c r="J938" i="5"/>
  <c r="J939" i="5"/>
  <c r="J940" i="5"/>
  <c r="J941" i="5"/>
  <c r="J942" i="5"/>
  <c r="J943" i="5"/>
  <c r="J944" i="5"/>
  <c r="J945" i="5"/>
  <c r="J946" i="5"/>
  <c r="J947" i="5"/>
  <c r="J948" i="5"/>
  <c r="J949" i="5"/>
  <c r="J950" i="5"/>
  <c r="J951" i="5"/>
  <c r="J952" i="5"/>
  <c r="J953" i="5"/>
  <c r="J954" i="5"/>
  <c r="J955" i="5"/>
  <c r="J956" i="5"/>
  <c r="J957" i="5"/>
  <c r="J958" i="5"/>
  <c r="J959" i="5"/>
  <c r="J960" i="5"/>
  <c r="J961" i="5"/>
  <c r="J962" i="5"/>
  <c r="J963" i="5"/>
  <c r="J964" i="5"/>
  <c r="J965" i="5"/>
  <c r="J966" i="5"/>
  <c r="J967" i="5"/>
  <c r="J968" i="5"/>
  <c r="J969" i="5"/>
  <c r="J970" i="5"/>
  <c r="J971" i="5"/>
  <c r="J972" i="5"/>
  <c r="J973" i="5"/>
  <c r="J974" i="5"/>
  <c r="J975" i="5"/>
  <c r="J976" i="5"/>
  <c r="J977" i="5"/>
  <c r="J978" i="5"/>
  <c r="J979" i="5"/>
  <c r="J980" i="5"/>
  <c r="J981" i="5"/>
  <c r="J982" i="5"/>
  <c r="J983" i="5"/>
  <c r="J984" i="5"/>
  <c r="J985" i="5"/>
  <c r="J986" i="5"/>
  <c r="J987" i="5"/>
  <c r="J988" i="5"/>
  <c r="J989" i="5"/>
  <c r="J990" i="5"/>
  <c r="J991" i="5"/>
  <c r="J992" i="5"/>
  <c r="J993" i="5"/>
  <c r="J994" i="5"/>
  <c r="J995" i="5"/>
  <c r="J996" i="5"/>
  <c r="J997" i="5"/>
  <c r="J998" i="5"/>
  <c r="J999" i="5"/>
  <c r="J1000" i="5"/>
  <c r="K51" i="5" a="1"/>
  <c r="K51" i="5"/>
  <c r="K52" i="5" a="1"/>
  <c r="K52" i="5"/>
  <c r="K53" i="5" a="1"/>
  <c r="K53" i="5"/>
  <c r="K54" i="5" a="1"/>
  <c r="K54" i="5"/>
  <c r="K55" i="5" a="1"/>
  <c r="K55" i="5"/>
  <c r="K56" i="5" a="1"/>
  <c r="K56" i="5"/>
  <c r="K57" i="5" a="1"/>
  <c r="K57" i="5"/>
  <c r="K58" i="5" a="1"/>
  <c r="K58" i="5"/>
  <c r="K59" i="5" a="1"/>
  <c r="K59" i="5"/>
  <c r="K60" i="5" a="1"/>
  <c r="K60" i="5"/>
  <c r="K61" i="5" a="1"/>
  <c r="K61" i="5"/>
  <c r="K62" i="5" a="1"/>
  <c r="K62" i="5"/>
  <c r="K63" i="5" a="1"/>
  <c r="K63" i="5"/>
  <c r="K64" i="5" a="1"/>
  <c r="K64" i="5"/>
  <c r="K65" i="5" a="1"/>
  <c r="K65" i="5"/>
  <c r="K66" i="5" a="1"/>
  <c r="K66" i="5"/>
  <c r="K67" i="5" a="1"/>
  <c r="K67" i="5"/>
  <c r="K68" i="5" a="1"/>
  <c r="K68" i="5"/>
  <c r="K69" i="5" a="1"/>
  <c r="K69" i="5"/>
  <c r="K70" i="5" a="1"/>
  <c r="K70" i="5"/>
  <c r="K71" i="5" a="1"/>
  <c r="K71" i="5"/>
  <c r="K72" i="5" a="1"/>
  <c r="K72" i="5"/>
  <c r="K73" i="5" a="1"/>
  <c r="K73" i="5"/>
  <c r="K74" i="5" a="1"/>
  <c r="K74" i="5"/>
  <c r="K75" i="5" a="1"/>
  <c r="K75" i="5"/>
  <c r="K76" i="5" a="1"/>
  <c r="K76" i="5"/>
  <c r="K77" i="5" a="1"/>
  <c r="K77" i="5"/>
  <c r="K78" i="5" a="1"/>
  <c r="K78" i="5"/>
  <c r="K79" i="5" a="1"/>
  <c r="K79" i="5"/>
  <c r="K80" i="5" a="1"/>
  <c r="K80" i="5"/>
  <c r="K81" i="5" a="1"/>
  <c r="K81" i="5"/>
  <c r="K82" i="5" a="1"/>
  <c r="K82" i="5"/>
  <c r="K83" i="5" a="1"/>
  <c r="K83" i="5"/>
  <c r="K84" i="5" a="1"/>
  <c r="K84" i="5"/>
  <c r="K85" i="5" a="1"/>
  <c r="K85" i="5"/>
  <c r="K86" i="5" a="1"/>
  <c r="K86" i="5"/>
  <c r="K87" i="5" a="1"/>
  <c r="K87" i="5"/>
  <c r="K88" i="5" a="1"/>
  <c r="K88" i="5"/>
  <c r="K89" i="5" a="1"/>
  <c r="K89" i="5"/>
  <c r="K90" i="5" a="1"/>
  <c r="K90" i="5"/>
  <c r="K91" i="5" a="1"/>
  <c r="K91" i="5"/>
  <c r="K92" i="5" a="1"/>
  <c r="K92" i="5"/>
  <c r="K93" i="5" a="1"/>
  <c r="K93" i="5"/>
  <c r="K94" i="5" a="1"/>
  <c r="K94" i="5"/>
  <c r="K95" i="5" a="1"/>
  <c r="K95" i="5"/>
  <c r="K96" i="5" a="1"/>
  <c r="K96" i="5"/>
  <c r="K97" i="5" a="1"/>
  <c r="K97" i="5"/>
  <c r="K98" i="5" a="1"/>
  <c r="K98" i="5"/>
  <c r="K99" i="5" a="1"/>
  <c r="K99" i="5"/>
  <c r="K100" i="5" a="1"/>
  <c r="K100" i="5"/>
  <c r="K101" i="5" a="1"/>
  <c r="K101" i="5"/>
  <c r="K102" i="5" a="1"/>
  <c r="K102" i="5"/>
  <c r="K103" i="5" a="1"/>
  <c r="K103" i="5"/>
  <c r="K104" i="5" a="1"/>
  <c r="K104" i="5"/>
  <c r="K105" i="5" a="1"/>
  <c r="K105" i="5"/>
  <c r="K106" i="5" a="1"/>
  <c r="K106" i="5"/>
  <c r="K107" i="5" a="1"/>
  <c r="K107" i="5"/>
  <c r="K108" i="5" a="1"/>
  <c r="K108" i="5"/>
  <c r="K109" i="5" a="1"/>
  <c r="K109" i="5"/>
  <c r="K110" i="5" a="1"/>
  <c r="K110" i="5"/>
  <c r="K111" i="5" a="1"/>
  <c r="K111" i="5"/>
  <c r="K112" i="5" a="1"/>
  <c r="K112" i="5"/>
  <c r="K113" i="5" a="1"/>
  <c r="K113" i="5"/>
  <c r="K114" i="5" a="1"/>
  <c r="K114" i="5"/>
  <c r="K115" i="5" a="1"/>
  <c r="K115" i="5"/>
  <c r="K116" i="5" a="1"/>
  <c r="K116" i="5"/>
  <c r="K117" i="5" a="1"/>
  <c r="K117" i="5"/>
  <c r="K118" i="5" a="1"/>
  <c r="K118" i="5"/>
  <c r="K119" i="5" a="1"/>
  <c r="K119" i="5"/>
  <c r="K120" i="5" a="1"/>
  <c r="K120" i="5"/>
  <c r="K121" i="5" a="1"/>
  <c r="K121" i="5"/>
  <c r="K122" i="5" a="1"/>
  <c r="K122" i="5"/>
  <c r="K123" i="5" a="1"/>
  <c r="K123" i="5"/>
  <c r="K124" i="5" a="1"/>
  <c r="K124" i="5"/>
  <c r="K125" i="5" a="1"/>
  <c r="K125" i="5"/>
  <c r="K126" i="5" a="1"/>
  <c r="K126" i="5"/>
  <c r="K127" i="5" a="1"/>
  <c r="K127" i="5"/>
  <c r="K128" i="5" a="1"/>
  <c r="K128" i="5"/>
  <c r="K129" i="5" a="1"/>
  <c r="K129" i="5"/>
  <c r="K130" i="5" a="1"/>
  <c r="K130" i="5"/>
  <c r="K131" i="5" a="1"/>
  <c r="K131" i="5"/>
  <c r="K132" i="5" a="1"/>
  <c r="K132" i="5"/>
  <c r="K133" i="5" a="1"/>
  <c r="K133" i="5"/>
  <c r="K134" i="5" a="1"/>
  <c r="K134" i="5"/>
  <c r="K135" i="5" a="1"/>
  <c r="K135" i="5"/>
  <c r="K136" i="5" a="1"/>
  <c r="K136" i="5"/>
  <c r="K137" i="5" a="1"/>
  <c r="K137" i="5"/>
  <c r="K138" i="5" a="1"/>
  <c r="K138" i="5"/>
  <c r="K139" i="5" a="1"/>
  <c r="K139" i="5"/>
  <c r="K140" i="5" a="1"/>
  <c r="K140" i="5"/>
  <c r="K141" i="5" a="1"/>
  <c r="K141" i="5"/>
  <c r="K142" i="5" a="1"/>
  <c r="K142" i="5"/>
  <c r="K143" i="5" a="1"/>
  <c r="K143" i="5"/>
  <c r="K144" i="5" a="1"/>
  <c r="K144" i="5"/>
  <c r="K145" i="5" a="1"/>
  <c r="K145" i="5"/>
  <c r="K146" i="5" a="1"/>
  <c r="K146" i="5"/>
  <c r="K147" i="5" a="1"/>
  <c r="K147" i="5"/>
  <c r="K148" i="5" a="1"/>
  <c r="K148" i="5"/>
  <c r="K149" i="5" a="1"/>
  <c r="K149" i="5"/>
  <c r="K150" i="5" a="1"/>
  <c r="K150" i="5"/>
  <c r="K151" i="5" a="1"/>
  <c r="K151" i="5"/>
  <c r="K152" i="5" a="1"/>
  <c r="K152" i="5"/>
  <c r="K153" i="5" a="1"/>
  <c r="K153" i="5"/>
  <c r="K154" i="5" a="1"/>
  <c r="K154" i="5"/>
  <c r="K155" i="5" a="1"/>
  <c r="K155" i="5"/>
  <c r="K156" i="5" a="1"/>
  <c r="K156" i="5"/>
  <c r="K157" i="5" a="1"/>
  <c r="K157" i="5"/>
  <c r="K158" i="5" a="1"/>
  <c r="K158" i="5"/>
  <c r="K159" i="5" a="1"/>
  <c r="K159" i="5"/>
  <c r="K160" i="5" a="1"/>
  <c r="K160" i="5"/>
  <c r="K161" i="5" a="1"/>
  <c r="K161" i="5"/>
  <c r="K162" i="5" a="1"/>
  <c r="K162" i="5"/>
  <c r="K163" i="5" a="1"/>
  <c r="K163" i="5"/>
  <c r="K164" i="5" a="1"/>
  <c r="K164" i="5"/>
  <c r="K165" i="5" a="1"/>
  <c r="K165" i="5"/>
  <c r="K166" i="5" a="1"/>
  <c r="K166" i="5"/>
  <c r="K167" i="5" a="1"/>
  <c r="K167" i="5"/>
  <c r="K168" i="5" a="1"/>
  <c r="K168" i="5"/>
  <c r="K169" i="5" a="1"/>
  <c r="K169" i="5"/>
  <c r="K170" i="5" a="1"/>
  <c r="K170" i="5"/>
  <c r="K171" i="5" a="1"/>
  <c r="K171" i="5"/>
  <c r="K172" i="5" a="1"/>
  <c r="K172" i="5"/>
  <c r="K173" i="5" a="1"/>
  <c r="K173" i="5"/>
  <c r="K174" i="5" a="1"/>
  <c r="K174" i="5"/>
  <c r="K175" i="5" a="1"/>
  <c r="K175" i="5"/>
  <c r="K176" i="5" a="1"/>
  <c r="K176" i="5"/>
  <c r="K177" i="5" a="1"/>
  <c r="K177" i="5"/>
  <c r="K178" i="5" a="1"/>
  <c r="K178" i="5"/>
  <c r="K179" i="5" a="1"/>
  <c r="K179" i="5"/>
  <c r="K180" i="5" a="1"/>
  <c r="K180" i="5"/>
  <c r="K181" i="5" a="1"/>
  <c r="K181" i="5"/>
  <c r="K182" i="5" a="1"/>
  <c r="K182" i="5"/>
  <c r="K183" i="5" a="1"/>
  <c r="K183" i="5"/>
  <c r="K184" i="5" a="1"/>
  <c r="K184" i="5"/>
  <c r="K185" i="5" a="1"/>
  <c r="K185" i="5"/>
  <c r="K186" i="5" a="1"/>
  <c r="K186" i="5"/>
  <c r="K187" i="5" a="1"/>
  <c r="K187" i="5"/>
  <c r="K188" i="5" a="1"/>
  <c r="K188" i="5"/>
  <c r="K189" i="5" a="1"/>
  <c r="K189" i="5"/>
  <c r="K190" i="5" a="1"/>
  <c r="K190" i="5"/>
  <c r="K191" i="5" a="1"/>
  <c r="K191" i="5"/>
  <c r="K192" i="5" a="1"/>
  <c r="K192" i="5"/>
  <c r="K193" i="5" a="1"/>
  <c r="K193" i="5"/>
  <c r="K194" i="5" a="1"/>
  <c r="K194" i="5"/>
  <c r="K195" i="5" a="1"/>
  <c r="K195" i="5"/>
  <c r="K196" i="5" a="1"/>
  <c r="K196" i="5"/>
  <c r="K197" i="5" a="1"/>
  <c r="K197" i="5"/>
  <c r="K198" i="5" a="1"/>
  <c r="K198" i="5"/>
  <c r="K199" i="5" a="1"/>
  <c r="K199" i="5"/>
  <c r="K200" i="5" a="1"/>
  <c r="K200" i="5"/>
  <c r="K201" i="5" a="1"/>
  <c r="K201" i="5"/>
  <c r="K202" i="5" a="1"/>
  <c r="K202" i="5"/>
  <c r="K203" i="5" a="1"/>
  <c r="K203" i="5"/>
  <c r="K204" i="5" a="1"/>
  <c r="K204" i="5"/>
  <c r="K205" i="5" a="1"/>
  <c r="K205" i="5"/>
  <c r="K206" i="5" a="1"/>
  <c r="K206" i="5"/>
  <c r="K207" i="5" a="1"/>
  <c r="K207" i="5"/>
  <c r="K208" i="5" a="1"/>
  <c r="K208" i="5"/>
  <c r="K209" i="5" a="1"/>
  <c r="K209" i="5"/>
  <c r="K210" i="5" a="1"/>
  <c r="K210" i="5"/>
  <c r="K211" i="5" a="1"/>
  <c r="K211" i="5"/>
  <c r="K212" i="5" a="1"/>
  <c r="K212" i="5"/>
  <c r="K213" i="5" a="1"/>
  <c r="K213" i="5"/>
  <c r="K214" i="5" a="1"/>
  <c r="K214" i="5"/>
  <c r="K215" i="5" a="1"/>
  <c r="K215" i="5"/>
  <c r="K216" i="5" a="1"/>
  <c r="K216" i="5"/>
  <c r="K217" i="5" a="1"/>
  <c r="K217" i="5"/>
  <c r="K218" i="5" a="1"/>
  <c r="K218" i="5"/>
  <c r="K219" i="5" a="1"/>
  <c r="K219" i="5"/>
  <c r="K220" i="5" a="1"/>
  <c r="K220" i="5"/>
  <c r="K221" i="5" a="1"/>
  <c r="K221" i="5"/>
  <c r="K222" i="5" a="1"/>
  <c r="K222" i="5"/>
  <c r="K223" i="5" a="1"/>
  <c r="K223" i="5"/>
  <c r="K224" i="5" a="1"/>
  <c r="K224" i="5"/>
  <c r="K225" i="5" a="1"/>
  <c r="K225" i="5"/>
  <c r="K226" i="5" a="1"/>
  <c r="K226" i="5"/>
  <c r="K227" i="5" a="1"/>
  <c r="K227" i="5"/>
  <c r="K228" i="5" a="1"/>
  <c r="K228" i="5"/>
  <c r="K229" i="5" a="1"/>
  <c r="K229" i="5"/>
  <c r="K230" i="5" a="1"/>
  <c r="K230" i="5"/>
  <c r="K231" i="5" a="1"/>
  <c r="K231" i="5"/>
  <c r="K232" i="5" a="1"/>
  <c r="K232" i="5"/>
  <c r="K233" i="5" a="1"/>
  <c r="K233" i="5"/>
  <c r="K234" i="5" a="1"/>
  <c r="K234" i="5"/>
  <c r="K235" i="5" a="1"/>
  <c r="K235" i="5"/>
  <c r="K236" i="5" a="1"/>
  <c r="K236" i="5"/>
  <c r="K237" i="5" a="1"/>
  <c r="K237" i="5"/>
  <c r="K238" i="5" a="1"/>
  <c r="K238" i="5"/>
  <c r="K239" i="5" a="1"/>
  <c r="K239" i="5"/>
  <c r="K240" i="5" a="1"/>
  <c r="K240" i="5"/>
  <c r="K241" i="5" a="1"/>
  <c r="K241" i="5"/>
  <c r="K242" i="5" a="1"/>
  <c r="K242" i="5"/>
  <c r="K243" i="5" a="1"/>
  <c r="K243" i="5"/>
  <c r="K244" i="5" a="1"/>
  <c r="K244" i="5"/>
  <c r="K245" i="5" a="1"/>
  <c r="K245" i="5"/>
  <c r="K246" i="5" a="1"/>
  <c r="K246" i="5"/>
  <c r="K247" i="5" a="1"/>
  <c r="K247" i="5"/>
  <c r="K248" i="5" a="1"/>
  <c r="K248" i="5"/>
  <c r="K249" i="5" a="1"/>
  <c r="K249" i="5"/>
  <c r="K250" i="5" a="1"/>
  <c r="K250" i="5"/>
  <c r="K251" i="5" a="1"/>
  <c r="K251" i="5"/>
  <c r="K252" i="5" a="1"/>
  <c r="K252" i="5"/>
  <c r="K253" i="5" a="1"/>
  <c r="K253" i="5"/>
  <c r="K254" i="5" a="1"/>
  <c r="K254" i="5"/>
  <c r="K255" i="5" a="1"/>
  <c r="K255" i="5"/>
  <c r="K256" i="5" a="1"/>
  <c r="K256" i="5"/>
  <c r="K257" i="5" a="1"/>
  <c r="K257" i="5"/>
  <c r="K258" i="5" a="1"/>
  <c r="K258" i="5"/>
  <c r="K259" i="5" a="1"/>
  <c r="K259" i="5"/>
  <c r="K260" i="5" a="1"/>
  <c r="K260" i="5"/>
  <c r="K261" i="5" a="1"/>
  <c r="K261" i="5"/>
  <c r="K262" i="5" a="1"/>
  <c r="K262" i="5"/>
  <c r="K263" i="5" a="1"/>
  <c r="K263" i="5"/>
  <c r="K264" i="5" a="1"/>
  <c r="K264" i="5"/>
  <c r="K265" i="5" a="1"/>
  <c r="K265" i="5"/>
  <c r="K266" i="5" a="1"/>
  <c r="K266" i="5"/>
  <c r="K267" i="5" a="1"/>
  <c r="K267" i="5"/>
  <c r="K268" i="5" a="1"/>
  <c r="K268" i="5"/>
  <c r="K269" i="5" a="1"/>
  <c r="K269" i="5"/>
  <c r="K270" i="5" a="1"/>
  <c r="K270" i="5"/>
  <c r="K271" i="5" a="1"/>
  <c r="K271" i="5"/>
  <c r="K272" i="5" a="1"/>
  <c r="K272" i="5"/>
  <c r="K273" i="5" a="1"/>
  <c r="K273" i="5"/>
  <c r="K274" i="5" a="1"/>
  <c r="K274" i="5"/>
  <c r="K275" i="5" a="1"/>
  <c r="K275" i="5"/>
  <c r="K276" i="5" a="1"/>
  <c r="K276" i="5"/>
  <c r="K277" i="5" a="1"/>
  <c r="K277" i="5"/>
  <c r="K278" i="5" a="1"/>
  <c r="K278" i="5"/>
  <c r="K279" i="5" a="1"/>
  <c r="K279" i="5"/>
  <c r="K280" i="5" a="1"/>
  <c r="K280" i="5"/>
  <c r="K281" i="5" a="1"/>
  <c r="K281" i="5"/>
  <c r="K282" i="5" a="1"/>
  <c r="K282" i="5"/>
  <c r="K283" i="5" a="1"/>
  <c r="K283" i="5"/>
  <c r="K284" i="5" a="1"/>
  <c r="K284" i="5"/>
  <c r="K285" i="5" a="1"/>
  <c r="K285" i="5"/>
  <c r="K286" i="5" a="1"/>
  <c r="K286" i="5"/>
  <c r="K287" i="5" a="1"/>
  <c r="K287" i="5"/>
  <c r="K288" i="5" a="1"/>
  <c r="K288" i="5"/>
  <c r="K289" i="5" a="1"/>
  <c r="K289" i="5"/>
  <c r="K290" i="5" a="1"/>
  <c r="K290" i="5"/>
  <c r="K291" i="5" a="1"/>
  <c r="K291" i="5"/>
  <c r="K292" i="5" a="1"/>
  <c r="K292" i="5"/>
  <c r="K293" i="5" a="1"/>
  <c r="K293" i="5"/>
  <c r="K294" i="5" a="1"/>
  <c r="K294" i="5"/>
  <c r="K295" i="5" a="1"/>
  <c r="K295" i="5"/>
  <c r="K296" i="5" a="1"/>
  <c r="K296" i="5"/>
  <c r="K297" i="5" a="1"/>
  <c r="K297" i="5"/>
  <c r="K298" i="5" a="1"/>
  <c r="K298" i="5"/>
  <c r="K299" i="5" a="1"/>
  <c r="K299" i="5"/>
  <c r="K300" i="5" a="1"/>
  <c r="K300" i="5"/>
  <c r="K301" i="5" a="1"/>
  <c r="K301" i="5"/>
  <c r="K302" i="5" a="1"/>
  <c r="K302" i="5"/>
  <c r="K303" i="5" a="1"/>
  <c r="K303" i="5"/>
  <c r="K304" i="5" a="1"/>
  <c r="K304" i="5"/>
  <c r="K305" i="5" a="1"/>
  <c r="K305" i="5"/>
  <c r="K306" i="5" a="1"/>
  <c r="K306" i="5"/>
  <c r="K307" i="5" a="1"/>
  <c r="K307" i="5"/>
  <c r="K308" i="5" a="1"/>
  <c r="K308" i="5"/>
  <c r="K309" i="5" a="1"/>
  <c r="K309" i="5"/>
  <c r="K310" i="5" a="1"/>
  <c r="K310" i="5"/>
  <c r="K311" i="5" a="1"/>
  <c r="K311" i="5"/>
  <c r="K312" i="5" a="1"/>
  <c r="K312" i="5"/>
  <c r="K313" i="5" a="1"/>
  <c r="K313" i="5"/>
  <c r="K314" i="5" a="1"/>
  <c r="K314" i="5"/>
  <c r="K315" i="5" a="1"/>
  <c r="K315" i="5"/>
  <c r="K316" i="5" a="1"/>
  <c r="K316" i="5"/>
  <c r="K317" i="5" a="1"/>
  <c r="K317" i="5"/>
  <c r="K318" i="5" a="1"/>
  <c r="K318" i="5"/>
  <c r="K319" i="5" a="1"/>
  <c r="K319" i="5"/>
  <c r="K320" i="5" a="1"/>
  <c r="K320" i="5"/>
  <c r="K321" i="5" a="1"/>
  <c r="K321" i="5"/>
  <c r="K322" i="5" a="1"/>
  <c r="K322" i="5"/>
  <c r="K323" i="5" a="1"/>
  <c r="K323" i="5"/>
  <c r="K324" i="5" a="1"/>
  <c r="K324" i="5"/>
  <c r="K325" i="5" a="1"/>
  <c r="K325" i="5"/>
  <c r="K326" i="5" a="1"/>
  <c r="K326" i="5"/>
  <c r="K327" i="5" a="1"/>
  <c r="K327" i="5"/>
  <c r="K328" i="5" a="1"/>
  <c r="K328" i="5"/>
  <c r="K329" i="5" a="1"/>
  <c r="K329" i="5"/>
  <c r="K330" i="5" a="1"/>
  <c r="K330" i="5"/>
  <c r="K331" i="5" a="1"/>
  <c r="K331" i="5"/>
  <c r="K332" i="5" a="1"/>
  <c r="K332" i="5"/>
  <c r="K333" i="5" a="1"/>
  <c r="K333" i="5"/>
  <c r="K334" i="5" a="1"/>
  <c r="K334" i="5"/>
  <c r="K335" i="5" a="1"/>
  <c r="K335" i="5"/>
  <c r="K336" i="5" a="1"/>
  <c r="K336" i="5"/>
  <c r="K337" i="5" a="1"/>
  <c r="K337" i="5"/>
  <c r="K338" i="5" a="1"/>
  <c r="K338" i="5"/>
  <c r="K339" i="5" a="1"/>
  <c r="K339" i="5"/>
  <c r="K340" i="5" a="1"/>
  <c r="K340" i="5"/>
  <c r="K341" i="5" a="1"/>
  <c r="K341" i="5"/>
  <c r="K342" i="5" a="1"/>
  <c r="K342" i="5"/>
  <c r="K343" i="5" a="1"/>
  <c r="K343" i="5"/>
  <c r="K344" i="5" a="1"/>
  <c r="K344" i="5"/>
  <c r="K345" i="5" a="1"/>
  <c r="K345" i="5"/>
  <c r="K346" i="5" a="1"/>
  <c r="K346" i="5"/>
  <c r="K347" i="5" a="1"/>
  <c r="K347" i="5"/>
  <c r="K348" i="5" a="1"/>
  <c r="K348" i="5"/>
  <c r="K349" i="5" a="1"/>
  <c r="K349" i="5"/>
  <c r="K350" i="5" a="1"/>
  <c r="K350" i="5"/>
  <c r="K351" i="5" a="1"/>
  <c r="K351" i="5"/>
  <c r="K352" i="5" a="1"/>
  <c r="K352" i="5"/>
  <c r="K353" i="5" a="1"/>
  <c r="K353" i="5"/>
  <c r="K354" i="5" a="1"/>
  <c r="K354" i="5"/>
  <c r="K355" i="5" a="1"/>
  <c r="K355" i="5"/>
  <c r="K356" i="5" a="1"/>
  <c r="K356" i="5"/>
  <c r="K357" i="5" a="1"/>
  <c r="K357" i="5"/>
  <c r="K358" i="5" a="1"/>
  <c r="K358" i="5"/>
  <c r="K359" i="5" a="1"/>
  <c r="K359" i="5"/>
  <c r="K360" i="5" a="1"/>
  <c r="K360" i="5"/>
  <c r="K361" i="5" a="1"/>
  <c r="K361" i="5"/>
  <c r="K362" i="5" a="1"/>
  <c r="K362" i="5"/>
  <c r="K363" i="5" a="1"/>
  <c r="K363" i="5"/>
  <c r="K364" i="5" a="1"/>
  <c r="K364" i="5"/>
  <c r="K365" i="5" a="1"/>
  <c r="K365" i="5"/>
  <c r="K366" i="5" a="1"/>
  <c r="K366" i="5"/>
  <c r="K367" i="5" a="1"/>
  <c r="K367" i="5"/>
  <c r="K368" i="5" a="1"/>
  <c r="K368" i="5"/>
  <c r="K369" i="5" a="1"/>
  <c r="K369" i="5"/>
  <c r="K370" i="5" a="1"/>
  <c r="K370" i="5"/>
  <c r="K371" i="5" a="1"/>
  <c r="K371" i="5"/>
  <c r="K372" i="5" a="1"/>
  <c r="K372" i="5"/>
  <c r="K373" i="5" a="1"/>
  <c r="K373" i="5"/>
  <c r="K374" i="5" a="1"/>
  <c r="K374" i="5"/>
  <c r="K375" i="5" a="1"/>
  <c r="K375" i="5"/>
  <c r="K376" i="5" a="1"/>
  <c r="K376" i="5"/>
  <c r="K377" i="5" a="1"/>
  <c r="K377" i="5"/>
  <c r="K378" i="5" a="1"/>
  <c r="K378" i="5"/>
  <c r="K379" i="5" a="1"/>
  <c r="K379" i="5"/>
  <c r="K380" i="5" a="1"/>
  <c r="K380" i="5"/>
  <c r="K381" i="5" a="1"/>
  <c r="K381" i="5"/>
  <c r="K382" i="5" a="1"/>
  <c r="K382" i="5"/>
  <c r="K383" i="5" a="1"/>
  <c r="K383" i="5"/>
  <c r="K384" i="5" a="1"/>
  <c r="K384" i="5"/>
  <c r="K385" i="5" a="1"/>
  <c r="K385" i="5"/>
  <c r="K386" i="5" a="1"/>
  <c r="K386" i="5"/>
  <c r="K387" i="5" a="1"/>
  <c r="K387" i="5"/>
  <c r="K388" i="5" a="1"/>
  <c r="K388" i="5"/>
  <c r="K389" i="5" a="1"/>
  <c r="K389" i="5"/>
  <c r="K390" i="5" a="1"/>
  <c r="K390" i="5"/>
  <c r="K391" i="5" a="1"/>
  <c r="K391" i="5"/>
  <c r="K392" i="5" a="1"/>
  <c r="K392" i="5"/>
  <c r="K393" i="5" a="1"/>
  <c r="K393" i="5"/>
  <c r="K394" i="5" a="1"/>
  <c r="K394" i="5"/>
  <c r="K395" i="5" a="1"/>
  <c r="K395" i="5"/>
  <c r="K396" i="5" a="1"/>
  <c r="K396" i="5"/>
  <c r="K397" i="5" a="1"/>
  <c r="K397" i="5"/>
  <c r="K398" i="5" a="1"/>
  <c r="K398" i="5"/>
  <c r="K399" i="5" a="1"/>
  <c r="K399" i="5"/>
  <c r="K400" i="5" a="1"/>
  <c r="K400" i="5"/>
  <c r="K401" i="5" a="1"/>
  <c r="K401" i="5"/>
  <c r="K402" i="5" a="1"/>
  <c r="K402" i="5"/>
  <c r="K403" i="5" a="1"/>
  <c r="K403" i="5"/>
  <c r="K404" i="5" a="1"/>
  <c r="K404" i="5"/>
  <c r="K405" i="5" a="1"/>
  <c r="K405" i="5"/>
  <c r="K406" i="5" a="1"/>
  <c r="K406" i="5"/>
  <c r="K407" i="5" a="1"/>
  <c r="K407" i="5"/>
  <c r="K408" i="5" a="1"/>
  <c r="K408" i="5"/>
  <c r="K409" i="5" a="1"/>
  <c r="K409" i="5"/>
  <c r="K410" i="5" a="1"/>
  <c r="K410" i="5"/>
  <c r="K411" i="5" a="1"/>
  <c r="K411" i="5"/>
  <c r="K412" i="5" a="1"/>
  <c r="K412" i="5"/>
  <c r="K413" i="5" a="1"/>
  <c r="K413" i="5"/>
  <c r="K414" i="5" a="1"/>
  <c r="K414" i="5"/>
  <c r="K415" i="5" a="1"/>
  <c r="K415" i="5"/>
  <c r="K416" i="5" a="1"/>
  <c r="K416" i="5"/>
  <c r="K417" i="5" a="1"/>
  <c r="K417" i="5"/>
  <c r="K418" i="5" a="1"/>
  <c r="K418" i="5"/>
  <c r="K419" i="5" a="1"/>
  <c r="K419" i="5"/>
  <c r="K420" i="5" a="1"/>
  <c r="K420" i="5"/>
  <c r="K421" i="5" a="1"/>
  <c r="K421" i="5"/>
  <c r="K422" i="5" a="1"/>
  <c r="K422" i="5"/>
  <c r="K423" i="5" a="1"/>
  <c r="K423" i="5"/>
  <c r="K424" i="5" a="1"/>
  <c r="K424" i="5"/>
  <c r="K425" i="5" a="1"/>
  <c r="K425" i="5"/>
  <c r="K426" i="5" a="1"/>
  <c r="K426" i="5"/>
  <c r="K427" i="5" a="1"/>
  <c r="K427" i="5"/>
  <c r="K428" i="5" a="1"/>
  <c r="K428" i="5"/>
  <c r="K429" i="5" a="1"/>
  <c r="K429" i="5"/>
  <c r="K430" i="5" a="1"/>
  <c r="K430" i="5"/>
  <c r="K431" i="5" a="1"/>
  <c r="K431" i="5"/>
  <c r="K432" i="5" a="1"/>
  <c r="K432" i="5"/>
  <c r="K433" i="5" a="1"/>
  <c r="K433" i="5"/>
  <c r="K434" i="5" a="1"/>
  <c r="K434" i="5"/>
  <c r="K435" i="5" a="1"/>
  <c r="K435" i="5"/>
  <c r="K436" i="5" a="1"/>
  <c r="K436" i="5"/>
  <c r="K437" i="5" a="1"/>
  <c r="K437" i="5"/>
  <c r="K438" i="5" a="1"/>
  <c r="K438" i="5"/>
  <c r="K439" i="5" a="1"/>
  <c r="K439" i="5"/>
  <c r="K440" i="5" a="1"/>
  <c r="K440" i="5"/>
  <c r="K441" i="5" a="1"/>
  <c r="K441" i="5"/>
  <c r="K442" i="5" a="1"/>
  <c r="K442" i="5"/>
  <c r="K443" i="5" a="1"/>
  <c r="K443" i="5"/>
  <c r="K444" i="5" a="1"/>
  <c r="K444" i="5"/>
  <c r="K445" i="5" a="1"/>
  <c r="K445" i="5"/>
  <c r="K446" i="5" a="1"/>
  <c r="K446" i="5"/>
  <c r="K447" i="5" a="1"/>
  <c r="K447" i="5"/>
  <c r="K448" i="5" a="1"/>
  <c r="K448" i="5"/>
  <c r="K449" i="5" a="1"/>
  <c r="K449" i="5"/>
  <c r="K450" i="5" a="1"/>
  <c r="K450" i="5"/>
  <c r="K451" i="5" a="1"/>
  <c r="K451" i="5"/>
  <c r="K452" i="5" a="1"/>
  <c r="K452" i="5"/>
  <c r="K453" i="5" a="1"/>
  <c r="K453" i="5"/>
  <c r="K454" i="5" a="1"/>
  <c r="K454" i="5"/>
  <c r="K455" i="5" a="1"/>
  <c r="K455" i="5"/>
  <c r="K456" i="5" a="1"/>
  <c r="K456" i="5"/>
  <c r="K457" i="5" a="1"/>
  <c r="K457" i="5"/>
  <c r="K458" i="5" a="1"/>
  <c r="K458" i="5"/>
  <c r="K459" i="5" a="1"/>
  <c r="K459" i="5"/>
  <c r="K460" i="5" a="1"/>
  <c r="K460" i="5"/>
  <c r="K461" i="5" a="1"/>
  <c r="K461" i="5"/>
  <c r="K462" i="5" a="1"/>
  <c r="K462" i="5"/>
  <c r="K463" i="5" a="1"/>
  <c r="K463" i="5"/>
  <c r="K464" i="5" a="1"/>
  <c r="K464" i="5"/>
  <c r="K465" i="5" a="1"/>
  <c r="K465" i="5"/>
  <c r="K466" i="5" a="1"/>
  <c r="K466" i="5"/>
  <c r="K467" i="5" a="1"/>
  <c r="K467" i="5"/>
  <c r="K468" i="5" a="1"/>
  <c r="K468" i="5"/>
  <c r="K469" i="5" a="1"/>
  <c r="K469" i="5"/>
  <c r="K470" i="5" a="1"/>
  <c r="K470" i="5"/>
  <c r="K471" i="5" a="1"/>
  <c r="K471" i="5"/>
  <c r="K472" i="5" a="1"/>
  <c r="K472" i="5"/>
  <c r="K473" i="5" a="1"/>
  <c r="K473" i="5"/>
  <c r="K474" i="5" a="1"/>
  <c r="K474" i="5"/>
  <c r="K475" i="5" a="1"/>
  <c r="K475" i="5"/>
  <c r="K476" i="5" a="1"/>
  <c r="K476" i="5"/>
  <c r="K477" i="5" a="1"/>
  <c r="K477" i="5"/>
  <c r="K478" i="5" a="1"/>
  <c r="K478" i="5"/>
  <c r="K479" i="5" a="1"/>
  <c r="K479" i="5"/>
  <c r="K480" i="5" a="1"/>
  <c r="K480" i="5"/>
  <c r="K481" i="5" a="1"/>
  <c r="K481" i="5"/>
  <c r="K482" i="5" a="1"/>
  <c r="K482" i="5"/>
  <c r="K483" i="5" a="1"/>
  <c r="K483" i="5"/>
  <c r="K484" i="5" a="1"/>
  <c r="K484" i="5"/>
  <c r="K485" i="5" a="1"/>
  <c r="K485" i="5"/>
  <c r="K486" i="5" a="1"/>
  <c r="K486" i="5"/>
  <c r="K487" i="5" a="1"/>
  <c r="K487" i="5"/>
  <c r="K488" i="5" a="1"/>
  <c r="K488" i="5"/>
  <c r="K489" i="5" a="1"/>
  <c r="K489" i="5"/>
  <c r="K490" i="5" a="1"/>
  <c r="K490" i="5"/>
  <c r="K491" i="5" a="1"/>
  <c r="K491" i="5"/>
  <c r="K492" i="5" a="1"/>
  <c r="K492" i="5"/>
  <c r="K493" i="5" a="1"/>
  <c r="K493" i="5"/>
  <c r="K494" i="5" a="1"/>
  <c r="K494" i="5"/>
  <c r="K495" i="5" a="1"/>
  <c r="K495" i="5"/>
  <c r="K496" i="5" a="1"/>
  <c r="K496" i="5"/>
  <c r="K497" i="5" a="1"/>
  <c r="K497" i="5"/>
  <c r="K498" i="5" a="1"/>
  <c r="K498" i="5"/>
  <c r="K499" i="5" a="1"/>
  <c r="K499" i="5"/>
  <c r="K500" i="5" a="1"/>
  <c r="K500" i="5"/>
  <c r="K501" i="5" a="1"/>
  <c r="K501" i="5"/>
  <c r="K502" i="5" a="1"/>
  <c r="K502" i="5"/>
  <c r="K503" i="5" a="1"/>
  <c r="K503" i="5"/>
  <c r="K504" i="5" a="1"/>
  <c r="K504" i="5"/>
  <c r="K505" i="5" a="1"/>
  <c r="K505" i="5"/>
  <c r="K506" i="5" a="1"/>
  <c r="K506" i="5"/>
  <c r="K507" i="5" a="1"/>
  <c r="K507" i="5"/>
  <c r="K508" i="5" a="1"/>
  <c r="K508" i="5"/>
  <c r="K509" i="5" a="1"/>
  <c r="K509" i="5"/>
  <c r="K510" i="5" a="1"/>
  <c r="K510" i="5"/>
  <c r="K511" i="5" a="1"/>
  <c r="K511" i="5"/>
  <c r="K512" i="5" a="1"/>
  <c r="K512" i="5"/>
  <c r="K513" i="5" a="1"/>
  <c r="K513" i="5"/>
  <c r="K514" i="5" a="1"/>
  <c r="K514" i="5"/>
  <c r="K515" i="5" a="1"/>
  <c r="K515" i="5"/>
  <c r="K516" i="5" a="1"/>
  <c r="K516" i="5"/>
  <c r="K517" i="5" a="1"/>
  <c r="K517" i="5"/>
  <c r="K518" i="5" a="1"/>
  <c r="K518" i="5"/>
  <c r="K519" i="5" a="1"/>
  <c r="K519" i="5"/>
  <c r="K520" i="5" a="1"/>
  <c r="K520" i="5"/>
  <c r="K521" i="5" a="1"/>
  <c r="K521" i="5"/>
  <c r="K522" i="5" a="1"/>
  <c r="K522" i="5"/>
  <c r="K523" i="5" a="1"/>
  <c r="K523" i="5"/>
  <c r="K524" i="5" a="1"/>
  <c r="K524" i="5"/>
  <c r="K525" i="5" a="1"/>
  <c r="K525" i="5"/>
  <c r="K526" i="5" a="1"/>
  <c r="K526" i="5"/>
  <c r="K527" i="5" a="1"/>
  <c r="K527" i="5"/>
  <c r="K528" i="5" a="1"/>
  <c r="K528" i="5"/>
  <c r="K529" i="5" a="1"/>
  <c r="K529" i="5"/>
  <c r="K530" i="5" a="1"/>
  <c r="K530" i="5"/>
  <c r="K531" i="5" a="1"/>
  <c r="K531" i="5"/>
  <c r="K532" i="5" a="1"/>
  <c r="K532" i="5"/>
  <c r="K533" i="5" a="1"/>
  <c r="K533" i="5"/>
  <c r="K534" i="5" a="1"/>
  <c r="K534" i="5"/>
  <c r="K535" i="5" a="1"/>
  <c r="K535" i="5"/>
  <c r="K536" i="5" a="1"/>
  <c r="K536" i="5"/>
  <c r="K537" i="5" a="1"/>
  <c r="K537" i="5"/>
  <c r="K538" i="5" a="1"/>
  <c r="K538" i="5"/>
  <c r="K539" i="5" a="1"/>
  <c r="K539" i="5"/>
  <c r="K540" i="5" a="1"/>
  <c r="K540" i="5"/>
  <c r="K541" i="5" a="1"/>
  <c r="K541" i="5"/>
  <c r="K542" i="5" a="1"/>
  <c r="K542" i="5"/>
  <c r="K543" i="5" a="1"/>
  <c r="K543" i="5"/>
  <c r="K544" i="5" a="1"/>
  <c r="K544" i="5"/>
  <c r="K545" i="5" a="1"/>
  <c r="K545" i="5"/>
  <c r="K546" i="5" a="1"/>
  <c r="K546" i="5"/>
  <c r="K547" i="5" a="1"/>
  <c r="K547" i="5"/>
  <c r="K548" i="5" a="1"/>
  <c r="K548" i="5"/>
  <c r="K549" i="5" a="1"/>
  <c r="K549" i="5"/>
  <c r="K550" i="5" a="1"/>
  <c r="K550" i="5"/>
  <c r="K551" i="5" a="1"/>
  <c r="K551" i="5"/>
  <c r="K552" i="5" a="1"/>
  <c r="K552" i="5"/>
  <c r="K553" i="5" a="1"/>
  <c r="K553" i="5"/>
  <c r="K554" i="5" a="1"/>
  <c r="K554" i="5"/>
  <c r="K555" i="5" a="1"/>
  <c r="K555" i="5"/>
  <c r="K556" i="5" a="1"/>
  <c r="K556" i="5"/>
  <c r="K557" i="5" a="1"/>
  <c r="K557" i="5"/>
  <c r="K558" i="5" a="1"/>
  <c r="K558" i="5"/>
  <c r="K559" i="5" a="1"/>
  <c r="K559" i="5"/>
  <c r="K560" i="5" a="1"/>
  <c r="K560" i="5"/>
  <c r="K561" i="5" a="1"/>
  <c r="K561" i="5"/>
  <c r="K562" i="5" a="1"/>
  <c r="K562" i="5"/>
  <c r="K563" i="5" a="1"/>
  <c r="K563" i="5"/>
  <c r="K564" i="5" a="1"/>
  <c r="K564" i="5"/>
  <c r="K565" i="5" a="1"/>
  <c r="K565" i="5"/>
  <c r="K566" i="5" a="1"/>
  <c r="K566" i="5"/>
  <c r="K567" i="5" a="1"/>
  <c r="K567" i="5"/>
  <c r="K568" i="5" a="1"/>
  <c r="K568" i="5"/>
  <c r="K569" i="5" a="1"/>
  <c r="K569" i="5"/>
  <c r="K570" i="5" a="1"/>
  <c r="K570" i="5"/>
  <c r="K571" i="5" a="1"/>
  <c r="K571" i="5"/>
  <c r="K572" i="5" a="1"/>
  <c r="K572" i="5"/>
  <c r="K573" i="5" a="1"/>
  <c r="K573" i="5"/>
  <c r="K574" i="5" a="1"/>
  <c r="K574" i="5"/>
  <c r="K575" i="5" a="1"/>
  <c r="K575" i="5"/>
  <c r="K576" i="5" a="1"/>
  <c r="K576" i="5"/>
  <c r="K577" i="5" a="1"/>
  <c r="K577" i="5"/>
  <c r="K578" i="5" a="1"/>
  <c r="K578" i="5"/>
  <c r="K579" i="5" a="1"/>
  <c r="K579" i="5"/>
  <c r="K580" i="5" a="1"/>
  <c r="K580" i="5"/>
  <c r="K581" i="5" a="1"/>
  <c r="K581" i="5"/>
  <c r="K582" i="5" a="1"/>
  <c r="K582" i="5"/>
  <c r="K583" i="5" a="1"/>
  <c r="K583" i="5"/>
  <c r="K584" i="5" a="1"/>
  <c r="K584" i="5"/>
  <c r="K585" i="5" a="1"/>
  <c r="K585" i="5"/>
  <c r="K586" i="5" a="1"/>
  <c r="K586" i="5"/>
  <c r="K587" i="5" a="1"/>
  <c r="K587" i="5"/>
  <c r="K588" i="5" a="1"/>
  <c r="K588" i="5"/>
  <c r="K589" i="5" a="1"/>
  <c r="K589" i="5"/>
  <c r="K590" i="5" a="1"/>
  <c r="K590" i="5"/>
  <c r="K591" i="5" a="1"/>
  <c r="K591" i="5"/>
  <c r="K592" i="5" a="1"/>
  <c r="K592" i="5"/>
  <c r="K593" i="5" a="1"/>
  <c r="K593" i="5"/>
  <c r="K594" i="5" a="1"/>
  <c r="K594" i="5"/>
  <c r="K595" i="5" a="1"/>
  <c r="K595" i="5"/>
  <c r="K596" i="5" a="1"/>
  <c r="K596" i="5"/>
  <c r="K597" i="5" a="1"/>
  <c r="K597" i="5"/>
  <c r="K598" i="5" a="1"/>
  <c r="K598" i="5"/>
  <c r="K599" i="5" a="1"/>
  <c r="K599" i="5"/>
  <c r="K600" i="5" a="1"/>
  <c r="K600" i="5"/>
  <c r="K601" i="5" a="1"/>
  <c r="K601" i="5"/>
  <c r="K602" i="5" a="1"/>
  <c r="K602" i="5"/>
  <c r="K603" i="5" a="1"/>
  <c r="K603" i="5"/>
  <c r="K604" i="5" a="1"/>
  <c r="K604" i="5"/>
  <c r="K605" i="5" a="1"/>
  <c r="K605" i="5"/>
  <c r="K606" i="5" a="1"/>
  <c r="K606" i="5"/>
  <c r="K607" i="5" a="1"/>
  <c r="K607" i="5"/>
  <c r="K608" i="5" a="1"/>
  <c r="K608" i="5"/>
  <c r="K609" i="5" a="1"/>
  <c r="K609" i="5"/>
  <c r="K610" i="5" a="1"/>
  <c r="K610" i="5"/>
  <c r="K611" i="5" a="1"/>
  <c r="K611" i="5"/>
  <c r="K612" i="5" a="1"/>
  <c r="K612" i="5"/>
  <c r="K613" i="5" a="1"/>
  <c r="K613" i="5"/>
  <c r="K614" i="5" a="1"/>
  <c r="K614" i="5"/>
  <c r="K615" i="5" a="1"/>
  <c r="K615" i="5"/>
  <c r="K616" i="5" a="1"/>
  <c r="K616" i="5"/>
  <c r="K617" i="5" a="1"/>
  <c r="K617" i="5"/>
  <c r="K618" i="5" a="1"/>
  <c r="K618" i="5"/>
  <c r="K619" i="5" a="1"/>
  <c r="K619" i="5"/>
  <c r="K620" i="5" a="1"/>
  <c r="K620" i="5"/>
  <c r="K621" i="5" a="1"/>
  <c r="K621" i="5"/>
  <c r="K622" i="5" a="1"/>
  <c r="K622" i="5"/>
  <c r="K623" i="5" a="1"/>
  <c r="K623" i="5"/>
  <c r="K624" i="5" a="1"/>
  <c r="K624" i="5"/>
  <c r="K625" i="5" a="1"/>
  <c r="K625" i="5"/>
  <c r="K626" i="5" a="1"/>
  <c r="K626" i="5"/>
  <c r="K627" i="5" a="1"/>
  <c r="K627" i="5"/>
  <c r="K628" i="5" a="1"/>
  <c r="K628" i="5"/>
  <c r="K629" i="5" a="1"/>
  <c r="K629" i="5"/>
  <c r="K630" i="5" a="1"/>
  <c r="K630" i="5"/>
  <c r="K631" i="5" a="1"/>
  <c r="K631" i="5"/>
  <c r="K632" i="5" a="1"/>
  <c r="K632" i="5"/>
  <c r="K633" i="5" a="1"/>
  <c r="K633" i="5"/>
  <c r="K634" i="5" a="1"/>
  <c r="K634" i="5"/>
  <c r="K635" i="5" a="1"/>
  <c r="K635" i="5"/>
  <c r="K636" i="5" a="1"/>
  <c r="K636" i="5"/>
  <c r="K637" i="5" a="1"/>
  <c r="K637" i="5"/>
  <c r="K638" i="5" a="1"/>
  <c r="K638" i="5"/>
  <c r="K639" i="5" a="1"/>
  <c r="K639" i="5"/>
  <c r="K640" i="5" a="1"/>
  <c r="K640" i="5"/>
  <c r="K641" i="5" a="1"/>
  <c r="K641" i="5"/>
  <c r="K642" i="5" a="1"/>
  <c r="K642" i="5"/>
  <c r="K643" i="5" a="1"/>
  <c r="K643" i="5"/>
  <c r="K644" i="5" a="1"/>
  <c r="K644" i="5"/>
  <c r="K645" i="5" a="1"/>
  <c r="K645" i="5"/>
  <c r="K646" i="5" a="1"/>
  <c r="K646" i="5"/>
  <c r="K647" i="5" a="1"/>
  <c r="K647" i="5"/>
  <c r="K648" i="5" a="1"/>
  <c r="K648" i="5"/>
  <c r="K649" i="5" a="1"/>
  <c r="K649" i="5"/>
  <c r="K650" i="5" a="1"/>
  <c r="K650" i="5"/>
  <c r="K651" i="5" a="1"/>
  <c r="K651" i="5"/>
  <c r="K652" i="5" a="1"/>
  <c r="K652" i="5"/>
  <c r="K653" i="5" a="1"/>
  <c r="K653" i="5"/>
  <c r="K654" i="5" a="1"/>
  <c r="K654" i="5"/>
  <c r="K655" i="5" a="1"/>
  <c r="K655" i="5"/>
  <c r="K656" i="5" a="1"/>
  <c r="K656" i="5"/>
  <c r="K657" i="5" a="1"/>
  <c r="K657" i="5"/>
  <c r="K658" i="5" a="1"/>
  <c r="K658" i="5"/>
  <c r="K659" i="5" a="1"/>
  <c r="K659" i="5"/>
  <c r="K660" i="5" a="1"/>
  <c r="K660" i="5"/>
  <c r="K661" i="5" a="1"/>
  <c r="K661" i="5"/>
  <c r="K662" i="5" a="1"/>
  <c r="K662" i="5"/>
  <c r="K663" i="5" a="1"/>
  <c r="K663" i="5"/>
  <c r="K664" i="5" a="1"/>
  <c r="K664" i="5"/>
  <c r="K665" i="5" a="1"/>
  <c r="K665" i="5"/>
  <c r="K666" i="5" a="1"/>
  <c r="K666" i="5"/>
  <c r="K667" i="5" a="1"/>
  <c r="K667" i="5"/>
  <c r="K668" i="5" a="1"/>
  <c r="K668" i="5"/>
  <c r="K669" i="5" a="1"/>
  <c r="K669" i="5"/>
  <c r="K670" i="5" a="1"/>
  <c r="K670" i="5"/>
  <c r="K671" i="5" a="1"/>
  <c r="K671" i="5"/>
  <c r="K672" i="5" a="1"/>
  <c r="K672" i="5"/>
  <c r="K673" i="5" a="1"/>
  <c r="K673" i="5"/>
  <c r="K674" i="5" a="1"/>
  <c r="K674" i="5"/>
  <c r="K675" i="5" a="1"/>
  <c r="K675" i="5"/>
  <c r="K676" i="5" a="1"/>
  <c r="K676" i="5"/>
  <c r="K677" i="5" a="1"/>
  <c r="K677" i="5"/>
  <c r="K678" i="5" a="1"/>
  <c r="K678" i="5"/>
  <c r="K679" i="5" a="1"/>
  <c r="K679" i="5"/>
  <c r="K680" i="5" a="1"/>
  <c r="K680" i="5"/>
  <c r="K681" i="5" a="1"/>
  <c r="K681" i="5"/>
  <c r="K682" i="5" a="1"/>
  <c r="K682" i="5"/>
  <c r="K683" i="5" a="1"/>
  <c r="K683" i="5"/>
  <c r="K684" i="5" a="1"/>
  <c r="K684" i="5"/>
  <c r="K685" i="5" a="1"/>
  <c r="K685" i="5"/>
  <c r="K686" i="5" a="1"/>
  <c r="K686" i="5"/>
  <c r="K687" i="5" a="1"/>
  <c r="K687" i="5"/>
  <c r="K688" i="5" a="1"/>
  <c r="K688" i="5"/>
  <c r="K689" i="5" a="1"/>
  <c r="K689" i="5"/>
  <c r="K690" i="5" a="1"/>
  <c r="K690" i="5"/>
  <c r="K691" i="5" a="1"/>
  <c r="K691" i="5"/>
  <c r="K692" i="5" a="1"/>
  <c r="K692" i="5"/>
  <c r="K693" i="5" a="1"/>
  <c r="K693" i="5"/>
  <c r="K694" i="5" a="1"/>
  <c r="K694" i="5"/>
  <c r="K695" i="5" a="1"/>
  <c r="K695" i="5"/>
  <c r="K696" i="5" a="1"/>
  <c r="K696" i="5"/>
  <c r="K697" i="5" a="1"/>
  <c r="K697" i="5"/>
  <c r="K698" i="5" a="1"/>
  <c r="K698" i="5"/>
  <c r="K699" i="5" a="1"/>
  <c r="K699" i="5"/>
  <c r="K700" i="5" a="1"/>
  <c r="K700" i="5"/>
  <c r="K701" i="5" a="1"/>
  <c r="K701" i="5"/>
  <c r="K702" i="5" a="1"/>
  <c r="K702" i="5"/>
  <c r="K703" i="5" a="1"/>
  <c r="K703" i="5"/>
  <c r="K704" i="5" a="1"/>
  <c r="K704" i="5"/>
  <c r="K705" i="5" a="1"/>
  <c r="K705" i="5"/>
  <c r="K706" i="5" a="1"/>
  <c r="K706" i="5"/>
  <c r="K707" i="5" a="1"/>
  <c r="K707" i="5"/>
  <c r="K708" i="5" a="1"/>
  <c r="K708" i="5"/>
  <c r="K709" i="5" a="1"/>
  <c r="K709" i="5"/>
  <c r="K710" i="5" a="1"/>
  <c r="K710" i="5"/>
  <c r="K711" i="5" a="1"/>
  <c r="K711" i="5"/>
  <c r="K712" i="5" a="1"/>
  <c r="K712" i="5"/>
  <c r="K713" i="5" a="1"/>
  <c r="K713" i="5"/>
  <c r="K714" i="5" a="1"/>
  <c r="K714" i="5"/>
  <c r="K715" i="5" a="1"/>
  <c r="K715" i="5"/>
  <c r="K716" i="5" a="1"/>
  <c r="K716" i="5"/>
  <c r="K717" i="5" a="1"/>
  <c r="K717" i="5"/>
  <c r="K718" i="5" a="1"/>
  <c r="K718" i="5"/>
  <c r="K719" i="5" a="1"/>
  <c r="K719" i="5"/>
  <c r="K720" i="5" a="1"/>
  <c r="K720" i="5"/>
  <c r="K721" i="5" a="1"/>
  <c r="K721" i="5"/>
  <c r="K722" i="5" a="1"/>
  <c r="K722" i="5"/>
  <c r="K723" i="5" a="1"/>
  <c r="K723" i="5"/>
  <c r="K724" i="5" a="1"/>
  <c r="K724" i="5"/>
  <c r="K725" i="5" a="1"/>
  <c r="K725" i="5"/>
  <c r="K726" i="5" a="1"/>
  <c r="K726" i="5"/>
  <c r="K727" i="5" a="1"/>
  <c r="K727" i="5"/>
  <c r="K728" i="5" a="1"/>
  <c r="K728" i="5"/>
  <c r="K729" i="5" a="1"/>
  <c r="K729" i="5"/>
  <c r="K730" i="5" a="1"/>
  <c r="K730" i="5"/>
  <c r="K731" i="5" a="1"/>
  <c r="K731" i="5"/>
  <c r="K732" i="5" a="1"/>
  <c r="K732" i="5"/>
  <c r="K733" i="5" a="1"/>
  <c r="K733" i="5"/>
  <c r="K734" i="5" a="1"/>
  <c r="K734" i="5"/>
  <c r="K735" i="5" a="1"/>
  <c r="K735" i="5"/>
  <c r="K736" i="5" a="1"/>
  <c r="K736" i="5"/>
  <c r="K737" i="5" a="1"/>
  <c r="K737" i="5"/>
  <c r="K738" i="5" a="1"/>
  <c r="K738" i="5"/>
  <c r="K739" i="5" a="1"/>
  <c r="K739" i="5"/>
  <c r="K740" i="5" a="1"/>
  <c r="K740" i="5"/>
  <c r="K741" i="5" a="1"/>
  <c r="K741" i="5"/>
  <c r="K742" i="5" a="1"/>
  <c r="K742" i="5"/>
  <c r="K743" i="5" a="1"/>
  <c r="K743" i="5"/>
  <c r="K744" i="5" a="1"/>
  <c r="K744" i="5"/>
  <c r="K745" i="5" a="1"/>
  <c r="K745" i="5"/>
  <c r="K746" i="5" a="1"/>
  <c r="K746" i="5"/>
  <c r="K747" i="5" a="1"/>
  <c r="K747" i="5"/>
  <c r="K748" i="5" a="1"/>
  <c r="K748" i="5"/>
  <c r="K749" i="5" a="1"/>
  <c r="K749" i="5"/>
  <c r="K750" i="5" a="1"/>
  <c r="K750" i="5"/>
  <c r="K751" i="5" a="1"/>
  <c r="K751" i="5"/>
  <c r="K752" i="5" a="1"/>
  <c r="K752" i="5"/>
  <c r="K753" i="5" a="1"/>
  <c r="K753" i="5"/>
  <c r="K754" i="5" a="1"/>
  <c r="K754" i="5"/>
  <c r="K755" i="5" a="1"/>
  <c r="K755" i="5"/>
  <c r="K756" i="5" a="1"/>
  <c r="K756" i="5"/>
  <c r="K757" i="5" a="1"/>
  <c r="K757" i="5"/>
  <c r="K758" i="5" a="1"/>
  <c r="K758" i="5"/>
  <c r="K759" i="5" a="1"/>
  <c r="K759" i="5"/>
  <c r="K760" i="5" a="1"/>
  <c r="K760" i="5"/>
  <c r="K761" i="5" a="1"/>
  <c r="K761" i="5"/>
  <c r="K762" i="5" a="1"/>
  <c r="K762" i="5"/>
  <c r="K763" i="5" a="1"/>
  <c r="K763" i="5"/>
  <c r="K764" i="5" a="1"/>
  <c r="K764" i="5"/>
  <c r="K765" i="5" a="1"/>
  <c r="K765" i="5"/>
  <c r="K766" i="5" a="1"/>
  <c r="K766" i="5"/>
  <c r="K767" i="5" a="1"/>
  <c r="K767" i="5"/>
  <c r="K768" i="5" a="1"/>
  <c r="K768" i="5"/>
  <c r="K769" i="5" a="1"/>
  <c r="K769" i="5"/>
  <c r="K770" i="5" a="1"/>
  <c r="K770" i="5"/>
  <c r="K771" i="5" a="1"/>
  <c r="K771" i="5"/>
  <c r="K772" i="5" a="1"/>
  <c r="K772" i="5"/>
  <c r="K773" i="5" a="1"/>
  <c r="K773" i="5"/>
  <c r="K774" i="5" a="1"/>
  <c r="K774" i="5"/>
  <c r="K775" i="5" a="1"/>
  <c r="K775" i="5"/>
  <c r="K776" i="5" a="1"/>
  <c r="K776" i="5"/>
  <c r="K777" i="5" a="1"/>
  <c r="K777" i="5"/>
  <c r="K778" i="5" a="1"/>
  <c r="K778" i="5"/>
  <c r="K779" i="5" a="1"/>
  <c r="K779" i="5"/>
  <c r="K780" i="5" a="1"/>
  <c r="K780" i="5"/>
  <c r="K781" i="5" a="1"/>
  <c r="K781" i="5"/>
  <c r="K782" i="5" a="1"/>
  <c r="K782" i="5"/>
  <c r="K783" i="5" a="1"/>
  <c r="K783" i="5"/>
  <c r="K784" i="5" a="1"/>
  <c r="K784" i="5"/>
  <c r="K785" i="5" a="1"/>
  <c r="K785" i="5"/>
  <c r="K786" i="5" a="1"/>
  <c r="K786" i="5"/>
  <c r="K787" i="5" a="1"/>
  <c r="K787" i="5"/>
  <c r="K788" i="5" a="1"/>
  <c r="K788" i="5"/>
  <c r="K789" i="5" a="1"/>
  <c r="K789" i="5"/>
  <c r="K790" i="5" a="1"/>
  <c r="K790" i="5"/>
  <c r="K791" i="5" a="1"/>
  <c r="K791" i="5"/>
  <c r="K792" i="5" a="1"/>
  <c r="K792" i="5"/>
  <c r="K793" i="5" a="1"/>
  <c r="K793" i="5"/>
  <c r="K794" i="5" a="1"/>
  <c r="K794" i="5"/>
  <c r="K795" i="5" a="1"/>
  <c r="K795" i="5"/>
  <c r="K796" i="5" a="1"/>
  <c r="K796" i="5"/>
  <c r="K797" i="5" a="1"/>
  <c r="K797" i="5"/>
  <c r="K798" i="5" a="1"/>
  <c r="K798" i="5"/>
  <c r="K799" i="5" a="1"/>
  <c r="K799" i="5"/>
  <c r="K800" i="5" a="1"/>
  <c r="K800" i="5"/>
  <c r="K801" i="5" a="1"/>
  <c r="K801" i="5"/>
  <c r="K802" i="5" a="1"/>
  <c r="K802" i="5"/>
  <c r="K803" i="5" a="1"/>
  <c r="K803" i="5"/>
  <c r="K804" i="5" a="1"/>
  <c r="K804" i="5"/>
  <c r="K805" i="5" a="1"/>
  <c r="K805" i="5"/>
  <c r="K806" i="5" a="1"/>
  <c r="K806" i="5"/>
  <c r="K807" i="5" a="1"/>
  <c r="K807" i="5"/>
  <c r="K808" i="5" a="1"/>
  <c r="K808" i="5"/>
  <c r="K809" i="5" a="1"/>
  <c r="K809" i="5"/>
  <c r="K810" i="5" a="1"/>
  <c r="K810" i="5"/>
  <c r="K811" i="5" a="1"/>
  <c r="K811" i="5"/>
  <c r="K812" i="5" a="1"/>
  <c r="K812" i="5"/>
  <c r="K813" i="5" a="1"/>
  <c r="K813" i="5"/>
  <c r="K814" i="5" a="1"/>
  <c r="K814" i="5"/>
  <c r="K815" i="5" a="1"/>
  <c r="K815" i="5"/>
  <c r="K816" i="5" a="1"/>
  <c r="K816" i="5"/>
  <c r="K817" i="5" a="1"/>
  <c r="K817" i="5"/>
  <c r="K818" i="5" a="1"/>
  <c r="K818" i="5"/>
  <c r="K819" i="5" a="1"/>
  <c r="K819" i="5"/>
  <c r="K820" i="5" a="1"/>
  <c r="K820" i="5"/>
  <c r="K821" i="5" a="1"/>
  <c r="K821" i="5"/>
  <c r="K822" i="5" a="1"/>
  <c r="K822" i="5"/>
  <c r="K823" i="5" a="1"/>
  <c r="K823" i="5"/>
  <c r="K824" i="5" a="1"/>
  <c r="K824" i="5"/>
  <c r="K825" i="5" a="1"/>
  <c r="K825" i="5"/>
  <c r="K826" i="5" a="1"/>
  <c r="K826" i="5"/>
  <c r="K827" i="5" a="1"/>
  <c r="K827" i="5"/>
  <c r="K828" i="5" a="1"/>
  <c r="K828" i="5"/>
  <c r="K829" i="5" a="1"/>
  <c r="K829" i="5"/>
  <c r="K830" i="5" a="1"/>
  <c r="K830" i="5"/>
  <c r="K831" i="5" a="1"/>
  <c r="K831" i="5"/>
  <c r="K832" i="5" a="1"/>
  <c r="K832" i="5"/>
  <c r="K833" i="5" a="1"/>
  <c r="K833" i="5"/>
  <c r="K834" i="5" a="1"/>
  <c r="K834" i="5"/>
  <c r="K835" i="5" a="1"/>
  <c r="K835" i="5"/>
  <c r="K836" i="5" a="1"/>
  <c r="K836" i="5"/>
  <c r="K837" i="5" a="1"/>
  <c r="K837" i="5"/>
  <c r="K838" i="5" a="1"/>
  <c r="K838" i="5"/>
  <c r="K839" i="5" a="1"/>
  <c r="K839" i="5"/>
  <c r="K840" i="5" a="1"/>
  <c r="K840" i="5"/>
  <c r="K841" i="5" a="1"/>
  <c r="K841" i="5"/>
  <c r="K842" i="5" a="1"/>
  <c r="K842" i="5"/>
  <c r="K843" i="5" a="1"/>
  <c r="K843" i="5"/>
  <c r="K844" i="5" a="1"/>
  <c r="K844" i="5"/>
  <c r="K845" i="5" a="1"/>
  <c r="K845" i="5"/>
  <c r="K846" i="5" a="1"/>
  <c r="K846" i="5"/>
  <c r="K847" i="5" a="1"/>
  <c r="K847" i="5"/>
  <c r="K848" i="5" a="1"/>
  <c r="K848" i="5"/>
  <c r="K849" i="5" a="1"/>
  <c r="K849" i="5"/>
  <c r="K850" i="5" a="1"/>
  <c r="K850" i="5"/>
  <c r="K851" i="5" a="1"/>
  <c r="K851" i="5"/>
  <c r="K852" i="5" a="1"/>
  <c r="K852" i="5"/>
  <c r="K853" i="5" a="1"/>
  <c r="K853" i="5"/>
  <c r="K854" i="5" a="1"/>
  <c r="K854" i="5"/>
  <c r="K855" i="5" a="1"/>
  <c r="K855" i="5"/>
  <c r="K856" i="5" a="1"/>
  <c r="K856" i="5"/>
  <c r="K857" i="5" a="1"/>
  <c r="K857" i="5"/>
  <c r="K858" i="5" a="1"/>
  <c r="K858" i="5"/>
  <c r="K859" i="5" a="1"/>
  <c r="K859" i="5"/>
  <c r="K860" i="5" a="1"/>
  <c r="K860" i="5"/>
  <c r="K861" i="5" a="1"/>
  <c r="K861" i="5"/>
  <c r="K862" i="5" a="1"/>
  <c r="K862" i="5"/>
  <c r="K863" i="5" a="1"/>
  <c r="K863" i="5"/>
  <c r="K864" i="5" a="1"/>
  <c r="K864" i="5"/>
  <c r="K865" i="5" a="1"/>
  <c r="K865" i="5"/>
  <c r="K866" i="5" a="1"/>
  <c r="K866" i="5"/>
  <c r="K867" i="5" a="1"/>
  <c r="K867" i="5"/>
  <c r="K868" i="5" a="1"/>
  <c r="K868" i="5"/>
  <c r="K869" i="5" a="1"/>
  <c r="K869" i="5"/>
  <c r="K870" i="5" a="1"/>
  <c r="K870" i="5"/>
  <c r="K871" i="5" a="1"/>
  <c r="K871" i="5"/>
  <c r="K872" i="5" a="1"/>
  <c r="K872" i="5"/>
  <c r="K873" i="5" a="1"/>
  <c r="K873" i="5"/>
  <c r="K874" i="5" a="1"/>
  <c r="K874" i="5"/>
  <c r="K875" i="5" a="1"/>
  <c r="K875" i="5"/>
  <c r="K876" i="5" a="1"/>
  <c r="K876" i="5"/>
  <c r="K877" i="5" a="1"/>
  <c r="K877" i="5"/>
  <c r="K878" i="5" a="1"/>
  <c r="K878" i="5"/>
  <c r="K879" i="5" a="1"/>
  <c r="K879" i="5"/>
  <c r="K880" i="5" a="1"/>
  <c r="K880" i="5"/>
  <c r="K881" i="5" a="1"/>
  <c r="K881" i="5"/>
  <c r="K882" i="5" a="1"/>
  <c r="K882" i="5"/>
  <c r="K883" i="5" a="1"/>
  <c r="K883" i="5"/>
  <c r="K884" i="5" a="1"/>
  <c r="K884" i="5"/>
  <c r="K885" i="5" a="1"/>
  <c r="K885" i="5"/>
  <c r="K886" i="5" a="1"/>
  <c r="K886" i="5"/>
  <c r="K887" i="5" a="1"/>
  <c r="K887" i="5"/>
  <c r="K888" i="5" a="1"/>
  <c r="K888" i="5"/>
  <c r="K889" i="5" a="1"/>
  <c r="K889" i="5"/>
  <c r="K890" i="5" a="1"/>
  <c r="K890" i="5"/>
  <c r="K891" i="5" a="1"/>
  <c r="K891" i="5"/>
  <c r="K892" i="5" a="1"/>
  <c r="K892" i="5"/>
  <c r="K893" i="5" a="1"/>
  <c r="K893" i="5"/>
  <c r="K894" i="5" a="1"/>
  <c r="K894" i="5"/>
  <c r="K895" i="5" a="1"/>
  <c r="K895" i="5"/>
  <c r="K896" i="5" a="1"/>
  <c r="K896" i="5"/>
  <c r="K897" i="5" a="1"/>
  <c r="K897" i="5"/>
  <c r="K898" i="5" a="1"/>
  <c r="K898" i="5"/>
  <c r="K899" i="5" a="1"/>
  <c r="K899" i="5"/>
  <c r="K900" i="5" a="1"/>
  <c r="K900" i="5"/>
  <c r="K901" i="5" a="1"/>
  <c r="K901" i="5"/>
  <c r="K902" i="5" a="1"/>
  <c r="K902" i="5"/>
  <c r="K903" i="5" a="1"/>
  <c r="K903" i="5"/>
  <c r="K904" i="5" a="1"/>
  <c r="K904" i="5"/>
  <c r="K905" i="5" a="1"/>
  <c r="K905" i="5"/>
  <c r="K906" i="5" a="1"/>
  <c r="K906" i="5"/>
  <c r="K907" i="5" a="1"/>
  <c r="K907" i="5"/>
  <c r="K908" i="5" a="1"/>
  <c r="K908" i="5"/>
  <c r="K909" i="5" a="1"/>
  <c r="K909" i="5"/>
  <c r="K910" i="5" a="1"/>
  <c r="K910" i="5"/>
  <c r="K911" i="5" a="1"/>
  <c r="K911" i="5"/>
  <c r="K912" i="5" a="1"/>
  <c r="K912" i="5"/>
  <c r="K913" i="5" a="1"/>
  <c r="K913" i="5"/>
  <c r="K914" i="5" a="1"/>
  <c r="K914" i="5"/>
  <c r="K915" i="5" a="1"/>
  <c r="K915" i="5"/>
  <c r="K916" i="5" a="1"/>
  <c r="K916" i="5"/>
  <c r="K917" i="5" a="1"/>
  <c r="K917" i="5"/>
  <c r="K918" i="5" a="1"/>
  <c r="K918" i="5"/>
  <c r="K919" i="5" a="1"/>
  <c r="K919" i="5"/>
  <c r="K920" i="5" a="1"/>
  <c r="K920" i="5"/>
  <c r="K921" i="5" a="1"/>
  <c r="K921" i="5"/>
  <c r="K922" i="5" a="1"/>
  <c r="K922" i="5"/>
  <c r="K923" i="5" a="1"/>
  <c r="K923" i="5"/>
  <c r="K924" i="5" a="1"/>
  <c r="K924" i="5"/>
  <c r="K925" i="5" a="1"/>
  <c r="K925" i="5"/>
  <c r="K926" i="5" a="1"/>
  <c r="K926" i="5"/>
  <c r="K927" i="5" a="1"/>
  <c r="K927" i="5"/>
  <c r="K928" i="5" a="1"/>
  <c r="K928" i="5"/>
  <c r="K929" i="5" a="1"/>
  <c r="K929" i="5"/>
  <c r="K930" i="5" a="1"/>
  <c r="K930" i="5"/>
  <c r="K931" i="5" a="1"/>
  <c r="K931" i="5"/>
  <c r="K932" i="5" a="1"/>
  <c r="K932" i="5"/>
  <c r="K933" i="5" a="1"/>
  <c r="K933" i="5"/>
  <c r="K934" i="5" a="1"/>
  <c r="K934" i="5"/>
  <c r="K935" i="5" a="1"/>
  <c r="K935" i="5"/>
  <c r="K936" i="5" a="1"/>
  <c r="K936" i="5"/>
  <c r="K937" i="5" a="1"/>
  <c r="K937" i="5"/>
  <c r="K938" i="5" a="1"/>
  <c r="K938" i="5"/>
  <c r="K939" i="5" a="1"/>
  <c r="K939" i="5"/>
  <c r="K940" i="5" a="1"/>
  <c r="K940" i="5"/>
  <c r="K941" i="5" a="1"/>
  <c r="K941" i="5"/>
  <c r="K942" i="5" a="1"/>
  <c r="K942" i="5"/>
  <c r="K943" i="5" a="1"/>
  <c r="K943" i="5"/>
  <c r="K944" i="5" a="1"/>
  <c r="K944" i="5"/>
  <c r="K945" i="5" a="1"/>
  <c r="K945" i="5"/>
  <c r="K946" i="5" a="1"/>
  <c r="K946" i="5"/>
  <c r="K947" i="5" a="1"/>
  <c r="K947" i="5"/>
  <c r="K948" i="5" a="1"/>
  <c r="K948" i="5"/>
  <c r="K949" i="5" a="1"/>
  <c r="K949" i="5"/>
  <c r="K950" i="5" a="1"/>
  <c r="K950" i="5"/>
  <c r="K951" i="5" a="1"/>
  <c r="K951" i="5"/>
  <c r="K952" i="5" a="1"/>
  <c r="K952" i="5"/>
  <c r="K953" i="5" a="1"/>
  <c r="K953" i="5"/>
  <c r="K954" i="5" a="1"/>
  <c r="K954" i="5"/>
  <c r="K955" i="5" a="1"/>
  <c r="K955" i="5"/>
  <c r="K956" i="5" a="1"/>
  <c r="K956" i="5"/>
  <c r="K957" i="5" a="1"/>
  <c r="K957" i="5"/>
  <c r="K958" i="5" a="1"/>
  <c r="K958" i="5"/>
  <c r="K959" i="5" a="1"/>
  <c r="K959" i="5"/>
  <c r="K960" i="5" a="1"/>
  <c r="K960" i="5"/>
  <c r="K961" i="5" a="1"/>
  <c r="K961" i="5"/>
  <c r="K962" i="5" a="1"/>
  <c r="K962" i="5"/>
  <c r="K963" i="5" a="1"/>
  <c r="K963" i="5"/>
  <c r="K964" i="5" a="1"/>
  <c r="K964" i="5"/>
  <c r="K965" i="5" a="1"/>
  <c r="K965" i="5"/>
  <c r="K966" i="5" a="1"/>
  <c r="K966" i="5"/>
  <c r="K967" i="5" a="1"/>
  <c r="K967" i="5"/>
  <c r="K968" i="5" a="1"/>
  <c r="K968" i="5"/>
  <c r="K969" i="5" a="1"/>
  <c r="K969" i="5"/>
  <c r="K970" i="5" a="1"/>
  <c r="K970" i="5"/>
  <c r="K971" i="5" a="1"/>
  <c r="K971" i="5"/>
  <c r="K972" i="5" a="1"/>
  <c r="K972" i="5"/>
  <c r="K973" i="5" a="1"/>
  <c r="K973" i="5"/>
  <c r="K974" i="5" a="1"/>
  <c r="K974" i="5"/>
  <c r="K975" i="5" a="1"/>
  <c r="K975" i="5"/>
  <c r="K976" i="5" a="1"/>
  <c r="K976" i="5"/>
  <c r="K977" i="5" a="1"/>
  <c r="K977" i="5"/>
  <c r="K978" i="5" a="1"/>
  <c r="K978" i="5"/>
  <c r="K979" i="5" a="1"/>
  <c r="K979" i="5"/>
  <c r="K980" i="5" a="1"/>
  <c r="K980" i="5"/>
  <c r="K981" i="5" a="1"/>
  <c r="K981" i="5"/>
  <c r="K982" i="5" a="1"/>
  <c r="K982" i="5"/>
  <c r="K983" i="5" a="1"/>
  <c r="K983" i="5"/>
  <c r="K984" i="5" a="1"/>
  <c r="K984" i="5"/>
  <c r="K985" i="5" a="1"/>
  <c r="K985" i="5"/>
  <c r="K986" i="5" a="1"/>
  <c r="K986" i="5"/>
  <c r="K987" i="5" a="1"/>
  <c r="K987" i="5"/>
  <c r="K988" i="5" a="1"/>
  <c r="K988" i="5"/>
  <c r="K989" i="5" a="1"/>
  <c r="K989" i="5"/>
  <c r="K990" i="5" a="1"/>
  <c r="K990" i="5"/>
  <c r="K991" i="5" a="1"/>
  <c r="K991" i="5"/>
  <c r="K992" i="5" a="1"/>
  <c r="K992" i="5"/>
  <c r="K993" i="5" a="1"/>
  <c r="K993" i="5"/>
  <c r="K994" i="5" a="1"/>
  <c r="K994" i="5"/>
  <c r="K995" i="5" a="1"/>
  <c r="K995" i="5"/>
  <c r="K996" i="5" a="1"/>
  <c r="K996" i="5"/>
  <c r="K997" i="5" a="1"/>
  <c r="K997" i="5"/>
  <c r="K998" i="5" a="1"/>
  <c r="K998" i="5"/>
  <c r="K999" i="5" a="1"/>
  <c r="K999" i="5"/>
  <c r="K1000" i="5" a="1"/>
  <c r="K1000" i="5"/>
  <c r="L51" i="5"/>
  <c r="L52" i="5"/>
  <c r="L53" i="5"/>
  <c r="L54" i="5"/>
  <c r="L55" i="5"/>
  <c r="L56" i="5"/>
  <c r="L57"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192" i="5"/>
  <c r="L193" i="5"/>
  <c r="L194" i="5"/>
  <c r="L195" i="5"/>
  <c r="L196" i="5"/>
  <c r="L197" i="5"/>
  <c r="L198" i="5"/>
  <c r="L199" i="5"/>
  <c r="L200" i="5"/>
  <c r="L201" i="5"/>
  <c r="L202" i="5"/>
  <c r="L203" i="5"/>
  <c r="L204" i="5"/>
  <c r="L205" i="5"/>
  <c r="L206" i="5"/>
  <c r="L207" i="5"/>
  <c r="L208" i="5"/>
  <c r="L209" i="5"/>
  <c r="L210" i="5"/>
  <c r="L211" i="5"/>
  <c r="L212" i="5"/>
  <c r="L213" i="5"/>
  <c r="L214" i="5"/>
  <c r="L215" i="5"/>
  <c r="L216" i="5"/>
  <c r="L217" i="5"/>
  <c r="L218" i="5"/>
  <c r="L219" i="5"/>
  <c r="L220" i="5"/>
  <c r="L221" i="5"/>
  <c r="L222" i="5"/>
  <c r="L223" i="5"/>
  <c r="L224" i="5"/>
  <c r="L225" i="5"/>
  <c r="L226" i="5"/>
  <c r="L227" i="5"/>
  <c r="L228" i="5"/>
  <c r="L229" i="5"/>
  <c r="L230" i="5"/>
  <c r="L231" i="5"/>
  <c r="L232" i="5"/>
  <c r="L233" i="5"/>
  <c r="L234" i="5"/>
  <c r="L235" i="5"/>
  <c r="L236" i="5"/>
  <c r="L237" i="5"/>
  <c r="L238" i="5"/>
  <c r="L239" i="5"/>
  <c r="L240" i="5"/>
  <c r="L241" i="5"/>
  <c r="L242" i="5"/>
  <c r="L243" i="5"/>
  <c r="L244" i="5"/>
  <c r="L245" i="5"/>
  <c r="L246" i="5"/>
  <c r="L247" i="5"/>
  <c r="L248" i="5"/>
  <c r="L249" i="5"/>
  <c r="L250" i="5"/>
  <c r="L251" i="5"/>
  <c r="L252" i="5"/>
  <c r="L253" i="5"/>
  <c r="L254" i="5"/>
  <c r="L255" i="5"/>
  <c r="L256" i="5"/>
  <c r="L257" i="5"/>
  <c r="L258" i="5"/>
  <c r="L259" i="5"/>
  <c r="L260" i="5"/>
  <c r="L261" i="5"/>
  <c r="L262" i="5"/>
  <c r="L263" i="5"/>
  <c r="L264" i="5"/>
  <c r="L265" i="5"/>
  <c r="L266" i="5"/>
  <c r="L267" i="5"/>
  <c r="L268" i="5"/>
  <c r="L269" i="5"/>
  <c r="L270" i="5"/>
  <c r="L271" i="5"/>
  <c r="L272" i="5"/>
  <c r="L273" i="5"/>
  <c r="L274" i="5"/>
  <c r="L275" i="5"/>
  <c r="L276" i="5"/>
  <c r="L277" i="5"/>
  <c r="L278" i="5"/>
  <c r="L279" i="5"/>
  <c r="L280" i="5"/>
  <c r="L281" i="5"/>
  <c r="L282" i="5"/>
  <c r="L283" i="5"/>
  <c r="L284" i="5"/>
  <c r="L285" i="5"/>
  <c r="L286" i="5"/>
  <c r="L287" i="5"/>
  <c r="L288" i="5"/>
  <c r="L289" i="5"/>
  <c r="L290" i="5"/>
  <c r="L291" i="5"/>
  <c r="L292" i="5"/>
  <c r="L293" i="5"/>
  <c r="L294" i="5"/>
  <c r="L295" i="5"/>
  <c r="L296" i="5"/>
  <c r="L297" i="5"/>
  <c r="L298" i="5"/>
  <c r="L299" i="5"/>
  <c r="L300" i="5"/>
  <c r="L301" i="5"/>
  <c r="L302" i="5"/>
  <c r="L303" i="5"/>
  <c r="L304" i="5"/>
  <c r="L305" i="5"/>
  <c r="L306" i="5"/>
  <c r="L307" i="5"/>
  <c r="L308" i="5"/>
  <c r="L309" i="5"/>
  <c r="L310" i="5"/>
  <c r="L311" i="5"/>
  <c r="L312" i="5"/>
  <c r="L313" i="5"/>
  <c r="L314" i="5"/>
  <c r="L315" i="5"/>
  <c r="L316" i="5"/>
  <c r="L317" i="5"/>
  <c r="L318" i="5"/>
  <c r="L319" i="5"/>
  <c r="L320" i="5"/>
  <c r="L321" i="5"/>
  <c r="L322" i="5"/>
  <c r="L323" i="5"/>
  <c r="L324" i="5"/>
  <c r="L325" i="5"/>
  <c r="L326" i="5"/>
  <c r="L327" i="5"/>
  <c r="L328" i="5"/>
  <c r="L329" i="5"/>
  <c r="L330" i="5"/>
  <c r="L331" i="5"/>
  <c r="L332" i="5"/>
  <c r="L333" i="5"/>
  <c r="L334" i="5"/>
  <c r="L335" i="5"/>
  <c r="L336" i="5"/>
  <c r="L337" i="5"/>
  <c r="L338" i="5"/>
  <c r="L339" i="5"/>
  <c r="L340" i="5"/>
  <c r="L341" i="5"/>
  <c r="L342" i="5"/>
  <c r="L343" i="5"/>
  <c r="L344" i="5"/>
  <c r="L345" i="5"/>
  <c r="L346" i="5"/>
  <c r="L347" i="5"/>
  <c r="L348" i="5"/>
  <c r="L349" i="5"/>
  <c r="L350" i="5"/>
  <c r="L351" i="5"/>
  <c r="L352" i="5"/>
  <c r="L353" i="5"/>
  <c r="L354" i="5"/>
  <c r="L355" i="5"/>
  <c r="L356" i="5"/>
  <c r="L357" i="5"/>
  <c r="L358" i="5"/>
  <c r="L359" i="5"/>
  <c r="L360" i="5"/>
  <c r="L361" i="5"/>
  <c r="L362" i="5"/>
  <c r="L363" i="5"/>
  <c r="L364" i="5"/>
  <c r="L365" i="5"/>
  <c r="L366" i="5"/>
  <c r="L367" i="5"/>
  <c r="L368" i="5"/>
  <c r="L369" i="5"/>
  <c r="L370" i="5"/>
  <c r="L371" i="5"/>
  <c r="L372" i="5"/>
  <c r="L373" i="5"/>
  <c r="L374" i="5"/>
  <c r="L375" i="5"/>
  <c r="L376" i="5"/>
  <c r="L377" i="5"/>
  <c r="L378" i="5"/>
  <c r="L379" i="5"/>
  <c r="L380" i="5"/>
  <c r="L381" i="5"/>
  <c r="L382" i="5"/>
  <c r="L383" i="5"/>
  <c r="L384" i="5"/>
  <c r="L385" i="5"/>
  <c r="L386" i="5"/>
  <c r="L387" i="5"/>
  <c r="L388" i="5"/>
  <c r="L389" i="5"/>
  <c r="L390" i="5"/>
  <c r="L391" i="5"/>
  <c r="L392" i="5"/>
  <c r="L393" i="5"/>
  <c r="L394" i="5"/>
  <c r="L395" i="5"/>
  <c r="L396" i="5"/>
  <c r="L397" i="5"/>
  <c r="L398" i="5"/>
  <c r="L399" i="5"/>
  <c r="L400" i="5"/>
  <c r="L401" i="5"/>
  <c r="L402" i="5"/>
  <c r="L403" i="5"/>
  <c r="L404" i="5"/>
  <c r="L405" i="5"/>
  <c r="L406" i="5"/>
  <c r="L407" i="5"/>
  <c r="L408" i="5"/>
  <c r="L409" i="5"/>
  <c r="L410" i="5"/>
  <c r="L411" i="5"/>
  <c r="L412" i="5"/>
  <c r="L413" i="5"/>
  <c r="L414" i="5"/>
  <c r="L415" i="5"/>
  <c r="L416" i="5"/>
  <c r="L417" i="5"/>
  <c r="L418" i="5"/>
  <c r="L419" i="5"/>
  <c r="L420" i="5"/>
  <c r="L421" i="5"/>
  <c r="L422" i="5"/>
  <c r="L423" i="5"/>
  <c r="L424" i="5"/>
  <c r="L425" i="5"/>
  <c r="L426" i="5"/>
  <c r="L427" i="5"/>
  <c r="L428" i="5"/>
  <c r="L429" i="5"/>
  <c r="L430" i="5"/>
  <c r="L431" i="5"/>
  <c r="L432" i="5"/>
  <c r="L433" i="5"/>
  <c r="L434" i="5"/>
  <c r="L435" i="5"/>
  <c r="L436" i="5"/>
  <c r="L437" i="5"/>
  <c r="L438" i="5"/>
  <c r="L439" i="5"/>
  <c r="L440" i="5"/>
  <c r="L441" i="5"/>
  <c r="L442" i="5"/>
  <c r="L443" i="5"/>
  <c r="L444" i="5"/>
  <c r="L445" i="5"/>
  <c r="L446" i="5"/>
  <c r="L447" i="5"/>
  <c r="L448" i="5"/>
  <c r="L449" i="5"/>
  <c r="L450" i="5"/>
  <c r="L451" i="5"/>
  <c r="L452" i="5"/>
  <c r="L453" i="5"/>
  <c r="L454" i="5"/>
  <c r="L455" i="5"/>
  <c r="L456" i="5"/>
  <c r="L457" i="5"/>
  <c r="L458" i="5"/>
  <c r="L459" i="5"/>
  <c r="L460" i="5"/>
  <c r="L461" i="5"/>
  <c r="L462" i="5"/>
  <c r="L463" i="5"/>
  <c r="L464" i="5"/>
  <c r="L465" i="5"/>
  <c r="L466" i="5"/>
  <c r="L467" i="5"/>
  <c r="L468" i="5"/>
  <c r="L469" i="5"/>
  <c r="L470" i="5"/>
  <c r="L471" i="5"/>
  <c r="L472" i="5"/>
  <c r="L473" i="5"/>
  <c r="L474" i="5"/>
  <c r="L475" i="5"/>
  <c r="L476" i="5"/>
  <c r="L477" i="5"/>
  <c r="L478" i="5"/>
  <c r="L479" i="5"/>
  <c r="L480" i="5"/>
  <c r="L481" i="5"/>
  <c r="L482" i="5"/>
  <c r="L483" i="5"/>
  <c r="L484" i="5"/>
  <c r="L485" i="5"/>
  <c r="L486" i="5"/>
  <c r="L487" i="5"/>
  <c r="L488" i="5"/>
  <c r="L489" i="5"/>
  <c r="L490" i="5"/>
  <c r="L491" i="5"/>
  <c r="L492" i="5"/>
  <c r="L493" i="5"/>
  <c r="L494" i="5"/>
  <c r="L495" i="5"/>
  <c r="L496" i="5"/>
  <c r="L497" i="5"/>
  <c r="L498" i="5"/>
  <c r="L499" i="5"/>
  <c r="L500" i="5"/>
  <c r="L501" i="5"/>
  <c r="L502" i="5"/>
  <c r="L503" i="5"/>
  <c r="L504" i="5"/>
  <c r="L505" i="5"/>
  <c r="L506" i="5"/>
  <c r="L507" i="5"/>
  <c r="L508" i="5"/>
  <c r="L509" i="5"/>
  <c r="L510" i="5"/>
  <c r="L511" i="5"/>
  <c r="L512" i="5"/>
  <c r="L513" i="5"/>
  <c r="L514" i="5"/>
  <c r="L515" i="5"/>
  <c r="L516" i="5"/>
  <c r="L517" i="5"/>
  <c r="L518" i="5"/>
  <c r="L519" i="5"/>
  <c r="L520" i="5"/>
  <c r="L521" i="5"/>
  <c r="L522" i="5"/>
  <c r="L523" i="5"/>
  <c r="L524" i="5"/>
  <c r="L525" i="5"/>
  <c r="L526" i="5"/>
  <c r="L527" i="5"/>
  <c r="L528" i="5"/>
  <c r="L529" i="5"/>
  <c r="L530" i="5"/>
  <c r="L531" i="5"/>
  <c r="L532" i="5"/>
  <c r="L533" i="5"/>
  <c r="L534" i="5"/>
  <c r="L535" i="5"/>
  <c r="L536" i="5"/>
  <c r="L537" i="5"/>
  <c r="L538" i="5"/>
  <c r="L539" i="5"/>
  <c r="L540" i="5"/>
  <c r="L541" i="5"/>
  <c r="L542" i="5"/>
  <c r="L543" i="5"/>
  <c r="L544" i="5"/>
  <c r="L545" i="5"/>
  <c r="L546" i="5"/>
  <c r="L547" i="5"/>
  <c r="L548" i="5"/>
  <c r="L549" i="5"/>
  <c r="L550" i="5"/>
  <c r="L551" i="5"/>
  <c r="L552" i="5"/>
  <c r="L553" i="5"/>
  <c r="L554" i="5"/>
  <c r="L555" i="5"/>
  <c r="L556" i="5"/>
  <c r="L557" i="5"/>
  <c r="L558" i="5"/>
  <c r="L559" i="5"/>
  <c r="L560" i="5"/>
  <c r="L561" i="5"/>
  <c r="L562" i="5"/>
  <c r="L563" i="5"/>
  <c r="L564" i="5"/>
  <c r="L565" i="5"/>
  <c r="L566" i="5"/>
  <c r="L567" i="5"/>
  <c r="L568" i="5"/>
  <c r="L569" i="5"/>
  <c r="L570" i="5"/>
  <c r="L571" i="5"/>
  <c r="L572" i="5"/>
  <c r="L573" i="5"/>
  <c r="L574" i="5"/>
  <c r="L575" i="5"/>
  <c r="L576" i="5"/>
  <c r="L577" i="5"/>
  <c r="L578" i="5"/>
  <c r="L579" i="5"/>
  <c r="L580" i="5"/>
  <c r="L581" i="5"/>
  <c r="L582" i="5"/>
  <c r="L583" i="5"/>
  <c r="L584" i="5"/>
  <c r="L585" i="5"/>
  <c r="L586" i="5"/>
  <c r="L587" i="5"/>
  <c r="L588" i="5"/>
  <c r="L589" i="5"/>
  <c r="L590" i="5"/>
  <c r="L591" i="5"/>
  <c r="L592" i="5"/>
  <c r="L593" i="5"/>
  <c r="L594" i="5"/>
  <c r="L595" i="5"/>
  <c r="L596" i="5"/>
  <c r="L597" i="5"/>
  <c r="L598" i="5"/>
  <c r="L599" i="5"/>
  <c r="L600" i="5"/>
  <c r="L601" i="5"/>
  <c r="L602" i="5"/>
  <c r="L603" i="5"/>
  <c r="L604" i="5"/>
  <c r="L605" i="5"/>
  <c r="L606" i="5"/>
  <c r="L607" i="5"/>
  <c r="L608" i="5"/>
  <c r="L609" i="5"/>
  <c r="L610" i="5"/>
  <c r="L611" i="5"/>
  <c r="L612" i="5"/>
  <c r="L613" i="5"/>
  <c r="L614" i="5"/>
  <c r="L615" i="5"/>
  <c r="L616" i="5"/>
  <c r="L617" i="5"/>
  <c r="L618" i="5"/>
  <c r="L619" i="5"/>
  <c r="L620" i="5"/>
  <c r="L621" i="5"/>
  <c r="L622" i="5"/>
  <c r="L623" i="5"/>
  <c r="L624" i="5"/>
  <c r="L625" i="5"/>
  <c r="L626" i="5"/>
  <c r="L627" i="5"/>
  <c r="L628" i="5"/>
  <c r="L629" i="5"/>
  <c r="L630" i="5"/>
  <c r="L631" i="5"/>
  <c r="L632" i="5"/>
  <c r="L633" i="5"/>
  <c r="L634" i="5"/>
  <c r="L635" i="5"/>
  <c r="L636" i="5"/>
  <c r="L637" i="5"/>
  <c r="L638" i="5"/>
  <c r="L639" i="5"/>
  <c r="L640" i="5"/>
  <c r="L641" i="5"/>
  <c r="L642" i="5"/>
  <c r="L643" i="5"/>
  <c r="L644" i="5"/>
  <c r="L645" i="5"/>
  <c r="L646" i="5"/>
  <c r="L647" i="5"/>
  <c r="L648" i="5"/>
  <c r="L649" i="5"/>
  <c r="L650" i="5"/>
  <c r="L651" i="5"/>
  <c r="L652" i="5"/>
  <c r="L653" i="5"/>
  <c r="L654" i="5"/>
  <c r="L655" i="5"/>
  <c r="L656" i="5"/>
  <c r="L657" i="5"/>
  <c r="L658" i="5"/>
  <c r="L659" i="5"/>
  <c r="L660" i="5"/>
  <c r="L661" i="5"/>
  <c r="L662" i="5"/>
  <c r="L663" i="5"/>
  <c r="L664" i="5"/>
  <c r="L665" i="5"/>
  <c r="L666" i="5"/>
  <c r="L667" i="5"/>
  <c r="L668" i="5"/>
  <c r="L669" i="5"/>
  <c r="L670" i="5"/>
  <c r="L671" i="5"/>
  <c r="L672" i="5"/>
  <c r="L673" i="5"/>
  <c r="L674" i="5"/>
  <c r="L675" i="5"/>
  <c r="L676" i="5"/>
  <c r="L677" i="5"/>
  <c r="L678" i="5"/>
  <c r="L679" i="5"/>
  <c r="L680" i="5"/>
  <c r="L681" i="5"/>
  <c r="L682" i="5"/>
  <c r="L683" i="5"/>
  <c r="L684" i="5"/>
  <c r="L685" i="5"/>
  <c r="L686" i="5"/>
  <c r="L687" i="5"/>
  <c r="L688" i="5"/>
  <c r="L689" i="5"/>
  <c r="L690" i="5"/>
  <c r="L691" i="5"/>
  <c r="L692" i="5"/>
  <c r="L693" i="5"/>
  <c r="L694" i="5"/>
  <c r="L695" i="5"/>
  <c r="L696" i="5"/>
  <c r="L697" i="5"/>
  <c r="L698" i="5"/>
  <c r="L699" i="5"/>
  <c r="L700" i="5"/>
  <c r="L701" i="5"/>
  <c r="L702" i="5"/>
  <c r="L703" i="5"/>
  <c r="L704" i="5"/>
  <c r="L705" i="5"/>
  <c r="L706" i="5"/>
  <c r="L707" i="5"/>
  <c r="L708" i="5"/>
  <c r="L709" i="5"/>
  <c r="L710" i="5"/>
  <c r="L711" i="5"/>
  <c r="L712" i="5"/>
  <c r="L713" i="5"/>
  <c r="L714" i="5"/>
  <c r="L715" i="5"/>
  <c r="L716" i="5"/>
  <c r="L717" i="5"/>
  <c r="L718" i="5"/>
  <c r="L719" i="5"/>
  <c r="L720" i="5"/>
  <c r="L721" i="5"/>
  <c r="L722" i="5"/>
  <c r="L723" i="5"/>
  <c r="L724" i="5"/>
  <c r="L725" i="5"/>
  <c r="L726" i="5"/>
  <c r="L727" i="5"/>
  <c r="L728" i="5"/>
  <c r="L729" i="5"/>
  <c r="L730" i="5"/>
  <c r="L731" i="5"/>
  <c r="L732" i="5"/>
  <c r="L733" i="5"/>
  <c r="L734" i="5"/>
  <c r="L735" i="5"/>
  <c r="L736" i="5"/>
  <c r="L737" i="5"/>
  <c r="L738" i="5"/>
  <c r="L739" i="5"/>
  <c r="L740" i="5"/>
  <c r="L741" i="5"/>
  <c r="L742" i="5"/>
  <c r="L743" i="5"/>
  <c r="L744" i="5"/>
  <c r="L745" i="5"/>
  <c r="L746" i="5"/>
  <c r="L747" i="5"/>
  <c r="L748" i="5"/>
  <c r="L749" i="5"/>
  <c r="L750" i="5"/>
  <c r="L751" i="5"/>
  <c r="L752" i="5"/>
  <c r="L753" i="5"/>
  <c r="L754" i="5"/>
  <c r="L755" i="5"/>
  <c r="L756" i="5"/>
  <c r="L757" i="5"/>
  <c r="L758" i="5"/>
  <c r="L759" i="5"/>
  <c r="L760" i="5"/>
  <c r="L761" i="5"/>
  <c r="L762" i="5"/>
  <c r="L763" i="5"/>
  <c r="L764" i="5"/>
  <c r="L765" i="5"/>
  <c r="L766" i="5"/>
  <c r="L767" i="5"/>
  <c r="L768" i="5"/>
  <c r="L769" i="5"/>
  <c r="L770" i="5"/>
  <c r="L771" i="5"/>
  <c r="L772" i="5"/>
  <c r="L773" i="5"/>
  <c r="L774" i="5"/>
  <c r="L775" i="5"/>
  <c r="L776" i="5"/>
  <c r="L777" i="5"/>
  <c r="L778" i="5"/>
  <c r="L779" i="5"/>
  <c r="L780" i="5"/>
  <c r="L781" i="5"/>
  <c r="L782" i="5"/>
  <c r="L783" i="5"/>
  <c r="L784" i="5"/>
  <c r="L785" i="5"/>
  <c r="L786" i="5"/>
  <c r="L787" i="5"/>
  <c r="L788" i="5"/>
  <c r="L789" i="5"/>
  <c r="L790" i="5"/>
  <c r="L791" i="5"/>
  <c r="L792" i="5"/>
  <c r="L793" i="5"/>
  <c r="L794" i="5"/>
  <c r="L795" i="5"/>
  <c r="L796" i="5"/>
  <c r="L797" i="5"/>
  <c r="L798" i="5"/>
  <c r="L799" i="5"/>
  <c r="L800" i="5"/>
  <c r="L801" i="5"/>
  <c r="L802" i="5"/>
  <c r="L803" i="5"/>
  <c r="L804" i="5"/>
  <c r="L805" i="5"/>
  <c r="L806" i="5"/>
  <c r="L807" i="5"/>
  <c r="L808" i="5"/>
  <c r="L809" i="5"/>
  <c r="L810" i="5"/>
  <c r="L811" i="5"/>
  <c r="L812" i="5"/>
  <c r="L813" i="5"/>
  <c r="L814" i="5"/>
  <c r="L815" i="5"/>
  <c r="L816" i="5"/>
  <c r="L817" i="5"/>
  <c r="L818" i="5"/>
  <c r="L819" i="5"/>
  <c r="L820" i="5"/>
  <c r="L821" i="5"/>
  <c r="L822" i="5"/>
  <c r="L823" i="5"/>
  <c r="L824" i="5"/>
  <c r="L825" i="5"/>
  <c r="L826" i="5"/>
  <c r="L827" i="5"/>
  <c r="L828" i="5"/>
  <c r="L829" i="5"/>
  <c r="L830" i="5"/>
  <c r="L831" i="5"/>
  <c r="L832" i="5"/>
  <c r="L833" i="5"/>
  <c r="L834" i="5"/>
  <c r="L835" i="5"/>
  <c r="L836" i="5"/>
  <c r="L837" i="5"/>
  <c r="L838" i="5"/>
  <c r="L839" i="5"/>
  <c r="L840" i="5"/>
  <c r="L841" i="5"/>
  <c r="L842" i="5"/>
  <c r="L843" i="5"/>
  <c r="L844" i="5"/>
  <c r="L845" i="5"/>
  <c r="L846" i="5"/>
  <c r="L847" i="5"/>
  <c r="L848" i="5"/>
  <c r="L849" i="5"/>
  <c r="L850" i="5"/>
  <c r="L851" i="5"/>
  <c r="L852" i="5"/>
  <c r="L853" i="5"/>
  <c r="L854" i="5"/>
  <c r="L855" i="5"/>
  <c r="L856" i="5"/>
  <c r="L857" i="5"/>
  <c r="L858" i="5"/>
  <c r="L859" i="5"/>
  <c r="L860" i="5"/>
  <c r="L861" i="5"/>
  <c r="L862" i="5"/>
  <c r="L863" i="5"/>
  <c r="L864" i="5"/>
  <c r="L865" i="5"/>
  <c r="L866" i="5"/>
  <c r="L867" i="5"/>
  <c r="L868" i="5"/>
  <c r="L869" i="5"/>
  <c r="L870" i="5"/>
  <c r="L871" i="5"/>
  <c r="L872" i="5"/>
  <c r="L873" i="5"/>
  <c r="L874" i="5"/>
  <c r="L875" i="5"/>
  <c r="L876" i="5"/>
  <c r="L877" i="5"/>
  <c r="L878" i="5"/>
  <c r="L879" i="5"/>
  <c r="L880" i="5"/>
  <c r="L881" i="5"/>
  <c r="L882" i="5"/>
  <c r="L883" i="5"/>
  <c r="L884" i="5"/>
  <c r="L885" i="5"/>
  <c r="L886" i="5"/>
  <c r="L887" i="5"/>
  <c r="L888" i="5"/>
  <c r="L889" i="5"/>
  <c r="L890" i="5"/>
  <c r="L891" i="5"/>
  <c r="L892" i="5"/>
  <c r="L893" i="5"/>
  <c r="L894" i="5"/>
  <c r="L895" i="5"/>
  <c r="L896" i="5"/>
  <c r="L897" i="5"/>
  <c r="L898" i="5"/>
  <c r="L899" i="5"/>
  <c r="L900" i="5"/>
  <c r="L901" i="5"/>
  <c r="L902" i="5"/>
  <c r="L903" i="5"/>
  <c r="L904" i="5"/>
  <c r="L905" i="5"/>
  <c r="L906" i="5"/>
  <c r="L907" i="5"/>
  <c r="L908" i="5"/>
  <c r="L909" i="5"/>
  <c r="L910" i="5"/>
  <c r="L911" i="5"/>
  <c r="L912" i="5"/>
  <c r="L913" i="5"/>
  <c r="L914" i="5"/>
  <c r="L915" i="5"/>
  <c r="L916" i="5"/>
  <c r="L917" i="5"/>
  <c r="L918" i="5"/>
  <c r="L919" i="5"/>
  <c r="L920" i="5"/>
  <c r="L921" i="5"/>
  <c r="L922" i="5"/>
  <c r="L923" i="5"/>
  <c r="L924" i="5"/>
  <c r="L925" i="5"/>
  <c r="L926" i="5"/>
  <c r="L927" i="5"/>
  <c r="L928" i="5"/>
  <c r="L929" i="5"/>
  <c r="L930" i="5"/>
  <c r="L931" i="5"/>
  <c r="L932" i="5"/>
  <c r="L933" i="5"/>
  <c r="L934" i="5"/>
  <c r="L935" i="5"/>
  <c r="L936" i="5"/>
  <c r="L937" i="5"/>
  <c r="L938" i="5"/>
  <c r="L939" i="5"/>
  <c r="L940" i="5"/>
  <c r="L941" i="5"/>
  <c r="L942" i="5"/>
  <c r="L943" i="5"/>
  <c r="L944" i="5"/>
  <c r="L945" i="5"/>
  <c r="L946" i="5"/>
  <c r="L947" i="5"/>
  <c r="L948" i="5"/>
  <c r="L949" i="5"/>
  <c r="L950" i="5"/>
  <c r="L951" i="5"/>
  <c r="L952" i="5"/>
  <c r="L953" i="5"/>
  <c r="L954" i="5"/>
  <c r="L955" i="5"/>
  <c r="L956" i="5"/>
  <c r="L957" i="5"/>
  <c r="L958" i="5"/>
  <c r="L959" i="5"/>
  <c r="L960" i="5"/>
  <c r="L961" i="5"/>
  <c r="L962" i="5"/>
  <c r="L963" i="5"/>
  <c r="L964" i="5"/>
  <c r="L965" i="5"/>
  <c r="L966" i="5"/>
  <c r="L967" i="5"/>
  <c r="L968" i="5"/>
  <c r="L969" i="5"/>
  <c r="L970" i="5"/>
  <c r="L971" i="5"/>
  <c r="L972" i="5"/>
  <c r="L973" i="5"/>
  <c r="L974" i="5"/>
  <c r="L975" i="5"/>
  <c r="L976" i="5"/>
  <c r="L977" i="5"/>
  <c r="L978" i="5"/>
  <c r="L979" i="5"/>
  <c r="L980" i="5"/>
  <c r="L981" i="5"/>
  <c r="L982" i="5"/>
  <c r="L983" i="5"/>
  <c r="L984" i="5"/>
  <c r="L985" i="5"/>
  <c r="L986" i="5"/>
  <c r="L987" i="5"/>
  <c r="L988" i="5"/>
  <c r="L989" i="5"/>
  <c r="L990" i="5"/>
  <c r="L991" i="5"/>
  <c r="L992" i="5"/>
  <c r="L993" i="5"/>
  <c r="L994" i="5"/>
  <c r="L995" i="5"/>
  <c r="L996" i="5"/>
  <c r="L997" i="5"/>
  <c r="L998" i="5"/>
  <c r="L999" i="5"/>
  <c r="L1000" i="5"/>
  <c r="M51" i="5"/>
  <c r="M52" i="5"/>
  <c r="M53" i="5"/>
  <c r="M54" i="5"/>
  <c r="M55" i="5"/>
  <c r="M56" i="5"/>
  <c r="M57" i="5"/>
  <c r="M58" i="5"/>
  <c r="M59" i="5"/>
  <c r="M60" i="5"/>
  <c r="M61" i="5"/>
  <c r="M62" i="5"/>
  <c r="M63" i="5"/>
  <c r="M64" i="5"/>
  <c r="M65" i="5"/>
  <c r="M66" i="5"/>
  <c r="M67" i="5"/>
  <c r="M68" i="5"/>
  <c r="M69" i="5"/>
  <c r="M70" i="5"/>
  <c r="M71" i="5"/>
  <c r="M72" i="5"/>
  <c r="M73" i="5"/>
  <c r="M74" i="5"/>
  <c r="M75" i="5"/>
  <c r="M76" i="5"/>
  <c r="M77" i="5"/>
  <c r="M78" i="5"/>
  <c r="M79" i="5"/>
  <c r="M80" i="5"/>
  <c r="M81" i="5"/>
  <c r="M82" i="5"/>
  <c r="M83" i="5"/>
  <c r="M84" i="5"/>
  <c r="M85" i="5"/>
  <c r="M86" i="5"/>
  <c r="M87" i="5"/>
  <c r="M88" i="5"/>
  <c r="M89" i="5"/>
  <c r="M90" i="5"/>
  <c r="M91" i="5"/>
  <c r="M92" i="5"/>
  <c r="M93" i="5"/>
  <c r="M94" i="5"/>
  <c r="M95" i="5"/>
  <c r="M96" i="5"/>
  <c r="M97" i="5"/>
  <c r="M98" i="5"/>
  <c r="M99" i="5"/>
  <c r="M100" i="5"/>
  <c r="M101" i="5"/>
  <c r="M102" i="5"/>
  <c r="M103" i="5"/>
  <c r="M104" i="5"/>
  <c r="M105" i="5"/>
  <c r="M106" i="5"/>
  <c r="M107" i="5"/>
  <c r="M108" i="5"/>
  <c r="M109" i="5"/>
  <c r="M110" i="5"/>
  <c r="M111" i="5"/>
  <c r="M112" i="5"/>
  <c r="M113" i="5"/>
  <c r="M114" i="5"/>
  <c r="M115" i="5"/>
  <c r="M116" i="5"/>
  <c r="M117" i="5"/>
  <c r="M118" i="5"/>
  <c r="M119" i="5"/>
  <c r="M120" i="5"/>
  <c r="M121" i="5"/>
  <c r="M122" i="5"/>
  <c r="M123" i="5"/>
  <c r="M124" i="5"/>
  <c r="M125" i="5"/>
  <c r="M126" i="5"/>
  <c r="M127" i="5"/>
  <c r="M128" i="5"/>
  <c r="M129" i="5"/>
  <c r="M130" i="5"/>
  <c r="M131" i="5"/>
  <c r="M132" i="5"/>
  <c r="M133" i="5"/>
  <c r="M134" i="5"/>
  <c r="M135" i="5"/>
  <c r="M136" i="5"/>
  <c r="M137" i="5"/>
  <c r="M138" i="5"/>
  <c r="M139" i="5"/>
  <c r="M140" i="5"/>
  <c r="M141" i="5"/>
  <c r="M142" i="5"/>
  <c r="M143" i="5"/>
  <c r="M144" i="5"/>
  <c r="M145" i="5"/>
  <c r="M146" i="5"/>
  <c r="M147" i="5"/>
  <c r="M148" i="5"/>
  <c r="M149" i="5"/>
  <c r="M150" i="5"/>
  <c r="M151" i="5"/>
  <c r="M152" i="5"/>
  <c r="M153" i="5"/>
  <c r="M154" i="5"/>
  <c r="M155" i="5"/>
  <c r="M156" i="5"/>
  <c r="M157" i="5"/>
  <c r="M158" i="5"/>
  <c r="M159" i="5"/>
  <c r="M160" i="5"/>
  <c r="M161" i="5"/>
  <c r="M162" i="5"/>
  <c r="M163" i="5"/>
  <c r="M164" i="5"/>
  <c r="M165" i="5"/>
  <c r="M166" i="5"/>
  <c r="M167" i="5"/>
  <c r="M168" i="5"/>
  <c r="M169" i="5"/>
  <c r="M170" i="5"/>
  <c r="M171" i="5"/>
  <c r="M172" i="5"/>
  <c r="M173" i="5"/>
  <c r="M174" i="5"/>
  <c r="M175" i="5"/>
  <c r="M176" i="5"/>
  <c r="M177" i="5"/>
  <c r="M178" i="5"/>
  <c r="M179" i="5"/>
  <c r="M180" i="5"/>
  <c r="M181" i="5"/>
  <c r="M182" i="5"/>
  <c r="M183" i="5"/>
  <c r="M184" i="5"/>
  <c r="M185" i="5"/>
  <c r="M186" i="5"/>
  <c r="M187" i="5"/>
  <c r="M188" i="5"/>
  <c r="M189" i="5"/>
  <c r="M190" i="5"/>
  <c r="M191" i="5"/>
  <c r="M192" i="5"/>
  <c r="M193" i="5"/>
  <c r="M194" i="5"/>
  <c r="M195" i="5"/>
  <c r="M196" i="5"/>
  <c r="M197" i="5"/>
  <c r="M198" i="5"/>
  <c r="M199" i="5"/>
  <c r="M200" i="5"/>
  <c r="M201" i="5"/>
  <c r="M202" i="5"/>
  <c r="M203" i="5"/>
  <c r="M204" i="5"/>
  <c r="M205" i="5"/>
  <c r="M206" i="5"/>
  <c r="M207" i="5"/>
  <c r="M208" i="5"/>
  <c r="M209" i="5"/>
  <c r="M210" i="5"/>
  <c r="M211" i="5"/>
  <c r="M212" i="5"/>
  <c r="M213" i="5"/>
  <c r="M214" i="5"/>
  <c r="M215" i="5"/>
  <c r="M216" i="5"/>
  <c r="M217" i="5"/>
  <c r="M218" i="5"/>
  <c r="M219" i="5"/>
  <c r="M220" i="5"/>
  <c r="M221" i="5"/>
  <c r="M222" i="5"/>
  <c r="M223" i="5"/>
  <c r="M224" i="5"/>
  <c r="M225" i="5"/>
  <c r="M226" i="5"/>
  <c r="M227" i="5"/>
  <c r="M228" i="5"/>
  <c r="M229" i="5"/>
  <c r="M230" i="5"/>
  <c r="M231" i="5"/>
  <c r="M232" i="5"/>
  <c r="M233" i="5"/>
  <c r="M234" i="5"/>
  <c r="M235" i="5"/>
  <c r="M236" i="5"/>
  <c r="M237" i="5"/>
  <c r="M238" i="5"/>
  <c r="M239" i="5"/>
  <c r="M240" i="5"/>
  <c r="M241" i="5"/>
  <c r="M242" i="5"/>
  <c r="M243" i="5"/>
  <c r="M244" i="5"/>
  <c r="M245" i="5"/>
  <c r="M246" i="5"/>
  <c r="M247" i="5"/>
  <c r="M248" i="5"/>
  <c r="M249" i="5"/>
  <c r="M250" i="5"/>
  <c r="M251" i="5"/>
  <c r="M252" i="5"/>
  <c r="M253" i="5"/>
  <c r="M254" i="5"/>
  <c r="M255" i="5"/>
  <c r="M256" i="5"/>
  <c r="M257" i="5"/>
  <c r="M258" i="5"/>
  <c r="M259" i="5"/>
  <c r="M260" i="5"/>
  <c r="M261" i="5"/>
  <c r="M262" i="5"/>
  <c r="M263" i="5"/>
  <c r="M264" i="5"/>
  <c r="M265" i="5"/>
  <c r="M266" i="5"/>
  <c r="M267" i="5"/>
  <c r="M268" i="5"/>
  <c r="M269" i="5"/>
  <c r="M270" i="5"/>
  <c r="M271" i="5"/>
  <c r="M272" i="5"/>
  <c r="M273" i="5"/>
  <c r="M274" i="5"/>
  <c r="M275" i="5"/>
  <c r="M276" i="5"/>
  <c r="M277" i="5"/>
  <c r="M278" i="5"/>
  <c r="M279" i="5"/>
  <c r="M280" i="5"/>
  <c r="M281" i="5"/>
  <c r="M282" i="5"/>
  <c r="M283" i="5"/>
  <c r="M284" i="5"/>
  <c r="M285" i="5"/>
  <c r="M286" i="5"/>
  <c r="M287" i="5"/>
  <c r="M288" i="5"/>
  <c r="M289" i="5"/>
  <c r="M290" i="5"/>
  <c r="M291" i="5"/>
  <c r="M292" i="5"/>
  <c r="M293" i="5"/>
  <c r="M294" i="5"/>
  <c r="M295" i="5"/>
  <c r="M296" i="5"/>
  <c r="M297" i="5"/>
  <c r="M298" i="5"/>
  <c r="M299" i="5"/>
  <c r="M300" i="5"/>
  <c r="M301" i="5"/>
  <c r="M302" i="5"/>
  <c r="M303" i="5"/>
  <c r="M304" i="5"/>
  <c r="M305" i="5"/>
  <c r="M306" i="5"/>
  <c r="M307" i="5"/>
  <c r="M308" i="5"/>
  <c r="M309" i="5"/>
  <c r="M310" i="5"/>
  <c r="M311" i="5"/>
  <c r="M312" i="5"/>
  <c r="M313" i="5"/>
  <c r="M314" i="5"/>
  <c r="M315" i="5"/>
  <c r="M316" i="5"/>
  <c r="M317" i="5"/>
  <c r="M318" i="5"/>
  <c r="M319" i="5"/>
  <c r="M320" i="5"/>
  <c r="M321" i="5"/>
  <c r="M322" i="5"/>
  <c r="M323" i="5"/>
  <c r="M324" i="5"/>
  <c r="M325" i="5"/>
  <c r="M326" i="5"/>
  <c r="M327" i="5"/>
  <c r="M328" i="5"/>
  <c r="M329" i="5"/>
  <c r="M330" i="5"/>
  <c r="M331" i="5"/>
  <c r="M332" i="5"/>
  <c r="M333" i="5"/>
  <c r="M334" i="5"/>
  <c r="M335" i="5"/>
  <c r="M336" i="5"/>
  <c r="M337" i="5"/>
  <c r="M338" i="5"/>
  <c r="M339" i="5"/>
  <c r="M340" i="5"/>
  <c r="M341" i="5"/>
  <c r="M342" i="5"/>
  <c r="M343" i="5"/>
  <c r="M344" i="5"/>
  <c r="M345" i="5"/>
  <c r="M346" i="5"/>
  <c r="M347" i="5"/>
  <c r="M348" i="5"/>
  <c r="M349" i="5"/>
  <c r="M350" i="5"/>
  <c r="M351" i="5"/>
  <c r="M352" i="5"/>
  <c r="M353" i="5"/>
  <c r="M354" i="5"/>
  <c r="M355" i="5"/>
  <c r="M356" i="5"/>
  <c r="M357" i="5"/>
  <c r="M358" i="5"/>
  <c r="M359" i="5"/>
  <c r="M360" i="5"/>
  <c r="M361" i="5"/>
  <c r="M362" i="5"/>
  <c r="M363" i="5"/>
  <c r="M364" i="5"/>
  <c r="M365" i="5"/>
  <c r="M366" i="5"/>
  <c r="M367" i="5"/>
  <c r="M368" i="5"/>
  <c r="M369" i="5"/>
  <c r="M370" i="5"/>
  <c r="M371" i="5"/>
  <c r="M372" i="5"/>
  <c r="M373" i="5"/>
  <c r="M374" i="5"/>
  <c r="M375" i="5"/>
  <c r="M376" i="5"/>
  <c r="M377" i="5"/>
  <c r="M378" i="5"/>
  <c r="M379" i="5"/>
  <c r="M380" i="5"/>
  <c r="M381" i="5"/>
  <c r="M382" i="5"/>
  <c r="M383" i="5"/>
  <c r="M384" i="5"/>
  <c r="M385" i="5"/>
  <c r="M386" i="5"/>
  <c r="M387" i="5"/>
  <c r="M388" i="5"/>
  <c r="M389" i="5"/>
  <c r="M390" i="5"/>
  <c r="M391" i="5"/>
  <c r="M392" i="5"/>
  <c r="M393" i="5"/>
  <c r="M394" i="5"/>
  <c r="M395" i="5"/>
  <c r="M396" i="5"/>
  <c r="M397" i="5"/>
  <c r="M398" i="5"/>
  <c r="M399" i="5"/>
  <c r="M400" i="5"/>
  <c r="M401" i="5"/>
  <c r="M402" i="5"/>
  <c r="M403" i="5"/>
  <c r="M404" i="5"/>
  <c r="M405" i="5"/>
  <c r="M406" i="5"/>
  <c r="M407" i="5"/>
  <c r="M408" i="5"/>
  <c r="M409" i="5"/>
  <c r="M410" i="5"/>
  <c r="M411" i="5"/>
  <c r="M412" i="5"/>
  <c r="M413" i="5"/>
  <c r="M414" i="5"/>
  <c r="M415" i="5"/>
  <c r="M416" i="5"/>
  <c r="M417" i="5"/>
  <c r="M418" i="5"/>
  <c r="M419" i="5"/>
  <c r="M420" i="5"/>
  <c r="M421" i="5"/>
  <c r="M422" i="5"/>
  <c r="M423" i="5"/>
  <c r="M424" i="5"/>
  <c r="M425" i="5"/>
  <c r="M426" i="5"/>
  <c r="M427" i="5"/>
  <c r="M428" i="5"/>
  <c r="M429" i="5"/>
  <c r="M430" i="5"/>
  <c r="M431" i="5"/>
  <c r="M432" i="5"/>
  <c r="M433" i="5"/>
  <c r="M434" i="5"/>
  <c r="M435" i="5"/>
  <c r="M436" i="5"/>
  <c r="M437" i="5"/>
  <c r="M438" i="5"/>
  <c r="M439" i="5"/>
  <c r="M440" i="5"/>
  <c r="M441" i="5"/>
  <c r="M442" i="5"/>
  <c r="M443" i="5"/>
  <c r="M444" i="5"/>
  <c r="M445" i="5"/>
  <c r="M446" i="5"/>
  <c r="M447" i="5"/>
  <c r="M448" i="5"/>
  <c r="M449" i="5"/>
  <c r="M450" i="5"/>
  <c r="M451" i="5"/>
  <c r="M452" i="5"/>
  <c r="M453" i="5"/>
  <c r="M454" i="5"/>
  <c r="M455" i="5"/>
  <c r="M456" i="5"/>
  <c r="M457" i="5"/>
  <c r="M458" i="5"/>
  <c r="M459" i="5"/>
  <c r="M460" i="5"/>
  <c r="M461" i="5"/>
  <c r="M462" i="5"/>
  <c r="M463" i="5"/>
  <c r="M464" i="5"/>
  <c r="M465" i="5"/>
  <c r="M466" i="5"/>
  <c r="M467" i="5"/>
  <c r="M468" i="5"/>
  <c r="M469" i="5"/>
  <c r="M470" i="5"/>
  <c r="M471" i="5"/>
  <c r="M472" i="5"/>
  <c r="M473" i="5"/>
  <c r="M474" i="5"/>
  <c r="M475" i="5"/>
  <c r="M476" i="5"/>
  <c r="M477" i="5"/>
  <c r="M478" i="5"/>
  <c r="M479" i="5"/>
  <c r="M480" i="5"/>
  <c r="M481" i="5"/>
  <c r="M482" i="5"/>
  <c r="M483" i="5"/>
  <c r="M484" i="5"/>
  <c r="M485" i="5"/>
  <c r="M486" i="5"/>
  <c r="M487" i="5"/>
  <c r="M488" i="5"/>
  <c r="M489" i="5"/>
  <c r="M490" i="5"/>
  <c r="M491" i="5"/>
  <c r="M492" i="5"/>
  <c r="M493" i="5"/>
  <c r="M494" i="5"/>
  <c r="M495" i="5"/>
  <c r="M496" i="5"/>
  <c r="M497" i="5"/>
  <c r="M498" i="5"/>
  <c r="M499" i="5"/>
  <c r="M500" i="5"/>
  <c r="M501" i="5"/>
  <c r="M502" i="5"/>
  <c r="M503" i="5"/>
  <c r="M504" i="5"/>
  <c r="M505" i="5"/>
  <c r="M506" i="5"/>
  <c r="M507" i="5"/>
  <c r="M508" i="5"/>
  <c r="M509" i="5"/>
  <c r="M510" i="5"/>
  <c r="M511" i="5"/>
  <c r="M512" i="5"/>
  <c r="M513" i="5"/>
  <c r="M514" i="5"/>
  <c r="M515" i="5"/>
  <c r="M516" i="5"/>
  <c r="M517" i="5"/>
  <c r="M518" i="5"/>
  <c r="M519" i="5"/>
  <c r="M520" i="5"/>
  <c r="M521" i="5"/>
  <c r="M522" i="5"/>
  <c r="M523" i="5"/>
  <c r="M524" i="5"/>
  <c r="M525" i="5"/>
  <c r="M526" i="5"/>
  <c r="M527" i="5"/>
  <c r="M528" i="5"/>
  <c r="M529" i="5"/>
  <c r="M530" i="5"/>
  <c r="M531" i="5"/>
  <c r="M532" i="5"/>
  <c r="M533" i="5"/>
  <c r="M534" i="5"/>
  <c r="M535" i="5"/>
  <c r="M536" i="5"/>
  <c r="M537" i="5"/>
  <c r="M538" i="5"/>
  <c r="M539" i="5"/>
  <c r="M540" i="5"/>
  <c r="M541" i="5"/>
  <c r="M542" i="5"/>
  <c r="M543" i="5"/>
  <c r="M544" i="5"/>
  <c r="M545" i="5"/>
  <c r="M546" i="5"/>
  <c r="M547" i="5"/>
  <c r="M548" i="5"/>
  <c r="M549" i="5"/>
  <c r="M550" i="5"/>
  <c r="M551" i="5"/>
  <c r="M552" i="5"/>
  <c r="M553" i="5"/>
  <c r="M554" i="5"/>
  <c r="M555" i="5"/>
  <c r="M556" i="5"/>
  <c r="M557" i="5"/>
  <c r="M558" i="5"/>
  <c r="M559" i="5"/>
  <c r="M560" i="5"/>
  <c r="M561" i="5"/>
  <c r="M562" i="5"/>
  <c r="M563" i="5"/>
  <c r="M564" i="5"/>
  <c r="M565" i="5"/>
  <c r="M566" i="5"/>
  <c r="M567" i="5"/>
  <c r="M568" i="5"/>
  <c r="M569" i="5"/>
  <c r="M570" i="5"/>
  <c r="M571" i="5"/>
  <c r="M572" i="5"/>
  <c r="M573" i="5"/>
  <c r="M574" i="5"/>
  <c r="M575" i="5"/>
  <c r="M576" i="5"/>
  <c r="M577" i="5"/>
  <c r="M578" i="5"/>
  <c r="M579" i="5"/>
  <c r="M580" i="5"/>
  <c r="M581" i="5"/>
  <c r="M582" i="5"/>
  <c r="M583" i="5"/>
  <c r="M584" i="5"/>
  <c r="M585" i="5"/>
  <c r="M586" i="5"/>
  <c r="M587" i="5"/>
  <c r="M588" i="5"/>
  <c r="M589" i="5"/>
  <c r="M590" i="5"/>
  <c r="M591" i="5"/>
  <c r="M592" i="5"/>
  <c r="M593" i="5"/>
  <c r="M594" i="5"/>
  <c r="M595" i="5"/>
  <c r="M596" i="5"/>
  <c r="M597" i="5"/>
  <c r="M598" i="5"/>
  <c r="M599" i="5"/>
  <c r="M600" i="5"/>
  <c r="M601" i="5"/>
  <c r="M602" i="5"/>
  <c r="M603" i="5"/>
  <c r="M604" i="5"/>
  <c r="M605" i="5"/>
  <c r="M606" i="5"/>
  <c r="M607" i="5"/>
  <c r="M608" i="5"/>
  <c r="M609" i="5"/>
  <c r="M610" i="5"/>
  <c r="M611" i="5"/>
  <c r="M612" i="5"/>
  <c r="M613" i="5"/>
  <c r="M614" i="5"/>
  <c r="M615" i="5"/>
  <c r="M616" i="5"/>
  <c r="M617" i="5"/>
  <c r="M618" i="5"/>
  <c r="M619" i="5"/>
  <c r="M620" i="5"/>
  <c r="M621" i="5"/>
  <c r="M622" i="5"/>
  <c r="M623" i="5"/>
  <c r="M624" i="5"/>
  <c r="M625" i="5"/>
  <c r="M626" i="5"/>
  <c r="M627" i="5"/>
  <c r="M628" i="5"/>
  <c r="M629" i="5"/>
  <c r="M630" i="5"/>
  <c r="M631" i="5"/>
  <c r="M632" i="5"/>
  <c r="M633" i="5"/>
  <c r="M634" i="5"/>
  <c r="M635" i="5"/>
  <c r="M636" i="5"/>
  <c r="M637" i="5"/>
  <c r="M638" i="5"/>
  <c r="M639" i="5"/>
  <c r="M640" i="5"/>
  <c r="M641" i="5"/>
  <c r="M642" i="5"/>
  <c r="M643" i="5"/>
  <c r="M644" i="5"/>
  <c r="M645" i="5"/>
  <c r="M646" i="5"/>
  <c r="M647" i="5"/>
  <c r="M648" i="5"/>
  <c r="M649" i="5"/>
  <c r="M650" i="5"/>
  <c r="M651" i="5"/>
  <c r="M652" i="5"/>
  <c r="M653" i="5"/>
  <c r="M654" i="5"/>
  <c r="M655" i="5"/>
  <c r="M656" i="5"/>
  <c r="M657" i="5"/>
  <c r="M658" i="5"/>
  <c r="M659" i="5"/>
  <c r="M660" i="5"/>
  <c r="M661" i="5"/>
  <c r="M662" i="5"/>
  <c r="M663" i="5"/>
  <c r="M664" i="5"/>
  <c r="M665" i="5"/>
  <c r="M666" i="5"/>
  <c r="M667" i="5"/>
  <c r="M668" i="5"/>
  <c r="M669" i="5"/>
  <c r="M670" i="5"/>
  <c r="M671" i="5"/>
  <c r="M672" i="5"/>
  <c r="M673" i="5"/>
  <c r="M674" i="5"/>
  <c r="M675" i="5"/>
  <c r="M676" i="5"/>
  <c r="M677" i="5"/>
  <c r="M678" i="5"/>
  <c r="M679" i="5"/>
  <c r="M680" i="5"/>
  <c r="M681" i="5"/>
  <c r="M682" i="5"/>
  <c r="M683" i="5"/>
  <c r="M684" i="5"/>
  <c r="M685" i="5"/>
  <c r="M686" i="5"/>
  <c r="M687" i="5"/>
  <c r="M688" i="5"/>
  <c r="M689" i="5"/>
  <c r="M690" i="5"/>
  <c r="M691" i="5"/>
  <c r="M692" i="5"/>
  <c r="M693" i="5"/>
  <c r="M694" i="5"/>
  <c r="M695" i="5"/>
  <c r="M696" i="5"/>
  <c r="M697" i="5"/>
  <c r="M698" i="5"/>
  <c r="M699" i="5"/>
  <c r="M700" i="5"/>
  <c r="M701" i="5"/>
  <c r="M702" i="5"/>
  <c r="M703" i="5"/>
  <c r="M704" i="5"/>
  <c r="M705" i="5"/>
  <c r="M706" i="5"/>
  <c r="M707" i="5"/>
  <c r="M708" i="5"/>
  <c r="M709" i="5"/>
  <c r="M710" i="5"/>
  <c r="M711" i="5"/>
  <c r="M712" i="5"/>
  <c r="M713" i="5"/>
  <c r="M714" i="5"/>
  <c r="M715" i="5"/>
  <c r="M716" i="5"/>
  <c r="M717" i="5"/>
  <c r="M718" i="5"/>
  <c r="M719" i="5"/>
  <c r="M720" i="5"/>
  <c r="M721" i="5"/>
  <c r="M722" i="5"/>
  <c r="M723" i="5"/>
  <c r="M724" i="5"/>
  <c r="M725" i="5"/>
  <c r="M726" i="5"/>
  <c r="M727" i="5"/>
  <c r="M728" i="5"/>
  <c r="M729" i="5"/>
  <c r="M730" i="5"/>
  <c r="M731" i="5"/>
  <c r="M732" i="5"/>
  <c r="M733" i="5"/>
  <c r="M734" i="5"/>
  <c r="M735" i="5"/>
  <c r="M736" i="5"/>
  <c r="M737" i="5"/>
  <c r="M738" i="5"/>
  <c r="M739" i="5"/>
  <c r="M740" i="5"/>
  <c r="M741" i="5"/>
  <c r="M742" i="5"/>
  <c r="M743" i="5"/>
  <c r="M744" i="5"/>
  <c r="M745" i="5"/>
  <c r="M746" i="5"/>
  <c r="M747" i="5"/>
  <c r="M748" i="5"/>
  <c r="M749" i="5"/>
  <c r="M750" i="5"/>
  <c r="M751" i="5"/>
  <c r="M752" i="5"/>
  <c r="M753" i="5"/>
  <c r="M754" i="5"/>
  <c r="M755" i="5"/>
  <c r="M756" i="5"/>
  <c r="M757" i="5"/>
  <c r="M758" i="5"/>
  <c r="M759" i="5"/>
  <c r="M760" i="5"/>
  <c r="M761" i="5"/>
  <c r="M762" i="5"/>
  <c r="M763" i="5"/>
  <c r="M764" i="5"/>
  <c r="M765" i="5"/>
  <c r="M766" i="5"/>
  <c r="M767" i="5"/>
  <c r="M768" i="5"/>
  <c r="M769" i="5"/>
  <c r="M770" i="5"/>
  <c r="M771" i="5"/>
  <c r="M772" i="5"/>
  <c r="M773" i="5"/>
  <c r="M774" i="5"/>
  <c r="M775" i="5"/>
  <c r="M776" i="5"/>
  <c r="M777" i="5"/>
  <c r="M778" i="5"/>
  <c r="M779" i="5"/>
  <c r="M780" i="5"/>
  <c r="M781" i="5"/>
  <c r="M782" i="5"/>
  <c r="M783" i="5"/>
  <c r="M784" i="5"/>
  <c r="M785" i="5"/>
  <c r="M786" i="5"/>
  <c r="M787" i="5"/>
  <c r="M788" i="5"/>
  <c r="M789" i="5"/>
  <c r="M790" i="5"/>
  <c r="M791" i="5"/>
  <c r="M792" i="5"/>
  <c r="M793" i="5"/>
  <c r="M794" i="5"/>
  <c r="M795" i="5"/>
  <c r="M796" i="5"/>
  <c r="M797" i="5"/>
  <c r="M798" i="5"/>
  <c r="M799" i="5"/>
  <c r="M800" i="5"/>
  <c r="M801" i="5"/>
  <c r="M802" i="5"/>
  <c r="M803" i="5"/>
  <c r="M804" i="5"/>
  <c r="M805" i="5"/>
  <c r="M806" i="5"/>
  <c r="M807" i="5"/>
  <c r="M808" i="5"/>
  <c r="M809" i="5"/>
  <c r="M810" i="5"/>
  <c r="M811" i="5"/>
  <c r="M812" i="5"/>
  <c r="M813" i="5"/>
  <c r="M814" i="5"/>
  <c r="M815" i="5"/>
  <c r="M816" i="5"/>
  <c r="M817" i="5"/>
  <c r="M818" i="5"/>
  <c r="M819" i="5"/>
  <c r="M820" i="5"/>
  <c r="M821" i="5"/>
  <c r="M822" i="5"/>
  <c r="M823" i="5"/>
  <c r="M824" i="5"/>
  <c r="M825" i="5"/>
  <c r="M826" i="5"/>
  <c r="M827" i="5"/>
  <c r="M828" i="5"/>
  <c r="M829" i="5"/>
  <c r="M830" i="5"/>
  <c r="M831" i="5"/>
  <c r="M832" i="5"/>
  <c r="M833" i="5"/>
  <c r="M834" i="5"/>
  <c r="M835" i="5"/>
  <c r="M836" i="5"/>
  <c r="M837" i="5"/>
  <c r="M838" i="5"/>
  <c r="M839" i="5"/>
  <c r="M840" i="5"/>
  <c r="M841" i="5"/>
  <c r="M842" i="5"/>
  <c r="M843" i="5"/>
  <c r="M844" i="5"/>
  <c r="M845" i="5"/>
  <c r="M846" i="5"/>
  <c r="M847" i="5"/>
  <c r="M848" i="5"/>
  <c r="M849" i="5"/>
  <c r="M850" i="5"/>
  <c r="M851" i="5"/>
  <c r="M852" i="5"/>
  <c r="M853" i="5"/>
  <c r="M854" i="5"/>
  <c r="M855" i="5"/>
  <c r="M856" i="5"/>
  <c r="M857" i="5"/>
  <c r="M858" i="5"/>
  <c r="M859" i="5"/>
  <c r="M860" i="5"/>
  <c r="M861" i="5"/>
  <c r="M862" i="5"/>
  <c r="M863" i="5"/>
  <c r="M864" i="5"/>
  <c r="M865" i="5"/>
  <c r="M866" i="5"/>
  <c r="M867" i="5"/>
  <c r="M868" i="5"/>
  <c r="M869" i="5"/>
  <c r="M870" i="5"/>
  <c r="M871" i="5"/>
  <c r="M872" i="5"/>
  <c r="M873" i="5"/>
  <c r="M874" i="5"/>
  <c r="M875" i="5"/>
  <c r="M876" i="5"/>
  <c r="M877" i="5"/>
  <c r="M878" i="5"/>
  <c r="M879" i="5"/>
  <c r="M880" i="5"/>
  <c r="M881" i="5"/>
  <c r="M882" i="5"/>
  <c r="M883" i="5"/>
  <c r="M884" i="5"/>
  <c r="M885" i="5"/>
  <c r="M886" i="5"/>
  <c r="M887" i="5"/>
  <c r="M888" i="5"/>
  <c r="M889" i="5"/>
  <c r="M890" i="5"/>
  <c r="M891" i="5"/>
  <c r="M892" i="5"/>
  <c r="M893" i="5"/>
  <c r="M894" i="5"/>
  <c r="M895" i="5"/>
  <c r="M896" i="5"/>
  <c r="M897" i="5"/>
  <c r="M898" i="5"/>
  <c r="M899" i="5"/>
  <c r="M900" i="5"/>
  <c r="M901" i="5"/>
  <c r="M902" i="5"/>
  <c r="M903" i="5"/>
  <c r="M904" i="5"/>
  <c r="M905" i="5"/>
  <c r="M906" i="5"/>
  <c r="M907" i="5"/>
  <c r="M908" i="5"/>
  <c r="M909" i="5"/>
  <c r="M910" i="5"/>
  <c r="M911" i="5"/>
  <c r="M912" i="5"/>
  <c r="M913" i="5"/>
  <c r="M914" i="5"/>
  <c r="M915" i="5"/>
  <c r="M916" i="5"/>
  <c r="M917" i="5"/>
  <c r="M918" i="5"/>
  <c r="M919" i="5"/>
  <c r="M920" i="5"/>
  <c r="M921" i="5"/>
  <c r="M922" i="5"/>
  <c r="M923" i="5"/>
  <c r="M924" i="5"/>
  <c r="M925" i="5"/>
  <c r="M926" i="5"/>
  <c r="M927" i="5"/>
  <c r="M928" i="5"/>
  <c r="M929" i="5"/>
  <c r="M930" i="5"/>
  <c r="M931" i="5"/>
  <c r="M932" i="5"/>
  <c r="M933" i="5"/>
  <c r="M934" i="5"/>
  <c r="M935" i="5"/>
  <c r="M936" i="5"/>
  <c r="M937" i="5"/>
  <c r="M938" i="5"/>
  <c r="M939" i="5"/>
  <c r="M940" i="5"/>
  <c r="M941" i="5"/>
  <c r="M942" i="5"/>
  <c r="M943" i="5"/>
  <c r="M944" i="5"/>
  <c r="M945" i="5"/>
  <c r="M946" i="5"/>
  <c r="M947" i="5"/>
  <c r="M948" i="5"/>
  <c r="M949" i="5"/>
  <c r="M950" i="5"/>
  <c r="M951" i="5"/>
  <c r="M952" i="5"/>
  <c r="M953" i="5"/>
  <c r="M954" i="5"/>
  <c r="M955" i="5"/>
  <c r="M956" i="5"/>
  <c r="M957" i="5"/>
  <c r="M958" i="5"/>
  <c r="M959" i="5"/>
  <c r="M960" i="5"/>
  <c r="M961" i="5"/>
  <c r="M962" i="5"/>
  <c r="M963" i="5"/>
  <c r="M964" i="5"/>
  <c r="M965" i="5"/>
  <c r="M966" i="5"/>
  <c r="M967" i="5"/>
  <c r="M968" i="5"/>
  <c r="M969" i="5"/>
  <c r="M970" i="5"/>
  <c r="M971" i="5"/>
  <c r="M972" i="5"/>
  <c r="M973" i="5"/>
  <c r="M974" i="5"/>
  <c r="M975" i="5"/>
  <c r="M976" i="5"/>
  <c r="M977" i="5"/>
  <c r="M978" i="5"/>
  <c r="M979" i="5"/>
  <c r="M980" i="5"/>
  <c r="M981" i="5"/>
  <c r="M982" i="5"/>
  <c r="M983" i="5"/>
  <c r="M984" i="5"/>
  <c r="M985" i="5"/>
  <c r="M986" i="5"/>
  <c r="M987" i="5"/>
  <c r="M988" i="5"/>
  <c r="M989" i="5"/>
  <c r="M990" i="5"/>
  <c r="M991" i="5"/>
  <c r="M992" i="5"/>
  <c r="M993" i="5"/>
  <c r="M994" i="5"/>
  <c r="M995" i="5"/>
  <c r="M996" i="5"/>
  <c r="M997" i="5"/>
  <c r="M998" i="5"/>
  <c r="M999" i="5"/>
  <c r="M1000" i="5"/>
  <c r="N51" i="5"/>
  <c r="N52" i="5"/>
  <c r="N53" i="5"/>
  <c r="N54" i="5"/>
  <c r="N55" i="5"/>
  <c r="N56" i="5"/>
  <c r="N57" i="5"/>
  <c r="N58" i="5"/>
  <c r="N59" i="5"/>
  <c r="N60" i="5"/>
  <c r="N61" i="5"/>
  <c r="N62" i="5"/>
  <c r="N63" i="5"/>
  <c r="N64" i="5"/>
  <c r="N65" i="5"/>
  <c r="N66" i="5"/>
  <c r="N67" i="5"/>
  <c r="N68" i="5"/>
  <c r="N69" i="5"/>
  <c r="N70" i="5"/>
  <c r="N71" i="5"/>
  <c r="N72" i="5"/>
  <c r="N73" i="5"/>
  <c r="N74" i="5"/>
  <c r="N75" i="5"/>
  <c r="N76" i="5"/>
  <c r="N77" i="5"/>
  <c r="N78" i="5"/>
  <c r="N79" i="5"/>
  <c r="N80" i="5"/>
  <c r="N81" i="5"/>
  <c r="N82" i="5"/>
  <c r="N83" i="5"/>
  <c r="N84" i="5"/>
  <c r="N85" i="5"/>
  <c r="N86" i="5"/>
  <c r="N87" i="5"/>
  <c r="N88" i="5"/>
  <c r="N89" i="5"/>
  <c r="N90" i="5"/>
  <c r="N91" i="5"/>
  <c r="N92" i="5"/>
  <c r="N93" i="5"/>
  <c r="N94" i="5"/>
  <c r="N95" i="5"/>
  <c r="N96" i="5"/>
  <c r="N97" i="5"/>
  <c r="N98" i="5"/>
  <c r="N99" i="5"/>
  <c r="N100" i="5"/>
  <c r="N101" i="5"/>
  <c r="N102" i="5"/>
  <c r="N103" i="5"/>
  <c r="N104" i="5"/>
  <c r="N105" i="5"/>
  <c r="N106" i="5"/>
  <c r="N107" i="5"/>
  <c r="N108" i="5"/>
  <c r="N109" i="5"/>
  <c r="N110" i="5"/>
  <c r="N111" i="5"/>
  <c r="N112" i="5"/>
  <c r="N113" i="5"/>
  <c r="N114" i="5"/>
  <c r="N115" i="5"/>
  <c r="N116" i="5"/>
  <c r="N117" i="5"/>
  <c r="N118" i="5"/>
  <c r="N119" i="5"/>
  <c r="N120" i="5"/>
  <c r="N121" i="5"/>
  <c r="N122" i="5"/>
  <c r="N123" i="5"/>
  <c r="N124" i="5"/>
  <c r="N125" i="5"/>
  <c r="N126" i="5"/>
  <c r="N127" i="5"/>
  <c r="N128" i="5"/>
  <c r="N129" i="5"/>
  <c r="N130" i="5"/>
  <c r="N131" i="5"/>
  <c r="N132" i="5"/>
  <c r="N133" i="5"/>
  <c r="N134" i="5"/>
  <c r="N135" i="5"/>
  <c r="N136" i="5"/>
  <c r="N137" i="5"/>
  <c r="N138" i="5"/>
  <c r="N139" i="5"/>
  <c r="N140" i="5"/>
  <c r="N141" i="5"/>
  <c r="N142" i="5"/>
  <c r="N143" i="5"/>
  <c r="N144" i="5"/>
  <c r="N145" i="5"/>
  <c r="N146" i="5"/>
  <c r="N147" i="5"/>
  <c r="N148" i="5"/>
  <c r="N149" i="5"/>
  <c r="N150" i="5"/>
  <c r="N151" i="5"/>
  <c r="N152" i="5"/>
  <c r="N153" i="5"/>
  <c r="N154" i="5"/>
  <c r="N155" i="5"/>
  <c r="N156" i="5"/>
  <c r="N157" i="5"/>
  <c r="N158" i="5"/>
  <c r="N159" i="5"/>
  <c r="N160" i="5"/>
  <c r="N161" i="5"/>
  <c r="N162" i="5"/>
  <c r="N163" i="5"/>
  <c r="N164" i="5"/>
  <c r="N165" i="5"/>
  <c r="N166" i="5"/>
  <c r="N167" i="5"/>
  <c r="N168" i="5"/>
  <c r="N169" i="5"/>
  <c r="N170" i="5"/>
  <c r="N171" i="5"/>
  <c r="N172" i="5"/>
  <c r="N173" i="5"/>
  <c r="N174" i="5"/>
  <c r="N175" i="5"/>
  <c r="N176" i="5"/>
  <c r="N177" i="5"/>
  <c r="N178" i="5"/>
  <c r="N179" i="5"/>
  <c r="N180" i="5"/>
  <c r="N181" i="5"/>
  <c r="N182" i="5"/>
  <c r="N183" i="5"/>
  <c r="N184" i="5"/>
  <c r="N185" i="5"/>
  <c r="N186" i="5"/>
  <c r="N187" i="5"/>
  <c r="N188" i="5"/>
  <c r="N189" i="5"/>
  <c r="N190" i="5"/>
  <c r="N191" i="5"/>
  <c r="N192" i="5"/>
  <c r="N193" i="5"/>
  <c r="N194" i="5"/>
  <c r="N195" i="5"/>
  <c r="N196" i="5"/>
  <c r="N197" i="5"/>
  <c r="N198" i="5"/>
  <c r="N199" i="5"/>
  <c r="N200" i="5"/>
  <c r="N201" i="5"/>
  <c r="N202" i="5"/>
  <c r="N203" i="5"/>
  <c r="N204" i="5"/>
  <c r="N205" i="5"/>
  <c r="N206" i="5"/>
  <c r="N207" i="5"/>
  <c r="N208" i="5"/>
  <c r="N209" i="5"/>
  <c r="N210" i="5"/>
  <c r="N211" i="5"/>
  <c r="N212" i="5"/>
  <c r="N213" i="5"/>
  <c r="N214" i="5"/>
  <c r="N215" i="5"/>
  <c r="N216" i="5"/>
  <c r="N217" i="5"/>
  <c r="N218" i="5"/>
  <c r="N219" i="5"/>
  <c r="N220" i="5"/>
  <c r="N221" i="5"/>
  <c r="N222" i="5"/>
  <c r="N223" i="5"/>
  <c r="N224" i="5"/>
  <c r="N225" i="5"/>
  <c r="N226" i="5"/>
  <c r="N227" i="5"/>
  <c r="N228" i="5"/>
  <c r="N229" i="5"/>
  <c r="N230" i="5"/>
  <c r="N231" i="5"/>
  <c r="N232" i="5"/>
  <c r="N233" i="5"/>
  <c r="N234" i="5"/>
  <c r="N235" i="5"/>
  <c r="N236" i="5"/>
  <c r="N237" i="5"/>
  <c r="N238" i="5"/>
  <c r="N239" i="5"/>
  <c r="N240" i="5"/>
  <c r="N241" i="5"/>
  <c r="N242" i="5"/>
  <c r="N243" i="5"/>
  <c r="N244" i="5"/>
  <c r="N245" i="5"/>
  <c r="N246" i="5"/>
  <c r="N247" i="5"/>
  <c r="N248" i="5"/>
  <c r="N249" i="5"/>
  <c r="N250" i="5"/>
  <c r="N251" i="5"/>
  <c r="N252" i="5"/>
  <c r="N253" i="5"/>
  <c r="N254" i="5"/>
  <c r="N255" i="5"/>
  <c r="N256" i="5"/>
  <c r="N257" i="5"/>
  <c r="N258" i="5"/>
  <c r="N259" i="5"/>
  <c r="N260" i="5"/>
  <c r="N261" i="5"/>
  <c r="N262" i="5"/>
  <c r="N263" i="5"/>
  <c r="N264" i="5"/>
  <c r="N265" i="5"/>
  <c r="N266" i="5"/>
  <c r="N267" i="5"/>
  <c r="N268" i="5"/>
  <c r="N269" i="5"/>
  <c r="N270" i="5"/>
  <c r="N271" i="5"/>
  <c r="N272" i="5"/>
  <c r="N273" i="5"/>
  <c r="N274" i="5"/>
  <c r="N275" i="5"/>
  <c r="N276" i="5"/>
  <c r="N277" i="5"/>
  <c r="N278" i="5"/>
  <c r="N279" i="5"/>
  <c r="N280" i="5"/>
  <c r="N281" i="5"/>
  <c r="N282" i="5"/>
  <c r="N283" i="5"/>
  <c r="N284" i="5"/>
  <c r="N285" i="5"/>
  <c r="N286" i="5"/>
  <c r="N287" i="5"/>
  <c r="N288" i="5"/>
  <c r="N289" i="5"/>
  <c r="N290" i="5"/>
  <c r="N291" i="5"/>
  <c r="N292" i="5"/>
  <c r="N293" i="5"/>
  <c r="N294" i="5"/>
  <c r="N295" i="5"/>
  <c r="N296" i="5"/>
  <c r="N297" i="5"/>
  <c r="N298" i="5"/>
  <c r="N299" i="5"/>
  <c r="N300" i="5"/>
  <c r="N301" i="5"/>
  <c r="N302" i="5"/>
  <c r="N303" i="5"/>
  <c r="N304" i="5"/>
  <c r="N305" i="5"/>
  <c r="N306" i="5"/>
  <c r="N307" i="5"/>
  <c r="N308" i="5"/>
  <c r="N309" i="5"/>
  <c r="N310" i="5"/>
  <c r="N311" i="5"/>
  <c r="N312" i="5"/>
  <c r="N313" i="5"/>
  <c r="N314" i="5"/>
  <c r="N315" i="5"/>
  <c r="N316" i="5"/>
  <c r="N317" i="5"/>
  <c r="N318" i="5"/>
  <c r="N319" i="5"/>
  <c r="N320" i="5"/>
  <c r="N321" i="5"/>
  <c r="N322" i="5"/>
  <c r="N323" i="5"/>
  <c r="N324" i="5"/>
  <c r="N325" i="5"/>
  <c r="N326" i="5"/>
  <c r="N327" i="5"/>
  <c r="N328" i="5"/>
  <c r="N329" i="5"/>
  <c r="N330" i="5"/>
  <c r="N331" i="5"/>
  <c r="N332" i="5"/>
  <c r="N333" i="5"/>
  <c r="N334" i="5"/>
  <c r="N335" i="5"/>
  <c r="N336" i="5"/>
  <c r="N337" i="5"/>
  <c r="N338" i="5"/>
  <c r="N339" i="5"/>
  <c r="N340" i="5"/>
  <c r="N341" i="5"/>
  <c r="N342" i="5"/>
  <c r="N343" i="5"/>
  <c r="N344" i="5"/>
  <c r="N345" i="5"/>
  <c r="N346" i="5"/>
  <c r="N347" i="5"/>
  <c r="N348" i="5"/>
  <c r="N349" i="5"/>
  <c r="N350" i="5"/>
  <c r="N351" i="5"/>
  <c r="N352" i="5"/>
  <c r="N353" i="5"/>
  <c r="N354" i="5"/>
  <c r="N355" i="5"/>
  <c r="N356" i="5"/>
  <c r="N357" i="5"/>
  <c r="N358" i="5"/>
  <c r="N359" i="5"/>
  <c r="N360" i="5"/>
  <c r="N361" i="5"/>
  <c r="N362" i="5"/>
  <c r="N363" i="5"/>
  <c r="N364" i="5"/>
  <c r="N365" i="5"/>
  <c r="N366" i="5"/>
  <c r="N367" i="5"/>
  <c r="N368" i="5"/>
  <c r="N369" i="5"/>
  <c r="N370" i="5"/>
  <c r="N371" i="5"/>
  <c r="N372" i="5"/>
  <c r="N373" i="5"/>
  <c r="N374" i="5"/>
  <c r="N375" i="5"/>
  <c r="N376" i="5"/>
  <c r="N377" i="5"/>
  <c r="N378" i="5"/>
  <c r="N379" i="5"/>
  <c r="N380" i="5"/>
  <c r="N381" i="5"/>
  <c r="N382" i="5"/>
  <c r="N383" i="5"/>
  <c r="N384" i="5"/>
  <c r="N385" i="5"/>
  <c r="N386" i="5"/>
  <c r="N387" i="5"/>
  <c r="N388" i="5"/>
  <c r="N389" i="5"/>
  <c r="N390" i="5"/>
  <c r="N391" i="5"/>
  <c r="N392" i="5"/>
  <c r="N393" i="5"/>
  <c r="N394" i="5"/>
  <c r="N395" i="5"/>
  <c r="N396" i="5"/>
  <c r="N397" i="5"/>
  <c r="N398" i="5"/>
  <c r="N399" i="5"/>
  <c r="N400" i="5"/>
  <c r="N401" i="5"/>
  <c r="N402" i="5"/>
  <c r="N403" i="5"/>
  <c r="N404" i="5"/>
  <c r="N405" i="5"/>
  <c r="N406" i="5"/>
  <c r="N407" i="5"/>
  <c r="N408" i="5"/>
  <c r="N409" i="5"/>
  <c r="N410" i="5"/>
  <c r="N411" i="5"/>
  <c r="N412" i="5"/>
  <c r="N413" i="5"/>
  <c r="N414" i="5"/>
  <c r="N415" i="5"/>
  <c r="N416" i="5"/>
  <c r="N417" i="5"/>
  <c r="N418" i="5"/>
  <c r="N419" i="5"/>
  <c r="N420" i="5"/>
  <c r="N421" i="5"/>
  <c r="N422" i="5"/>
  <c r="N423" i="5"/>
  <c r="N424" i="5"/>
  <c r="N425" i="5"/>
  <c r="N426" i="5"/>
  <c r="N427" i="5"/>
  <c r="N428" i="5"/>
  <c r="N429" i="5"/>
  <c r="N430" i="5"/>
  <c r="N431" i="5"/>
  <c r="N432" i="5"/>
  <c r="N433" i="5"/>
  <c r="N434" i="5"/>
  <c r="N435" i="5"/>
  <c r="N436" i="5"/>
  <c r="N437" i="5"/>
  <c r="N438" i="5"/>
  <c r="N439" i="5"/>
  <c r="N440" i="5"/>
  <c r="N441" i="5"/>
  <c r="N442" i="5"/>
  <c r="N443" i="5"/>
  <c r="N444" i="5"/>
  <c r="N445" i="5"/>
  <c r="N446" i="5"/>
  <c r="N447" i="5"/>
  <c r="N448" i="5"/>
  <c r="N449" i="5"/>
  <c r="N450" i="5"/>
  <c r="N451" i="5"/>
  <c r="N452" i="5"/>
  <c r="N453" i="5"/>
  <c r="N454" i="5"/>
  <c r="N455" i="5"/>
  <c r="N456" i="5"/>
  <c r="N457" i="5"/>
  <c r="N458" i="5"/>
  <c r="N459" i="5"/>
  <c r="N460" i="5"/>
  <c r="N461" i="5"/>
  <c r="N462" i="5"/>
  <c r="N463" i="5"/>
  <c r="N464" i="5"/>
  <c r="N465" i="5"/>
  <c r="N466" i="5"/>
  <c r="N467" i="5"/>
  <c r="N468" i="5"/>
  <c r="N469" i="5"/>
  <c r="N470" i="5"/>
  <c r="N471" i="5"/>
  <c r="N472" i="5"/>
  <c r="N473" i="5"/>
  <c r="N474" i="5"/>
  <c r="N475" i="5"/>
  <c r="N476" i="5"/>
  <c r="N477" i="5"/>
  <c r="N478" i="5"/>
  <c r="N479" i="5"/>
  <c r="N480" i="5"/>
  <c r="N481" i="5"/>
  <c r="N482" i="5"/>
  <c r="N483" i="5"/>
  <c r="N484" i="5"/>
  <c r="N485" i="5"/>
  <c r="N486" i="5"/>
  <c r="N487" i="5"/>
  <c r="N488" i="5"/>
  <c r="N489" i="5"/>
  <c r="N490" i="5"/>
  <c r="N491" i="5"/>
  <c r="N492" i="5"/>
  <c r="N493" i="5"/>
  <c r="N494" i="5"/>
  <c r="N495" i="5"/>
  <c r="N496" i="5"/>
  <c r="N497" i="5"/>
  <c r="N498" i="5"/>
  <c r="N499" i="5"/>
  <c r="N500" i="5"/>
  <c r="N501" i="5"/>
  <c r="N502" i="5"/>
  <c r="N503" i="5"/>
  <c r="N504" i="5"/>
  <c r="N505" i="5"/>
  <c r="N506" i="5"/>
  <c r="N507" i="5"/>
  <c r="N508" i="5"/>
  <c r="N509" i="5"/>
  <c r="N510" i="5"/>
  <c r="N511" i="5"/>
  <c r="N512" i="5"/>
  <c r="N513" i="5"/>
  <c r="N514" i="5"/>
  <c r="N515" i="5"/>
  <c r="N516" i="5"/>
  <c r="N517" i="5"/>
  <c r="N518" i="5"/>
  <c r="N519" i="5"/>
  <c r="N520" i="5"/>
  <c r="N521" i="5"/>
  <c r="N522" i="5"/>
  <c r="N523" i="5"/>
  <c r="N524" i="5"/>
  <c r="N525" i="5"/>
  <c r="N526" i="5"/>
  <c r="N527" i="5"/>
  <c r="N528" i="5"/>
  <c r="N529" i="5"/>
  <c r="N530" i="5"/>
  <c r="N531" i="5"/>
  <c r="N532" i="5"/>
  <c r="N533" i="5"/>
  <c r="N534" i="5"/>
  <c r="N535" i="5"/>
  <c r="N536" i="5"/>
  <c r="N537" i="5"/>
  <c r="N538" i="5"/>
  <c r="N539" i="5"/>
  <c r="N540" i="5"/>
  <c r="N541" i="5"/>
  <c r="N542" i="5"/>
  <c r="N543" i="5"/>
  <c r="N544" i="5"/>
  <c r="N545" i="5"/>
  <c r="N546" i="5"/>
  <c r="N547" i="5"/>
  <c r="N548" i="5"/>
  <c r="N549" i="5"/>
  <c r="N550" i="5"/>
  <c r="N551" i="5"/>
  <c r="N552" i="5"/>
  <c r="N553" i="5"/>
  <c r="N554" i="5"/>
  <c r="N555" i="5"/>
  <c r="N556" i="5"/>
  <c r="N557" i="5"/>
  <c r="N558" i="5"/>
  <c r="N559" i="5"/>
  <c r="N560" i="5"/>
  <c r="N561" i="5"/>
  <c r="N562" i="5"/>
  <c r="N563" i="5"/>
  <c r="N564" i="5"/>
  <c r="N565" i="5"/>
  <c r="N566" i="5"/>
  <c r="N567" i="5"/>
  <c r="N568" i="5"/>
  <c r="N569" i="5"/>
  <c r="N570" i="5"/>
  <c r="N571" i="5"/>
  <c r="N572" i="5"/>
  <c r="N573" i="5"/>
  <c r="N574" i="5"/>
  <c r="N575" i="5"/>
  <c r="N576" i="5"/>
  <c r="N577" i="5"/>
  <c r="N578" i="5"/>
  <c r="N579" i="5"/>
  <c r="N580" i="5"/>
  <c r="N581" i="5"/>
  <c r="N582" i="5"/>
  <c r="N583" i="5"/>
  <c r="N584" i="5"/>
  <c r="N585" i="5"/>
  <c r="N586" i="5"/>
  <c r="N587" i="5"/>
  <c r="N588" i="5"/>
  <c r="N589" i="5"/>
  <c r="N590" i="5"/>
  <c r="N591" i="5"/>
  <c r="N592" i="5"/>
  <c r="N593" i="5"/>
  <c r="N594" i="5"/>
  <c r="N595" i="5"/>
  <c r="N596" i="5"/>
  <c r="N597" i="5"/>
  <c r="N598" i="5"/>
  <c r="N599" i="5"/>
  <c r="N600" i="5"/>
  <c r="N601" i="5"/>
  <c r="N602" i="5"/>
  <c r="N603" i="5"/>
  <c r="N604" i="5"/>
  <c r="N605" i="5"/>
  <c r="N606" i="5"/>
  <c r="N607" i="5"/>
  <c r="N608" i="5"/>
  <c r="N609" i="5"/>
  <c r="N610" i="5"/>
  <c r="N611" i="5"/>
  <c r="N612" i="5"/>
  <c r="N613" i="5"/>
  <c r="N614" i="5"/>
  <c r="N615" i="5"/>
  <c r="N616" i="5"/>
  <c r="N617" i="5"/>
  <c r="N618" i="5"/>
  <c r="N619" i="5"/>
  <c r="N620" i="5"/>
  <c r="N621" i="5"/>
  <c r="N622" i="5"/>
  <c r="N623" i="5"/>
  <c r="N624" i="5"/>
  <c r="N625" i="5"/>
  <c r="N626" i="5"/>
  <c r="N627" i="5"/>
  <c r="N628" i="5"/>
  <c r="N629" i="5"/>
  <c r="N630" i="5"/>
  <c r="N631" i="5"/>
  <c r="N632" i="5"/>
  <c r="N633" i="5"/>
  <c r="N634" i="5"/>
  <c r="N635" i="5"/>
  <c r="N636" i="5"/>
  <c r="N637" i="5"/>
  <c r="N638" i="5"/>
  <c r="N639" i="5"/>
  <c r="N640" i="5"/>
  <c r="N641" i="5"/>
  <c r="N642" i="5"/>
  <c r="N643" i="5"/>
  <c r="N644" i="5"/>
  <c r="N645" i="5"/>
  <c r="N646" i="5"/>
  <c r="N647" i="5"/>
  <c r="N648" i="5"/>
  <c r="N649" i="5"/>
  <c r="N650" i="5"/>
  <c r="N651" i="5"/>
  <c r="N652" i="5"/>
  <c r="N653" i="5"/>
  <c r="N654" i="5"/>
  <c r="N655" i="5"/>
  <c r="N656" i="5"/>
  <c r="N657" i="5"/>
  <c r="N658" i="5"/>
  <c r="N659" i="5"/>
  <c r="N660" i="5"/>
  <c r="N661" i="5"/>
  <c r="N662" i="5"/>
  <c r="N663" i="5"/>
  <c r="N664" i="5"/>
  <c r="N665" i="5"/>
  <c r="N666" i="5"/>
  <c r="N667" i="5"/>
  <c r="N668" i="5"/>
  <c r="N669" i="5"/>
  <c r="N670" i="5"/>
  <c r="N671" i="5"/>
  <c r="N672" i="5"/>
  <c r="N673" i="5"/>
  <c r="N674" i="5"/>
  <c r="N675" i="5"/>
  <c r="N676" i="5"/>
  <c r="N677" i="5"/>
  <c r="N678" i="5"/>
  <c r="N679" i="5"/>
  <c r="N680" i="5"/>
  <c r="N681" i="5"/>
  <c r="N682" i="5"/>
  <c r="N683" i="5"/>
  <c r="N684" i="5"/>
  <c r="N685" i="5"/>
  <c r="N686" i="5"/>
  <c r="N687" i="5"/>
  <c r="N688" i="5"/>
  <c r="N689" i="5"/>
  <c r="N690" i="5"/>
  <c r="N691" i="5"/>
  <c r="N692" i="5"/>
  <c r="N693" i="5"/>
  <c r="N694" i="5"/>
  <c r="N695" i="5"/>
  <c r="N696" i="5"/>
  <c r="N697" i="5"/>
  <c r="N698" i="5"/>
  <c r="N699" i="5"/>
  <c r="N700" i="5"/>
  <c r="N701" i="5"/>
  <c r="N702" i="5"/>
  <c r="N703" i="5"/>
  <c r="N704" i="5"/>
  <c r="N705" i="5"/>
  <c r="N706" i="5"/>
  <c r="N707" i="5"/>
  <c r="N708" i="5"/>
  <c r="N709" i="5"/>
  <c r="N710" i="5"/>
  <c r="N711" i="5"/>
  <c r="N712" i="5"/>
  <c r="N713" i="5"/>
  <c r="N714" i="5"/>
  <c r="N715" i="5"/>
  <c r="N716" i="5"/>
  <c r="N717" i="5"/>
  <c r="N718" i="5"/>
  <c r="N719" i="5"/>
  <c r="N720" i="5"/>
  <c r="N721" i="5"/>
  <c r="N722" i="5"/>
  <c r="N723" i="5"/>
  <c r="N724" i="5"/>
  <c r="N725" i="5"/>
  <c r="N726" i="5"/>
  <c r="N727" i="5"/>
  <c r="N728" i="5"/>
  <c r="N729" i="5"/>
  <c r="N730" i="5"/>
  <c r="N731" i="5"/>
  <c r="N732" i="5"/>
  <c r="N733" i="5"/>
  <c r="N734" i="5"/>
  <c r="N735" i="5"/>
  <c r="N736" i="5"/>
  <c r="N737" i="5"/>
  <c r="N738" i="5"/>
  <c r="N739" i="5"/>
  <c r="N740" i="5"/>
  <c r="N741" i="5"/>
  <c r="N742" i="5"/>
  <c r="N743" i="5"/>
  <c r="N744" i="5"/>
  <c r="N745" i="5"/>
  <c r="N746" i="5"/>
  <c r="N747" i="5"/>
  <c r="N748" i="5"/>
  <c r="N749" i="5"/>
  <c r="N750" i="5"/>
  <c r="N751" i="5"/>
  <c r="N752" i="5"/>
  <c r="N753" i="5"/>
  <c r="N754" i="5"/>
  <c r="N755" i="5"/>
  <c r="N756" i="5"/>
  <c r="N757" i="5"/>
  <c r="N758" i="5"/>
  <c r="N759" i="5"/>
  <c r="N760" i="5"/>
  <c r="N761" i="5"/>
  <c r="N762" i="5"/>
  <c r="N763" i="5"/>
  <c r="N764" i="5"/>
  <c r="N765" i="5"/>
  <c r="N766" i="5"/>
  <c r="N767" i="5"/>
  <c r="N768" i="5"/>
  <c r="N769" i="5"/>
  <c r="N770" i="5"/>
  <c r="N771" i="5"/>
  <c r="N772" i="5"/>
  <c r="N773" i="5"/>
  <c r="N774" i="5"/>
  <c r="N775" i="5"/>
  <c r="N776" i="5"/>
  <c r="N777" i="5"/>
  <c r="N778" i="5"/>
  <c r="N779" i="5"/>
  <c r="N780" i="5"/>
  <c r="N781" i="5"/>
  <c r="N782" i="5"/>
  <c r="N783" i="5"/>
  <c r="N784" i="5"/>
  <c r="N785" i="5"/>
  <c r="N786" i="5"/>
  <c r="N787" i="5"/>
  <c r="N788" i="5"/>
  <c r="N789" i="5"/>
  <c r="N790" i="5"/>
  <c r="N791" i="5"/>
  <c r="N792" i="5"/>
  <c r="N793" i="5"/>
  <c r="N794" i="5"/>
  <c r="N795" i="5"/>
  <c r="N796" i="5"/>
  <c r="N797" i="5"/>
  <c r="N798" i="5"/>
  <c r="N799" i="5"/>
  <c r="N800" i="5"/>
  <c r="N801" i="5"/>
  <c r="N802" i="5"/>
  <c r="N803" i="5"/>
  <c r="N804" i="5"/>
  <c r="N805" i="5"/>
  <c r="N806" i="5"/>
  <c r="N807" i="5"/>
  <c r="N808" i="5"/>
  <c r="N809" i="5"/>
  <c r="N810" i="5"/>
  <c r="N811" i="5"/>
  <c r="N812" i="5"/>
  <c r="N813" i="5"/>
  <c r="N814" i="5"/>
  <c r="N815" i="5"/>
  <c r="N816" i="5"/>
  <c r="N817" i="5"/>
  <c r="N818" i="5"/>
  <c r="N819" i="5"/>
  <c r="N820" i="5"/>
  <c r="N821" i="5"/>
  <c r="N822" i="5"/>
  <c r="N823" i="5"/>
  <c r="N824" i="5"/>
  <c r="N825" i="5"/>
  <c r="N826" i="5"/>
  <c r="N827" i="5"/>
  <c r="N828" i="5"/>
  <c r="N829" i="5"/>
  <c r="N830" i="5"/>
  <c r="N831" i="5"/>
  <c r="N832" i="5"/>
  <c r="N833" i="5"/>
  <c r="N834" i="5"/>
  <c r="N835" i="5"/>
  <c r="N836" i="5"/>
  <c r="N837" i="5"/>
  <c r="N838" i="5"/>
  <c r="N839" i="5"/>
  <c r="N840" i="5"/>
  <c r="N841" i="5"/>
  <c r="N842" i="5"/>
  <c r="N843" i="5"/>
  <c r="N844" i="5"/>
  <c r="N845" i="5"/>
  <c r="N846" i="5"/>
  <c r="N847" i="5"/>
  <c r="N848" i="5"/>
  <c r="N849" i="5"/>
  <c r="N850" i="5"/>
  <c r="N851" i="5"/>
  <c r="N852" i="5"/>
  <c r="N853" i="5"/>
  <c r="N854" i="5"/>
  <c r="N855" i="5"/>
  <c r="N856" i="5"/>
  <c r="N857" i="5"/>
  <c r="N858" i="5"/>
  <c r="N859" i="5"/>
  <c r="N860" i="5"/>
  <c r="N861" i="5"/>
  <c r="N862" i="5"/>
  <c r="N863" i="5"/>
  <c r="N864" i="5"/>
  <c r="N865" i="5"/>
  <c r="N866" i="5"/>
  <c r="N867" i="5"/>
  <c r="N868" i="5"/>
  <c r="N869" i="5"/>
  <c r="N870" i="5"/>
  <c r="N871" i="5"/>
  <c r="N872" i="5"/>
  <c r="N873" i="5"/>
  <c r="N874" i="5"/>
  <c r="N875" i="5"/>
  <c r="N876" i="5"/>
  <c r="N877" i="5"/>
  <c r="N878" i="5"/>
  <c r="N879" i="5"/>
  <c r="N880" i="5"/>
  <c r="N881" i="5"/>
  <c r="N882" i="5"/>
  <c r="N883" i="5"/>
  <c r="N884" i="5"/>
  <c r="N885" i="5"/>
  <c r="N886" i="5"/>
  <c r="N887" i="5"/>
  <c r="N888" i="5"/>
  <c r="N889" i="5"/>
  <c r="N890" i="5"/>
  <c r="N891" i="5"/>
  <c r="N892" i="5"/>
  <c r="N893" i="5"/>
  <c r="N894" i="5"/>
  <c r="N895" i="5"/>
  <c r="N896" i="5"/>
  <c r="N897" i="5"/>
  <c r="N898" i="5"/>
  <c r="N899" i="5"/>
  <c r="N900" i="5"/>
  <c r="N901" i="5"/>
  <c r="N902" i="5"/>
  <c r="N903" i="5"/>
  <c r="N904" i="5"/>
  <c r="N905" i="5"/>
  <c r="N906" i="5"/>
  <c r="N907" i="5"/>
  <c r="N908" i="5"/>
  <c r="N909" i="5"/>
  <c r="N910" i="5"/>
  <c r="N911" i="5"/>
  <c r="N912" i="5"/>
  <c r="N913" i="5"/>
  <c r="N914" i="5"/>
  <c r="N915" i="5"/>
  <c r="N916" i="5"/>
  <c r="N917" i="5"/>
  <c r="N918" i="5"/>
  <c r="N919" i="5"/>
  <c r="N920" i="5"/>
  <c r="N921" i="5"/>
  <c r="N922" i="5"/>
  <c r="N923" i="5"/>
  <c r="N924" i="5"/>
  <c r="N925" i="5"/>
  <c r="N926" i="5"/>
  <c r="N927" i="5"/>
  <c r="N928" i="5"/>
  <c r="N929" i="5"/>
  <c r="N930" i="5"/>
  <c r="N931" i="5"/>
  <c r="N932" i="5"/>
  <c r="N933" i="5"/>
  <c r="N934" i="5"/>
  <c r="N935" i="5"/>
  <c r="N936" i="5"/>
  <c r="N937" i="5"/>
  <c r="N938" i="5"/>
  <c r="N939" i="5"/>
  <c r="N940" i="5"/>
  <c r="N941" i="5"/>
  <c r="N942" i="5"/>
  <c r="N943" i="5"/>
  <c r="N944" i="5"/>
  <c r="N945" i="5"/>
  <c r="N946" i="5"/>
  <c r="N947" i="5"/>
  <c r="N948" i="5"/>
  <c r="N949" i="5"/>
  <c r="N950" i="5"/>
  <c r="N951" i="5"/>
  <c r="N952" i="5"/>
  <c r="N953" i="5"/>
  <c r="N954" i="5"/>
  <c r="N955" i="5"/>
  <c r="N956" i="5"/>
  <c r="N957" i="5"/>
  <c r="N958" i="5"/>
  <c r="N959" i="5"/>
  <c r="N960" i="5"/>
  <c r="N961" i="5"/>
  <c r="N962" i="5"/>
  <c r="N963" i="5"/>
  <c r="N964" i="5"/>
  <c r="N965" i="5"/>
  <c r="N966" i="5"/>
  <c r="N967" i="5"/>
  <c r="N968" i="5"/>
  <c r="N969" i="5"/>
  <c r="N970" i="5"/>
  <c r="N971" i="5"/>
  <c r="N972" i="5"/>
  <c r="N973" i="5"/>
  <c r="N974" i="5"/>
  <c r="N975" i="5"/>
  <c r="N976" i="5"/>
  <c r="N977" i="5"/>
  <c r="N978" i="5"/>
  <c r="N979" i="5"/>
  <c r="N980" i="5"/>
  <c r="N981" i="5"/>
  <c r="N982" i="5"/>
  <c r="N983" i="5"/>
  <c r="N984" i="5"/>
  <c r="N985" i="5"/>
  <c r="N986" i="5"/>
  <c r="N987" i="5"/>
  <c r="N988" i="5"/>
  <c r="N989" i="5"/>
  <c r="N990" i="5"/>
  <c r="N991" i="5"/>
  <c r="N992" i="5"/>
  <c r="N993" i="5"/>
  <c r="N994" i="5"/>
  <c r="N995" i="5"/>
  <c r="N996" i="5"/>
  <c r="N997" i="5"/>
  <c r="N998" i="5"/>
  <c r="N999" i="5"/>
  <c r="N1000" i="5"/>
  <c r="O51" i="5"/>
  <c r="O52" i="5"/>
  <c r="O53" i="5"/>
  <c r="O54" i="5"/>
  <c r="O55" i="5"/>
  <c r="O56" i="5"/>
  <c r="O57" i="5"/>
  <c r="O58" i="5"/>
  <c r="O59" i="5"/>
  <c r="O60" i="5"/>
  <c r="O61" i="5"/>
  <c r="O62" i="5"/>
  <c r="O63" i="5"/>
  <c r="O64" i="5"/>
  <c r="O65" i="5"/>
  <c r="O66" i="5"/>
  <c r="O67" i="5"/>
  <c r="O68" i="5"/>
  <c r="O69" i="5"/>
  <c r="O70" i="5"/>
  <c r="O71" i="5"/>
  <c r="O72" i="5"/>
  <c r="O73" i="5"/>
  <c r="O74" i="5"/>
  <c r="O75" i="5"/>
  <c r="O76" i="5"/>
  <c r="O77" i="5"/>
  <c r="O78" i="5"/>
  <c r="O79" i="5"/>
  <c r="O80" i="5"/>
  <c r="O81" i="5"/>
  <c r="O82" i="5"/>
  <c r="O83" i="5"/>
  <c r="O84" i="5"/>
  <c r="O85" i="5"/>
  <c r="O86" i="5"/>
  <c r="O87" i="5"/>
  <c r="O88" i="5"/>
  <c r="O89" i="5"/>
  <c r="O90" i="5"/>
  <c r="O91" i="5"/>
  <c r="O92" i="5"/>
  <c r="O93" i="5"/>
  <c r="O94" i="5"/>
  <c r="O95" i="5"/>
  <c r="O96" i="5"/>
  <c r="O97" i="5"/>
  <c r="O98" i="5"/>
  <c r="O99" i="5"/>
  <c r="O100" i="5"/>
  <c r="O101" i="5"/>
  <c r="O102" i="5"/>
  <c r="O103" i="5"/>
  <c r="O104" i="5"/>
  <c r="O105" i="5"/>
  <c r="O106" i="5"/>
  <c r="O107" i="5"/>
  <c r="O108" i="5"/>
  <c r="O109" i="5"/>
  <c r="O110" i="5"/>
  <c r="O111" i="5"/>
  <c r="O112" i="5"/>
  <c r="O113" i="5"/>
  <c r="O114" i="5"/>
  <c r="O115" i="5"/>
  <c r="O116" i="5"/>
  <c r="O117" i="5"/>
  <c r="O118" i="5"/>
  <c r="O119" i="5"/>
  <c r="O120" i="5"/>
  <c r="O121" i="5"/>
  <c r="O122" i="5"/>
  <c r="O123" i="5"/>
  <c r="O124" i="5"/>
  <c r="O125" i="5"/>
  <c r="O126" i="5"/>
  <c r="O127" i="5"/>
  <c r="O128" i="5"/>
  <c r="O129" i="5"/>
  <c r="O130" i="5"/>
  <c r="O131" i="5"/>
  <c r="O132" i="5"/>
  <c r="O133" i="5"/>
  <c r="O134" i="5"/>
  <c r="O135" i="5"/>
  <c r="O136" i="5"/>
  <c r="O137" i="5"/>
  <c r="O138" i="5"/>
  <c r="O139" i="5"/>
  <c r="O140" i="5"/>
  <c r="O141" i="5"/>
  <c r="O142" i="5"/>
  <c r="O143" i="5"/>
  <c r="O144" i="5"/>
  <c r="O145" i="5"/>
  <c r="O146" i="5"/>
  <c r="O147" i="5"/>
  <c r="O148" i="5"/>
  <c r="O149" i="5"/>
  <c r="O150" i="5"/>
  <c r="O151" i="5"/>
  <c r="O152" i="5"/>
  <c r="O153" i="5"/>
  <c r="O154" i="5"/>
  <c r="O155" i="5"/>
  <c r="O156" i="5"/>
  <c r="O157" i="5"/>
  <c r="O158" i="5"/>
  <c r="O159" i="5"/>
  <c r="O160" i="5"/>
  <c r="O161" i="5"/>
  <c r="O162" i="5"/>
  <c r="O163" i="5"/>
  <c r="O164" i="5"/>
  <c r="O165" i="5"/>
  <c r="O166" i="5"/>
  <c r="O167" i="5"/>
  <c r="O168" i="5"/>
  <c r="O169" i="5"/>
  <c r="O170" i="5"/>
  <c r="O171" i="5"/>
  <c r="O172" i="5"/>
  <c r="O173" i="5"/>
  <c r="O174" i="5"/>
  <c r="O175" i="5"/>
  <c r="O176" i="5"/>
  <c r="O177" i="5"/>
  <c r="O178" i="5"/>
  <c r="O179" i="5"/>
  <c r="O180" i="5"/>
  <c r="O181" i="5"/>
  <c r="O182" i="5"/>
  <c r="O183" i="5"/>
  <c r="O184" i="5"/>
  <c r="O185" i="5"/>
  <c r="O186" i="5"/>
  <c r="O187" i="5"/>
  <c r="O188" i="5"/>
  <c r="O189" i="5"/>
  <c r="O190" i="5"/>
  <c r="O191" i="5"/>
  <c r="O192" i="5"/>
  <c r="O193" i="5"/>
  <c r="O194" i="5"/>
  <c r="O195" i="5"/>
  <c r="O196" i="5"/>
  <c r="O197" i="5"/>
  <c r="O198" i="5"/>
  <c r="O199" i="5"/>
  <c r="O200" i="5"/>
  <c r="O201" i="5"/>
  <c r="O202" i="5"/>
  <c r="O203" i="5"/>
  <c r="O204" i="5"/>
  <c r="O205" i="5"/>
  <c r="O206" i="5"/>
  <c r="O207" i="5"/>
  <c r="O208" i="5"/>
  <c r="O209" i="5"/>
  <c r="O210" i="5"/>
  <c r="O211" i="5"/>
  <c r="O212" i="5"/>
  <c r="O213" i="5"/>
  <c r="O214" i="5"/>
  <c r="O215" i="5"/>
  <c r="O216" i="5"/>
  <c r="O217" i="5"/>
  <c r="O218" i="5"/>
  <c r="O219" i="5"/>
  <c r="O220" i="5"/>
  <c r="O221" i="5"/>
  <c r="O222" i="5"/>
  <c r="O223" i="5"/>
  <c r="O224" i="5"/>
  <c r="O225" i="5"/>
  <c r="O226" i="5"/>
  <c r="O227" i="5"/>
  <c r="O228" i="5"/>
  <c r="O229" i="5"/>
  <c r="O230" i="5"/>
  <c r="O231" i="5"/>
  <c r="O232" i="5"/>
  <c r="O233" i="5"/>
  <c r="O234" i="5"/>
  <c r="O235" i="5"/>
  <c r="O236" i="5"/>
  <c r="O237" i="5"/>
  <c r="O238" i="5"/>
  <c r="O239" i="5"/>
  <c r="O240" i="5"/>
  <c r="O241" i="5"/>
  <c r="O242" i="5"/>
  <c r="O243" i="5"/>
  <c r="O244" i="5"/>
  <c r="O245" i="5"/>
  <c r="O246" i="5"/>
  <c r="O247" i="5"/>
  <c r="O248" i="5"/>
  <c r="O249" i="5"/>
  <c r="O250" i="5"/>
  <c r="O251" i="5"/>
  <c r="O252" i="5"/>
  <c r="O253" i="5"/>
  <c r="O254" i="5"/>
  <c r="O255" i="5"/>
  <c r="O256" i="5"/>
  <c r="O257" i="5"/>
  <c r="O258" i="5"/>
  <c r="O259" i="5"/>
  <c r="O260" i="5"/>
  <c r="O261" i="5"/>
  <c r="O262" i="5"/>
  <c r="O263" i="5"/>
  <c r="O264" i="5"/>
  <c r="O265" i="5"/>
  <c r="O266" i="5"/>
  <c r="O267" i="5"/>
  <c r="O268" i="5"/>
  <c r="O269" i="5"/>
  <c r="O270" i="5"/>
  <c r="O271" i="5"/>
  <c r="O272" i="5"/>
  <c r="O273" i="5"/>
  <c r="O274" i="5"/>
  <c r="O275" i="5"/>
  <c r="O276" i="5"/>
  <c r="O277" i="5"/>
  <c r="O278" i="5"/>
  <c r="O279" i="5"/>
  <c r="O280" i="5"/>
  <c r="O281" i="5"/>
  <c r="O282" i="5"/>
  <c r="O283" i="5"/>
  <c r="O284" i="5"/>
  <c r="O285" i="5"/>
  <c r="O286" i="5"/>
  <c r="O287" i="5"/>
  <c r="O288" i="5"/>
  <c r="O289" i="5"/>
  <c r="O290" i="5"/>
  <c r="O291" i="5"/>
  <c r="O292" i="5"/>
  <c r="O293" i="5"/>
  <c r="O294" i="5"/>
  <c r="O295" i="5"/>
  <c r="O296" i="5"/>
  <c r="O297" i="5"/>
  <c r="O298" i="5"/>
  <c r="O299" i="5"/>
  <c r="O300" i="5"/>
  <c r="O301" i="5"/>
  <c r="O302" i="5"/>
  <c r="O303" i="5"/>
  <c r="O304" i="5"/>
  <c r="O305" i="5"/>
  <c r="O306" i="5"/>
  <c r="O307" i="5"/>
  <c r="O308" i="5"/>
  <c r="O309" i="5"/>
  <c r="O310" i="5"/>
  <c r="O311" i="5"/>
  <c r="O312" i="5"/>
  <c r="O313" i="5"/>
  <c r="O314" i="5"/>
  <c r="O315" i="5"/>
  <c r="O316" i="5"/>
  <c r="O317" i="5"/>
  <c r="O318" i="5"/>
  <c r="O319" i="5"/>
  <c r="O320" i="5"/>
  <c r="O321" i="5"/>
  <c r="O322" i="5"/>
  <c r="O323" i="5"/>
  <c r="O324" i="5"/>
  <c r="O325" i="5"/>
  <c r="O326" i="5"/>
  <c r="O327" i="5"/>
  <c r="O328" i="5"/>
  <c r="O329" i="5"/>
  <c r="O330" i="5"/>
  <c r="O331" i="5"/>
  <c r="O332" i="5"/>
  <c r="O333" i="5"/>
  <c r="O334" i="5"/>
  <c r="O335" i="5"/>
  <c r="O336" i="5"/>
  <c r="O337" i="5"/>
  <c r="O338" i="5"/>
  <c r="O339" i="5"/>
  <c r="O340" i="5"/>
  <c r="O341" i="5"/>
  <c r="O342" i="5"/>
  <c r="O343" i="5"/>
  <c r="O344" i="5"/>
  <c r="O345" i="5"/>
  <c r="O346" i="5"/>
  <c r="O347" i="5"/>
  <c r="O348" i="5"/>
  <c r="O349" i="5"/>
  <c r="O350" i="5"/>
  <c r="O351" i="5"/>
  <c r="O352" i="5"/>
  <c r="O353" i="5"/>
  <c r="O354" i="5"/>
  <c r="O355" i="5"/>
  <c r="O356" i="5"/>
  <c r="O357" i="5"/>
  <c r="O358" i="5"/>
  <c r="O359" i="5"/>
  <c r="O360" i="5"/>
  <c r="O361" i="5"/>
  <c r="O362" i="5"/>
  <c r="O363" i="5"/>
  <c r="O364" i="5"/>
  <c r="O365" i="5"/>
  <c r="O366" i="5"/>
  <c r="O367" i="5"/>
  <c r="O368" i="5"/>
  <c r="O369" i="5"/>
  <c r="O370" i="5"/>
  <c r="O371" i="5"/>
  <c r="O372" i="5"/>
  <c r="O373" i="5"/>
  <c r="O374" i="5"/>
  <c r="O375" i="5"/>
  <c r="O376" i="5"/>
  <c r="O377" i="5"/>
  <c r="O378" i="5"/>
  <c r="O379" i="5"/>
  <c r="O380" i="5"/>
  <c r="O381" i="5"/>
  <c r="O382" i="5"/>
  <c r="O383" i="5"/>
  <c r="O384" i="5"/>
  <c r="O385" i="5"/>
  <c r="O386" i="5"/>
  <c r="O387" i="5"/>
  <c r="O388" i="5"/>
  <c r="O389" i="5"/>
  <c r="O390" i="5"/>
  <c r="O391" i="5"/>
  <c r="O392" i="5"/>
  <c r="O393" i="5"/>
  <c r="O394" i="5"/>
  <c r="O395" i="5"/>
  <c r="O396" i="5"/>
  <c r="O397" i="5"/>
  <c r="O398" i="5"/>
  <c r="O399" i="5"/>
  <c r="O400" i="5"/>
  <c r="O401" i="5"/>
  <c r="O402" i="5"/>
  <c r="O403" i="5"/>
  <c r="O404" i="5"/>
  <c r="O405" i="5"/>
  <c r="O406" i="5"/>
  <c r="O407" i="5"/>
  <c r="O408" i="5"/>
  <c r="O409" i="5"/>
  <c r="O410" i="5"/>
  <c r="O411" i="5"/>
  <c r="O412" i="5"/>
  <c r="O413" i="5"/>
  <c r="O414" i="5"/>
  <c r="O415" i="5"/>
  <c r="O416" i="5"/>
  <c r="O417" i="5"/>
  <c r="O418" i="5"/>
  <c r="O419" i="5"/>
  <c r="O420" i="5"/>
  <c r="O421" i="5"/>
  <c r="O422" i="5"/>
  <c r="O423" i="5"/>
  <c r="O424" i="5"/>
  <c r="O425" i="5"/>
  <c r="O426" i="5"/>
  <c r="O427" i="5"/>
  <c r="O428" i="5"/>
  <c r="O429" i="5"/>
  <c r="O430" i="5"/>
  <c r="O431" i="5"/>
  <c r="O432" i="5"/>
  <c r="O433" i="5"/>
  <c r="O434" i="5"/>
  <c r="O435" i="5"/>
  <c r="O436" i="5"/>
  <c r="O437" i="5"/>
  <c r="O438" i="5"/>
  <c r="O439" i="5"/>
  <c r="O440" i="5"/>
  <c r="O441" i="5"/>
  <c r="O442" i="5"/>
  <c r="O443" i="5"/>
  <c r="O444" i="5"/>
  <c r="O445" i="5"/>
  <c r="O446" i="5"/>
  <c r="O447" i="5"/>
  <c r="O448" i="5"/>
  <c r="O449" i="5"/>
  <c r="O450" i="5"/>
  <c r="O451" i="5"/>
  <c r="O452" i="5"/>
  <c r="O453" i="5"/>
  <c r="O454" i="5"/>
  <c r="O455" i="5"/>
  <c r="O456" i="5"/>
  <c r="O457" i="5"/>
  <c r="O458" i="5"/>
  <c r="O459" i="5"/>
  <c r="O460" i="5"/>
  <c r="O461" i="5"/>
  <c r="O462" i="5"/>
  <c r="O463" i="5"/>
  <c r="O464" i="5"/>
  <c r="O465" i="5"/>
  <c r="O466" i="5"/>
  <c r="O467" i="5"/>
  <c r="O468" i="5"/>
  <c r="O469" i="5"/>
  <c r="O470" i="5"/>
  <c r="O471" i="5"/>
  <c r="O472" i="5"/>
  <c r="O473" i="5"/>
  <c r="O474" i="5"/>
  <c r="O475" i="5"/>
  <c r="O476" i="5"/>
  <c r="O477" i="5"/>
  <c r="O478" i="5"/>
  <c r="O479" i="5"/>
  <c r="O480" i="5"/>
  <c r="O481" i="5"/>
  <c r="O482" i="5"/>
  <c r="O483" i="5"/>
  <c r="O484" i="5"/>
  <c r="O485" i="5"/>
  <c r="O486" i="5"/>
  <c r="O487" i="5"/>
  <c r="O488" i="5"/>
  <c r="O489" i="5"/>
  <c r="O490" i="5"/>
  <c r="O491" i="5"/>
  <c r="O492" i="5"/>
  <c r="O493" i="5"/>
  <c r="O494" i="5"/>
  <c r="O495" i="5"/>
  <c r="O496" i="5"/>
  <c r="O497" i="5"/>
  <c r="O498" i="5"/>
  <c r="O499" i="5"/>
  <c r="O500" i="5"/>
  <c r="O501" i="5"/>
  <c r="O502" i="5"/>
  <c r="O503" i="5"/>
  <c r="O504" i="5"/>
  <c r="O505" i="5"/>
  <c r="O506" i="5"/>
  <c r="O507" i="5"/>
  <c r="O508" i="5"/>
  <c r="O509" i="5"/>
  <c r="O510" i="5"/>
  <c r="O511" i="5"/>
  <c r="O512" i="5"/>
  <c r="O513" i="5"/>
  <c r="O514" i="5"/>
  <c r="O515" i="5"/>
  <c r="O516" i="5"/>
  <c r="O517" i="5"/>
  <c r="O518" i="5"/>
  <c r="O519" i="5"/>
  <c r="O520" i="5"/>
  <c r="O521" i="5"/>
  <c r="O522" i="5"/>
  <c r="O523" i="5"/>
  <c r="O524" i="5"/>
  <c r="O525" i="5"/>
  <c r="O526" i="5"/>
  <c r="O527" i="5"/>
  <c r="O528" i="5"/>
  <c r="O529" i="5"/>
  <c r="O530" i="5"/>
  <c r="O531" i="5"/>
  <c r="O532" i="5"/>
  <c r="O533" i="5"/>
  <c r="O534" i="5"/>
  <c r="O535" i="5"/>
  <c r="O536" i="5"/>
  <c r="O537" i="5"/>
  <c r="O538" i="5"/>
  <c r="O539" i="5"/>
  <c r="O540" i="5"/>
  <c r="O541" i="5"/>
  <c r="O542" i="5"/>
  <c r="O543" i="5"/>
  <c r="O544" i="5"/>
  <c r="O545" i="5"/>
  <c r="O546" i="5"/>
  <c r="O547" i="5"/>
  <c r="O548" i="5"/>
  <c r="O549" i="5"/>
  <c r="O550" i="5"/>
  <c r="O551" i="5"/>
  <c r="O552" i="5"/>
  <c r="O553" i="5"/>
  <c r="O554" i="5"/>
  <c r="O555" i="5"/>
  <c r="O556" i="5"/>
  <c r="O557" i="5"/>
  <c r="O558" i="5"/>
  <c r="O559" i="5"/>
  <c r="O560" i="5"/>
  <c r="O561" i="5"/>
  <c r="O562" i="5"/>
  <c r="O563" i="5"/>
  <c r="O564" i="5"/>
  <c r="O565" i="5"/>
  <c r="O566" i="5"/>
  <c r="O567" i="5"/>
  <c r="O568" i="5"/>
  <c r="O569" i="5"/>
  <c r="O570" i="5"/>
  <c r="O571" i="5"/>
  <c r="O572" i="5"/>
  <c r="O573" i="5"/>
  <c r="O574" i="5"/>
  <c r="O575" i="5"/>
  <c r="O576" i="5"/>
  <c r="O577" i="5"/>
  <c r="O578" i="5"/>
  <c r="O579" i="5"/>
  <c r="O580" i="5"/>
  <c r="O581" i="5"/>
  <c r="O582" i="5"/>
  <c r="O583" i="5"/>
  <c r="O584" i="5"/>
  <c r="O585" i="5"/>
  <c r="O586" i="5"/>
  <c r="O587" i="5"/>
  <c r="O588" i="5"/>
  <c r="O589" i="5"/>
  <c r="O590" i="5"/>
  <c r="O591" i="5"/>
  <c r="O592" i="5"/>
  <c r="O593" i="5"/>
  <c r="O594" i="5"/>
  <c r="O595" i="5"/>
  <c r="O596" i="5"/>
  <c r="O597" i="5"/>
  <c r="O598" i="5"/>
  <c r="O599" i="5"/>
  <c r="O600" i="5"/>
  <c r="O601" i="5"/>
  <c r="O602" i="5"/>
  <c r="O603" i="5"/>
  <c r="O604" i="5"/>
  <c r="O605" i="5"/>
  <c r="O606" i="5"/>
  <c r="O607" i="5"/>
  <c r="O608" i="5"/>
  <c r="O609" i="5"/>
  <c r="O610" i="5"/>
  <c r="O611" i="5"/>
  <c r="O612" i="5"/>
  <c r="O613" i="5"/>
  <c r="O614" i="5"/>
  <c r="O615" i="5"/>
  <c r="O616" i="5"/>
  <c r="O617" i="5"/>
  <c r="O618" i="5"/>
  <c r="O619" i="5"/>
  <c r="O620" i="5"/>
  <c r="O621" i="5"/>
  <c r="O622" i="5"/>
  <c r="O623" i="5"/>
  <c r="O624" i="5"/>
  <c r="O625" i="5"/>
  <c r="O626" i="5"/>
  <c r="O627" i="5"/>
  <c r="O628" i="5"/>
  <c r="O629" i="5"/>
  <c r="O630" i="5"/>
  <c r="O631" i="5"/>
  <c r="O632" i="5"/>
  <c r="O633" i="5"/>
  <c r="O634" i="5"/>
  <c r="O635" i="5"/>
  <c r="O636" i="5"/>
  <c r="O637" i="5"/>
  <c r="O638" i="5"/>
  <c r="O639" i="5"/>
  <c r="O640" i="5"/>
  <c r="O641" i="5"/>
  <c r="O642" i="5"/>
  <c r="O643" i="5"/>
  <c r="O644" i="5"/>
  <c r="O645" i="5"/>
  <c r="O646" i="5"/>
  <c r="O647" i="5"/>
  <c r="O648" i="5"/>
  <c r="O649" i="5"/>
  <c r="O650" i="5"/>
  <c r="O651" i="5"/>
  <c r="O652" i="5"/>
  <c r="O653" i="5"/>
  <c r="O654" i="5"/>
  <c r="O655" i="5"/>
  <c r="O656" i="5"/>
  <c r="O657" i="5"/>
  <c r="O658" i="5"/>
  <c r="O659" i="5"/>
  <c r="O660" i="5"/>
  <c r="O661" i="5"/>
  <c r="O662" i="5"/>
  <c r="O663" i="5"/>
  <c r="O664" i="5"/>
  <c r="O665" i="5"/>
  <c r="O666" i="5"/>
  <c r="O667" i="5"/>
  <c r="O668" i="5"/>
  <c r="O669" i="5"/>
  <c r="O670" i="5"/>
  <c r="O671" i="5"/>
  <c r="O672" i="5"/>
  <c r="O673" i="5"/>
  <c r="O674" i="5"/>
  <c r="O675" i="5"/>
  <c r="O676" i="5"/>
  <c r="O677" i="5"/>
  <c r="O678" i="5"/>
  <c r="O679" i="5"/>
  <c r="O680" i="5"/>
  <c r="O681" i="5"/>
  <c r="O682" i="5"/>
  <c r="O683" i="5"/>
  <c r="O684" i="5"/>
  <c r="O685" i="5"/>
  <c r="O686" i="5"/>
  <c r="O687" i="5"/>
  <c r="O688" i="5"/>
  <c r="O689" i="5"/>
  <c r="O690" i="5"/>
  <c r="O691" i="5"/>
  <c r="O692" i="5"/>
  <c r="O693" i="5"/>
  <c r="O694" i="5"/>
  <c r="O695" i="5"/>
  <c r="O696" i="5"/>
  <c r="O697" i="5"/>
  <c r="O698" i="5"/>
  <c r="O699" i="5"/>
  <c r="O700" i="5"/>
  <c r="O701" i="5"/>
  <c r="O702" i="5"/>
  <c r="O703" i="5"/>
  <c r="O704" i="5"/>
  <c r="O705" i="5"/>
  <c r="O706" i="5"/>
  <c r="O707" i="5"/>
  <c r="O708" i="5"/>
  <c r="O709" i="5"/>
  <c r="O710" i="5"/>
  <c r="O711" i="5"/>
  <c r="O712" i="5"/>
  <c r="O713" i="5"/>
  <c r="O714" i="5"/>
  <c r="O715" i="5"/>
  <c r="O716" i="5"/>
  <c r="O717" i="5"/>
  <c r="O718" i="5"/>
  <c r="O719" i="5"/>
  <c r="O720" i="5"/>
  <c r="O721" i="5"/>
  <c r="O722" i="5"/>
  <c r="O723" i="5"/>
  <c r="O724" i="5"/>
  <c r="O725" i="5"/>
  <c r="O726" i="5"/>
  <c r="O727" i="5"/>
  <c r="O728" i="5"/>
  <c r="O729" i="5"/>
  <c r="O730" i="5"/>
  <c r="O731" i="5"/>
  <c r="O732" i="5"/>
  <c r="O733" i="5"/>
  <c r="O734" i="5"/>
  <c r="O735" i="5"/>
  <c r="O736" i="5"/>
  <c r="O737" i="5"/>
  <c r="O738" i="5"/>
  <c r="O739" i="5"/>
  <c r="O740" i="5"/>
  <c r="O741" i="5"/>
  <c r="O742" i="5"/>
  <c r="O743" i="5"/>
  <c r="O744" i="5"/>
  <c r="O745" i="5"/>
  <c r="O746" i="5"/>
  <c r="O747" i="5"/>
  <c r="O748" i="5"/>
  <c r="O749" i="5"/>
  <c r="O750" i="5"/>
  <c r="O751" i="5"/>
  <c r="O752" i="5"/>
  <c r="O753" i="5"/>
  <c r="O754" i="5"/>
  <c r="O755" i="5"/>
  <c r="O756" i="5"/>
  <c r="O757" i="5"/>
  <c r="O758" i="5"/>
  <c r="O759" i="5"/>
  <c r="O760" i="5"/>
  <c r="O761" i="5"/>
  <c r="O762" i="5"/>
  <c r="O763" i="5"/>
  <c r="O764" i="5"/>
  <c r="O765" i="5"/>
  <c r="O766" i="5"/>
  <c r="O767" i="5"/>
  <c r="O768" i="5"/>
  <c r="O769" i="5"/>
  <c r="O770" i="5"/>
  <c r="O771" i="5"/>
  <c r="O772" i="5"/>
  <c r="O773" i="5"/>
  <c r="O774" i="5"/>
  <c r="O775" i="5"/>
  <c r="O776" i="5"/>
  <c r="O777" i="5"/>
  <c r="O778" i="5"/>
  <c r="O779" i="5"/>
  <c r="O780" i="5"/>
  <c r="O781" i="5"/>
  <c r="O782" i="5"/>
  <c r="O783" i="5"/>
  <c r="O784" i="5"/>
  <c r="O785" i="5"/>
  <c r="O786" i="5"/>
  <c r="O787" i="5"/>
  <c r="O788" i="5"/>
  <c r="O789" i="5"/>
  <c r="O790" i="5"/>
  <c r="O791" i="5"/>
  <c r="O792" i="5"/>
  <c r="O793" i="5"/>
  <c r="O794" i="5"/>
  <c r="O795" i="5"/>
  <c r="O796" i="5"/>
  <c r="O797" i="5"/>
  <c r="O798" i="5"/>
  <c r="O799" i="5"/>
  <c r="O800" i="5"/>
  <c r="O801" i="5"/>
  <c r="O802" i="5"/>
  <c r="O803" i="5"/>
  <c r="O804" i="5"/>
  <c r="O805" i="5"/>
  <c r="O806" i="5"/>
  <c r="O807" i="5"/>
  <c r="O808" i="5"/>
  <c r="O809" i="5"/>
  <c r="O810" i="5"/>
  <c r="O811" i="5"/>
  <c r="O812" i="5"/>
  <c r="O813" i="5"/>
  <c r="O814" i="5"/>
  <c r="O815" i="5"/>
  <c r="O816" i="5"/>
  <c r="O817" i="5"/>
  <c r="O818" i="5"/>
  <c r="O819" i="5"/>
  <c r="O820" i="5"/>
  <c r="O821" i="5"/>
  <c r="O822" i="5"/>
  <c r="O823" i="5"/>
  <c r="O824" i="5"/>
  <c r="O825" i="5"/>
  <c r="O826" i="5"/>
  <c r="O827" i="5"/>
  <c r="O828" i="5"/>
  <c r="O829" i="5"/>
  <c r="O830" i="5"/>
  <c r="O831" i="5"/>
  <c r="O832" i="5"/>
  <c r="O833" i="5"/>
  <c r="O834" i="5"/>
  <c r="O835" i="5"/>
  <c r="O836" i="5"/>
  <c r="O837" i="5"/>
  <c r="O838" i="5"/>
  <c r="O839" i="5"/>
  <c r="O840" i="5"/>
  <c r="O841" i="5"/>
  <c r="O842" i="5"/>
  <c r="O843" i="5"/>
  <c r="O844" i="5"/>
  <c r="O845" i="5"/>
  <c r="O846" i="5"/>
  <c r="O847" i="5"/>
  <c r="O848" i="5"/>
  <c r="O849" i="5"/>
  <c r="O850" i="5"/>
  <c r="O851" i="5"/>
  <c r="O852" i="5"/>
  <c r="O853" i="5"/>
  <c r="O854" i="5"/>
  <c r="O855" i="5"/>
  <c r="O856" i="5"/>
  <c r="O857" i="5"/>
  <c r="O858" i="5"/>
  <c r="O859" i="5"/>
  <c r="O860" i="5"/>
  <c r="O861" i="5"/>
  <c r="O862" i="5"/>
  <c r="O863" i="5"/>
  <c r="O864" i="5"/>
  <c r="O865" i="5"/>
  <c r="O866" i="5"/>
  <c r="O867" i="5"/>
  <c r="O868" i="5"/>
  <c r="O869" i="5"/>
  <c r="O870" i="5"/>
  <c r="O871" i="5"/>
  <c r="O872" i="5"/>
  <c r="O873" i="5"/>
  <c r="O874" i="5"/>
  <c r="O875" i="5"/>
  <c r="O876" i="5"/>
  <c r="O877" i="5"/>
  <c r="O878" i="5"/>
  <c r="O879" i="5"/>
  <c r="O880" i="5"/>
  <c r="O881" i="5"/>
  <c r="O882" i="5"/>
  <c r="O883" i="5"/>
  <c r="O884" i="5"/>
  <c r="O885" i="5"/>
  <c r="O886" i="5"/>
  <c r="O887" i="5"/>
  <c r="O888" i="5"/>
  <c r="O889" i="5"/>
  <c r="O890" i="5"/>
  <c r="O891" i="5"/>
  <c r="O892" i="5"/>
  <c r="O893" i="5"/>
  <c r="O894" i="5"/>
  <c r="O895" i="5"/>
  <c r="O896" i="5"/>
  <c r="O897" i="5"/>
  <c r="O898" i="5"/>
  <c r="O899" i="5"/>
  <c r="O900" i="5"/>
  <c r="O901" i="5"/>
  <c r="O902" i="5"/>
  <c r="O903" i="5"/>
  <c r="O904" i="5"/>
  <c r="O905" i="5"/>
  <c r="O906" i="5"/>
  <c r="O907" i="5"/>
  <c r="O908" i="5"/>
  <c r="O909" i="5"/>
  <c r="O910" i="5"/>
  <c r="O911" i="5"/>
  <c r="O912" i="5"/>
  <c r="O913" i="5"/>
  <c r="O914" i="5"/>
  <c r="O915" i="5"/>
  <c r="O916" i="5"/>
  <c r="O917" i="5"/>
  <c r="O918" i="5"/>
  <c r="O919" i="5"/>
  <c r="O920" i="5"/>
  <c r="O921" i="5"/>
  <c r="O922" i="5"/>
  <c r="O923" i="5"/>
  <c r="O924" i="5"/>
  <c r="O925" i="5"/>
  <c r="O926" i="5"/>
  <c r="O927" i="5"/>
  <c r="O928" i="5"/>
  <c r="O929" i="5"/>
  <c r="O930" i="5"/>
  <c r="O931" i="5"/>
  <c r="O932" i="5"/>
  <c r="O933" i="5"/>
  <c r="O934" i="5"/>
  <c r="O935" i="5"/>
  <c r="O936" i="5"/>
  <c r="O937" i="5"/>
  <c r="O938" i="5"/>
  <c r="O939" i="5"/>
  <c r="O940" i="5"/>
  <c r="O941" i="5"/>
  <c r="O942" i="5"/>
  <c r="O943" i="5"/>
  <c r="O944" i="5"/>
  <c r="O945" i="5"/>
  <c r="O946" i="5"/>
  <c r="O947" i="5"/>
  <c r="O948" i="5"/>
  <c r="O949" i="5"/>
  <c r="O950" i="5"/>
  <c r="O951" i="5"/>
  <c r="O952" i="5"/>
  <c r="O953" i="5"/>
  <c r="O954" i="5"/>
  <c r="O955" i="5"/>
  <c r="O956" i="5"/>
  <c r="O957" i="5"/>
  <c r="O958" i="5"/>
  <c r="O959" i="5"/>
  <c r="O960" i="5"/>
  <c r="O961" i="5"/>
  <c r="O962" i="5"/>
  <c r="O963" i="5"/>
  <c r="O964" i="5"/>
  <c r="O965" i="5"/>
  <c r="O966" i="5"/>
  <c r="O967" i="5"/>
  <c r="O968" i="5"/>
  <c r="O969" i="5"/>
  <c r="O970" i="5"/>
  <c r="O971" i="5"/>
  <c r="O972" i="5"/>
  <c r="O973" i="5"/>
  <c r="O974" i="5"/>
  <c r="O975" i="5"/>
  <c r="O976" i="5"/>
  <c r="O977" i="5"/>
  <c r="O978" i="5"/>
  <c r="O979" i="5"/>
  <c r="O980" i="5"/>
  <c r="O981" i="5"/>
  <c r="O982" i="5"/>
  <c r="O983" i="5"/>
  <c r="O984" i="5"/>
  <c r="O985" i="5"/>
  <c r="O986" i="5"/>
  <c r="O987" i="5"/>
  <c r="O988" i="5"/>
  <c r="O989" i="5"/>
  <c r="O990" i="5"/>
  <c r="O991" i="5"/>
  <c r="O992" i="5"/>
  <c r="O993" i="5"/>
  <c r="O994" i="5"/>
  <c r="O995" i="5"/>
  <c r="O996" i="5"/>
  <c r="O997" i="5"/>
  <c r="O998" i="5"/>
  <c r="O999" i="5"/>
  <c r="O1000" i="5"/>
  <c r="P51" i="5"/>
  <c r="P52" i="5"/>
  <c r="P53" i="5"/>
  <c r="P54" i="5"/>
  <c r="P55" i="5"/>
  <c r="P56" i="5"/>
  <c r="P57" i="5"/>
  <c r="P58" i="5"/>
  <c r="P59" i="5"/>
  <c r="P60" i="5"/>
  <c r="P61" i="5"/>
  <c r="P62" i="5"/>
  <c r="P63" i="5"/>
  <c r="P64" i="5"/>
  <c r="P65" i="5"/>
  <c r="P66" i="5"/>
  <c r="P67" i="5"/>
  <c r="P68" i="5"/>
  <c r="P69" i="5"/>
  <c r="P70" i="5"/>
  <c r="P71" i="5"/>
  <c r="P72" i="5"/>
  <c r="P73" i="5"/>
  <c r="P74" i="5"/>
  <c r="P75" i="5"/>
  <c r="P76" i="5"/>
  <c r="P77" i="5"/>
  <c r="P78" i="5"/>
  <c r="P79" i="5"/>
  <c r="P80" i="5"/>
  <c r="P81" i="5"/>
  <c r="P82" i="5"/>
  <c r="P83" i="5"/>
  <c r="P84" i="5"/>
  <c r="P85" i="5"/>
  <c r="P86" i="5"/>
  <c r="P87" i="5"/>
  <c r="P88" i="5"/>
  <c r="P89" i="5"/>
  <c r="P90" i="5"/>
  <c r="P91" i="5"/>
  <c r="P92" i="5"/>
  <c r="P93" i="5"/>
  <c r="P94" i="5"/>
  <c r="P95" i="5"/>
  <c r="P96" i="5"/>
  <c r="P97" i="5"/>
  <c r="P98" i="5"/>
  <c r="P99" i="5"/>
  <c r="P100" i="5"/>
  <c r="P101" i="5"/>
  <c r="P102" i="5"/>
  <c r="P103" i="5"/>
  <c r="P104" i="5"/>
  <c r="P105" i="5"/>
  <c r="P106" i="5"/>
  <c r="P107" i="5"/>
  <c r="P108" i="5"/>
  <c r="P109" i="5"/>
  <c r="P110" i="5"/>
  <c r="P111" i="5"/>
  <c r="P112" i="5"/>
  <c r="P113" i="5"/>
  <c r="P114" i="5"/>
  <c r="P115" i="5"/>
  <c r="P116" i="5"/>
  <c r="P117" i="5"/>
  <c r="P118" i="5"/>
  <c r="P119" i="5"/>
  <c r="P120" i="5"/>
  <c r="P121" i="5"/>
  <c r="P122" i="5"/>
  <c r="P123" i="5"/>
  <c r="P124" i="5"/>
  <c r="P125" i="5"/>
  <c r="P126" i="5"/>
  <c r="P127" i="5"/>
  <c r="P128" i="5"/>
  <c r="P129" i="5"/>
  <c r="P130" i="5"/>
  <c r="P131" i="5"/>
  <c r="P132" i="5"/>
  <c r="P133" i="5"/>
  <c r="P134" i="5"/>
  <c r="P135" i="5"/>
  <c r="P136" i="5"/>
  <c r="P137" i="5"/>
  <c r="P138" i="5"/>
  <c r="P139" i="5"/>
  <c r="P140" i="5"/>
  <c r="P141" i="5"/>
  <c r="P142" i="5"/>
  <c r="P143" i="5"/>
  <c r="P144" i="5"/>
  <c r="P145" i="5"/>
  <c r="P146" i="5"/>
  <c r="P147" i="5"/>
  <c r="P148" i="5"/>
  <c r="P149" i="5"/>
  <c r="P150" i="5"/>
  <c r="P151" i="5"/>
  <c r="P152" i="5"/>
  <c r="P153" i="5"/>
  <c r="P154" i="5"/>
  <c r="P155" i="5"/>
  <c r="P156" i="5"/>
  <c r="P157" i="5"/>
  <c r="P158" i="5"/>
  <c r="P159" i="5"/>
  <c r="P160" i="5"/>
  <c r="P161" i="5"/>
  <c r="P162" i="5"/>
  <c r="P163" i="5"/>
  <c r="P164" i="5"/>
  <c r="P165" i="5"/>
  <c r="P166" i="5"/>
  <c r="P167" i="5"/>
  <c r="P168" i="5"/>
  <c r="P169" i="5"/>
  <c r="P170" i="5"/>
  <c r="P171" i="5"/>
  <c r="P172" i="5"/>
  <c r="P173" i="5"/>
  <c r="P174" i="5"/>
  <c r="P175" i="5"/>
  <c r="P176" i="5"/>
  <c r="P177" i="5"/>
  <c r="P178" i="5"/>
  <c r="P179" i="5"/>
  <c r="P180" i="5"/>
  <c r="P181" i="5"/>
  <c r="P182" i="5"/>
  <c r="P183" i="5"/>
  <c r="P184" i="5"/>
  <c r="P185" i="5"/>
  <c r="P186" i="5"/>
  <c r="P187" i="5"/>
  <c r="P188" i="5"/>
  <c r="P189" i="5"/>
  <c r="P190" i="5"/>
  <c r="P191" i="5"/>
  <c r="P192" i="5"/>
  <c r="P193" i="5"/>
  <c r="P194" i="5"/>
  <c r="P195" i="5"/>
  <c r="P196" i="5"/>
  <c r="P197" i="5"/>
  <c r="P198" i="5"/>
  <c r="P199" i="5"/>
  <c r="P200" i="5"/>
  <c r="P201" i="5"/>
  <c r="P202" i="5"/>
  <c r="P203" i="5"/>
  <c r="P204" i="5"/>
  <c r="P205" i="5"/>
  <c r="P206" i="5"/>
  <c r="P207" i="5"/>
  <c r="P208" i="5"/>
  <c r="P209" i="5"/>
  <c r="P210" i="5"/>
  <c r="P211" i="5"/>
  <c r="P212" i="5"/>
  <c r="P213" i="5"/>
  <c r="P214" i="5"/>
  <c r="P215" i="5"/>
  <c r="P216" i="5"/>
  <c r="P217" i="5"/>
  <c r="P218" i="5"/>
  <c r="P219" i="5"/>
  <c r="P220" i="5"/>
  <c r="P221" i="5"/>
  <c r="P222" i="5"/>
  <c r="P223" i="5"/>
  <c r="P224" i="5"/>
  <c r="P225" i="5"/>
  <c r="P226" i="5"/>
  <c r="P227" i="5"/>
  <c r="P228" i="5"/>
  <c r="P229" i="5"/>
  <c r="P230" i="5"/>
  <c r="P231" i="5"/>
  <c r="P232" i="5"/>
  <c r="P233" i="5"/>
  <c r="P234" i="5"/>
  <c r="P235" i="5"/>
  <c r="P236" i="5"/>
  <c r="P237" i="5"/>
  <c r="P238" i="5"/>
  <c r="P239" i="5"/>
  <c r="P240" i="5"/>
  <c r="P241" i="5"/>
  <c r="P242" i="5"/>
  <c r="P243" i="5"/>
  <c r="P244" i="5"/>
  <c r="P245" i="5"/>
  <c r="P246" i="5"/>
  <c r="P247" i="5"/>
  <c r="P248" i="5"/>
  <c r="P249" i="5"/>
  <c r="P250" i="5"/>
  <c r="P251" i="5"/>
  <c r="P252" i="5"/>
  <c r="P253" i="5"/>
  <c r="P254" i="5"/>
  <c r="P255" i="5"/>
  <c r="P256" i="5"/>
  <c r="P257" i="5"/>
  <c r="P258" i="5"/>
  <c r="P259" i="5"/>
  <c r="P260" i="5"/>
  <c r="P261" i="5"/>
  <c r="P262" i="5"/>
  <c r="P263" i="5"/>
  <c r="P264" i="5"/>
  <c r="P265" i="5"/>
  <c r="P266" i="5"/>
  <c r="P267" i="5"/>
  <c r="P268" i="5"/>
  <c r="P269" i="5"/>
  <c r="P270" i="5"/>
  <c r="P271" i="5"/>
  <c r="P272" i="5"/>
  <c r="P273" i="5"/>
  <c r="P274" i="5"/>
  <c r="P275" i="5"/>
  <c r="P276" i="5"/>
  <c r="P277" i="5"/>
  <c r="P278" i="5"/>
  <c r="P279" i="5"/>
  <c r="P280" i="5"/>
  <c r="P281" i="5"/>
  <c r="P282" i="5"/>
  <c r="P283" i="5"/>
  <c r="P284" i="5"/>
  <c r="P285" i="5"/>
  <c r="P286" i="5"/>
  <c r="P287" i="5"/>
  <c r="P288" i="5"/>
  <c r="P289" i="5"/>
  <c r="P290" i="5"/>
  <c r="P291" i="5"/>
  <c r="P292" i="5"/>
  <c r="P293" i="5"/>
  <c r="P294" i="5"/>
  <c r="P295" i="5"/>
  <c r="P296" i="5"/>
  <c r="P297" i="5"/>
  <c r="P298" i="5"/>
  <c r="P299" i="5"/>
  <c r="P300" i="5"/>
  <c r="P301" i="5"/>
  <c r="P302" i="5"/>
  <c r="P303" i="5"/>
  <c r="P304" i="5"/>
  <c r="P305" i="5"/>
  <c r="P306" i="5"/>
  <c r="P307" i="5"/>
  <c r="P308" i="5"/>
  <c r="P309" i="5"/>
  <c r="P310" i="5"/>
  <c r="P311" i="5"/>
  <c r="P312" i="5"/>
  <c r="P313" i="5"/>
  <c r="P314" i="5"/>
  <c r="P315" i="5"/>
  <c r="P316" i="5"/>
  <c r="P317" i="5"/>
  <c r="P318" i="5"/>
  <c r="P319" i="5"/>
  <c r="P320" i="5"/>
  <c r="P321" i="5"/>
  <c r="P322" i="5"/>
  <c r="P323" i="5"/>
  <c r="P324" i="5"/>
  <c r="P325" i="5"/>
  <c r="P326" i="5"/>
  <c r="P327" i="5"/>
  <c r="P328" i="5"/>
  <c r="P329" i="5"/>
  <c r="P330" i="5"/>
  <c r="P331" i="5"/>
  <c r="P332" i="5"/>
  <c r="P333" i="5"/>
  <c r="P334" i="5"/>
  <c r="P335" i="5"/>
  <c r="P336" i="5"/>
  <c r="P337" i="5"/>
  <c r="P338" i="5"/>
  <c r="P339" i="5"/>
  <c r="P340" i="5"/>
  <c r="P341" i="5"/>
  <c r="P342" i="5"/>
  <c r="P343" i="5"/>
  <c r="P344" i="5"/>
  <c r="P345" i="5"/>
  <c r="P346" i="5"/>
  <c r="P347" i="5"/>
  <c r="P348" i="5"/>
  <c r="P349" i="5"/>
  <c r="P350" i="5"/>
  <c r="P351" i="5"/>
  <c r="P352" i="5"/>
  <c r="P353" i="5"/>
  <c r="P354" i="5"/>
  <c r="P355" i="5"/>
  <c r="P356" i="5"/>
  <c r="P357" i="5"/>
  <c r="P358" i="5"/>
  <c r="P359" i="5"/>
  <c r="P360" i="5"/>
  <c r="P361" i="5"/>
  <c r="P362" i="5"/>
  <c r="P363" i="5"/>
  <c r="P364" i="5"/>
  <c r="P365" i="5"/>
  <c r="P366" i="5"/>
  <c r="P367" i="5"/>
  <c r="P368" i="5"/>
  <c r="P369" i="5"/>
  <c r="P370" i="5"/>
  <c r="P371" i="5"/>
  <c r="P372" i="5"/>
  <c r="P373" i="5"/>
  <c r="P374" i="5"/>
  <c r="P375" i="5"/>
  <c r="P376" i="5"/>
  <c r="P377" i="5"/>
  <c r="P378" i="5"/>
  <c r="P379" i="5"/>
  <c r="P380" i="5"/>
  <c r="P381" i="5"/>
  <c r="P382" i="5"/>
  <c r="P383" i="5"/>
  <c r="P384" i="5"/>
  <c r="P385" i="5"/>
  <c r="P386" i="5"/>
  <c r="P387" i="5"/>
  <c r="P388" i="5"/>
  <c r="P389" i="5"/>
  <c r="P390" i="5"/>
  <c r="P391" i="5"/>
  <c r="P392" i="5"/>
  <c r="P393" i="5"/>
  <c r="P394" i="5"/>
  <c r="P395" i="5"/>
  <c r="P396" i="5"/>
  <c r="P397" i="5"/>
  <c r="P398" i="5"/>
  <c r="P399" i="5"/>
  <c r="P400" i="5"/>
  <c r="P401" i="5"/>
  <c r="P402" i="5"/>
  <c r="P403" i="5"/>
  <c r="P404" i="5"/>
  <c r="P405" i="5"/>
  <c r="P406" i="5"/>
  <c r="P407" i="5"/>
  <c r="P408" i="5"/>
  <c r="P409" i="5"/>
  <c r="P410" i="5"/>
  <c r="P411" i="5"/>
  <c r="P412" i="5"/>
  <c r="P413" i="5"/>
  <c r="P414" i="5"/>
  <c r="P415" i="5"/>
  <c r="P416" i="5"/>
  <c r="P417" i="5"/>
  <c r="P418" i="5"/>
  <c r="P419" i="5"/>
  <c r="P420" i="5"/>
  <c r="P421" i="5"/>
  <c r="P422" i="5"/>
  <c r="P423" i="5"/>
  <c r="P424" i="5"/>
  <c r="P425" i="5"/>
  <c r="P426" i="5"/>
  <c r="P427" i="5"/>
  <c r="P428" i="5"/>
  <c r="P429" i="5"/>
  <c r="P430" i="5"/>
  <c r="P431" i="5"/>
  <c r="P432" i="5"/>
  <c r="P433" i="5"/>
  <c r="P434" i="5"/>
  <c r="P435" i="5"/>
  <c r="P436" i="5"/>
  <c r="P437" i="5"/>
  <c r="P438" i="5"/>
  <c r="P439" i="5"/>
  <c r="P440" i="5"/>
  <c r="P441" i="5"/>
  <c r="P442" i="5"/>
  <c r="P443" i="5"/>
  <c r="P444" i="5"/>
  <c r="P445" i="5"/>
  <c r="P446" i="5"/>
  <c r="P447" i="5"/>
  <c r="P448" i="5"/>
  <c r="P449" i="5"/>
  <c r="P450" i="5"/>
  <c r="P451" i="5"/>
  <c r="P452" i="5"/>
  <c r="P453" i="5"/>
  <c r="P454" i="5"/>
  <c r="P455" i="5"/>
  <c r="P456" i="5"/>
  <c r="P457" i="5"/>
  <c r="P458" i="5"/>
  <c r="P459" i="5"/>
  <c r="P460" i="5"/>
  <c r="P461" i="5"/>
  <c r="P462" i="5"/>
  <c r="P463" i="5"/>
  <c r="P464" i="5"/>
  <c r="P465" i="5"/>
  <c r="P466" i="5"/>
  <c r="P467" i="5"/>
  <c r="P468" i="5"/>
  <c r="P469" i="5"/>
  <c r="P470" i="5"/>
  <c r="P471" i="5"/>
  <c r="P472" i="5"/>
  <c r="P473" i="5"/>
  <c r="P474" i="5"/>
  <c r="P475" i="5"/>
  <c r="P476" i="5"/>
  <c r="P477" i="5"/>
  <c r="P478" i="5"/>
  <c r="P479" i="5"/>
  <c r="P480" i="5"/>
  <c r="P481" i="5"/>
  <c r="P482" i="5"/>
  <c r="P483" i="5"/>
  <c r="P484" i="5"/>
  <c r="P485" i="5"/>
  <c r="P486" i="5"/>
  <c r="P487" i="5"/>
  <c r="P488" i="5"/>
  <c r="P489" i="5"/>
  <c r="P490" i="5"/>
  <c r="P491" i="5"/>
  <c r="P492" i="5"/>
  <c r="P493" i="5"/>
  <c r="P494" i="5"/>
  <c r="P495" i="5"/>
  <c r="P496" i="5"/>
  <c r="P497" i="5"/>
  <c r="P498" i="5"/>
  <c r="P499" i="5"/>
  <c r="P500" i="5"/>
  <c r="P501" i="5"/>
  <c r="P502" i="5"/>
  <c r="P503" i="5"/>
  <c r="P504" i="5"/>
  <c r="P505" i="5"/>
  <c r="P506" i="5"/>
  <c r="P507" i="5"/>
  <c r="P508" i="5"/>
  <c r="P509" i="5"/>
  <c r="P510" i="5"/>
  <c r="P511" i="5"/>
  <c r="P512" i="5"/>
  <c r="P513" i="5"/>
  <c r="P514" i="5"/>
  <c r="P515" i="5"/>
  <c r="P516" i="5"/>
  <c r="P517" i="5"/>
  <c r="P518" i="5"/>
  <c r="P519" i="5"/>
  <c r="P520" i="5"/>
  <c r="P521" i="5"/>
  <c r="P522" i="5"/>
  <c r="P523" i="5"/>
  <c r="P524" i="5"/>
  <c r="P525" i="5"/>
  <c r="P526" i="5"/>
  <c r="P527" i="5"/>
  <c r="P528" i="5"/>
  <c r="P529" i="5"/>
  <c r="P530" i="5"/>
  <c r="P531" i="5"/>
  <c r="P532" i="5"/>
  <c r="P533" i="5"/>
  <c r="P534" i="5"/>
  <c r="P535" i="5"/>
  <c r="P536" i="5"/>
  <c r="P537" i="5"/>
  <c r="P538" i="5"/>
  <c r="P539" i="5"/>
  <c r="P540" i="5"/>
  <c r="P541" i="5"/>
  <c r="P542" i="5"/>
  <c r="P543" i="5"/>
  <c r="P544" i="5"/>
  <c r="P545" i="5"/>
  <c r="P546" i="5"/>
  <c r="P547" i="5"/>
  <c r="P548" i="5"/>
  <c r="P549" i="5"/>
  <c r="P550" i="5"/>
  <c r="P551" i="5"/>
  <c r="P552" i="5"/>
  <c r="P553" i="5"/>
  <c r="P554" i="5"/>
  <c r="P555" i="5"/>
  <c r="P556" i="5"/>
  <c r="P557" i="5"/>
  <c r="P558" i="5"/>
  <c r="P559" i="5"/>
  <c r="P560" i="5"/>
  <c r="P561" i="5"/>
  <c r="P562" i="5"/>
  <c r="P563" i="5"/>
  <c r="P564" i="5"/>
  <c r="P565" i="5"/>
  <c r="P566" i="5"/>
  <c r="P567" i="5"/>
  <c r="P568" i="5"/>
  <c r="P569" i="5"/>
  <c r="P570" i="5"/>
  <c r="P571" i="5"/>
  <c r="P572" i="5"/>
  <c r="P573" i="5"/>
  <c r="P574" i="5"/>
  <c r="P575" i="5"/>
  <c r="P576" i="5"/>
  <c r="P577" i="5"/>
  <c r="P578" i="5"/>
  <c r="P579" i="5"/>
  <c r="P580" i="5"/>
  <c r="P581" i="5"/>
  <c r="P582" i="5"/>
  <c r="P583" i="5"/>
  <c r="P584" i="5"/>
  <c r="P585" i="5"/>
  <c r="P586" i="5"/>
  <c r="P587" i="5"/>
  <c r="P588" i="5"/>
  <c r="P589" i="5"/>
  <c r="P590" i="5"/>
  <c r="P591" i="5"/>
  <c r="P592" i="5"/>
  <c r="P593" i="5"/>
  <c r="P594" i="5"/>
  <c r="P595" i="5"/>
  <c r="P596" i="5"/>
  <c r="P597" i="5"/>
  <c r="P598" i="5"/>
  <c r="P599" i="5"/>
  <c r="P600" i="5"/>
  <c r="P601" i="5"/>
  <c r="P602" i="5"/>
  <c r="P603" i="5"/>
  <c r="P604" i="5"/>
  <c r="P605" i="5"/>
  <c r="P606" i="5"/>
  <c r="P607" i="5"/>
  <c r="P608" i="5"/>
  <c r="P609" i="5"/>
  <c r="P610" i="5"/>
  <c r="P611" i="5"/>
  <c r="P612" i="5"/>
  <c r="P613" i="5"/>
  <c r="P614" i="5"/>
  <c r="P615" i="5"/>
  <c r="P616" i="5"/>
  <c r="P617" i="5"/>
  <c r="P618" i="5"/>
  <c r="P619" i="5"/>
  <c r="P620" i="5"/>
  <c r="P621" i="5"/>
  <c r="P622" i="5"/>
  <c r="P623" i="5"/>
  <c r="P624" i="5"/>
  <c r="P625" i="5"/>
  <c r="P626" i="5"/>
  <c r="P627" i="5"/>
  <c r="P628" i="5"/>
  <c r="P629" i="5"/>
  <c r="P630" i="5"/>
  <c r="P631" i="5"/>
  <c r="P632" i="5"/>
  <c r="P633" i="5"/>
  <c r="P634" i="5"/>
  <c r="P635" i="5"/>
  <c r="P636" i="5"/>
  <c r="P637" i="5"/>
  <c r="P638" i="5"/>
  <c r="P639" i="5"/>
  <c r="P640" i="5"/>
  <c r="P641" i="5"/>
  <c r="P642" i="5"/>
  <c r="P643" i="5"/>
  <c r="P644" i="5"/>
  <c r="P645" i="5"/>
  <c r="P646" i="5"/>
  <c r="P647" i="5"/>
  <c r="P648" i="5"/>
  <c r="P649" i="5"/>
  <c r="P650" i="5"/>
  <c r="P651" i="5"/>
  <c r="P652" i="5"/>
  <c r="P653" i="5"/>
  <c r="P654" i="5"/>
  <c r="P655" i="5"/>
  <c r="P656" i="5"/>
  <c r="P657" i="5"/>
  <c r="P658" i="5"/>
  <c r="P659" i="5"/>
  <c r="P660" i="5"/>
  <c r="P661" i="5"/>
  <c r="P662" i="5"/>
  <c r="P663" i="5"/>
  <c r="P664" i="5"/>
  <c r="P665" i="5"/>
  <c r="P666" i="5"/>
  <c r="P667" i="5"/>
  <c r="P668" i="5"/>
  <c r="P669" i="5"/>
  <c r="P670" i="5"/>
  <c r="P671" i="5"/>
  <c r="P672" i="5"/>
  <c r="P673" i="5"/>
  <c r="P674" i="5"/>
  <c r="P675" i="5"/>
  <c r="P676" i="5"/>
  <c r="P677" i="5"/>
  <c r="P678" i="5"/>
  <c r="P679" i="5"/>
  <c r="P680" i="5"/>
  <c r="P681" i="5"/>
  <c r="P682" i="5"/>
  <c r="P683" i="5"/>
  <c r="P684" i="5"/>
  <c r="P685" i="5"/>
  <c r="P686" i="5"/>
  <c r="P687" i="5"/>
  <c r="P688" i="5"/>
  <c r="P689" i="5"/>
  <c r="P690" i="5"/>
  <c r="P691" i="5"/>
  <c r="P692" i="5"/>
  <c r="P693" i="5"/>
  <c r="P694" i="5"/>
  <c r="P695" i="5"/>
  <c r="P696" i="5"/>
  <c r="P697" i="5"/>
  <c r="P698" i="5"/>
  <c r="P699" i="5"/>
  <c r="P700" i="5"/>
  <c r="P701" i="5"/>
  <c r="P702" i="5"/>
  <c r="P703" i="5"/>
  <c r="P704" i="5"/>
  <c r="P705" i="5"/>
  <c r="P706" i="5"/>
  <c r="P707" i="5"/>
  <c r="P708" i="5"/>
  <c r="P709" i="5"/>
  <c r="P710" i="5"/>
  <c r="P711" i="5"/>
  <c r="P712" i="5"/>
  <c r="P713" i="5"/>
  <c r="P714" i="5"/>
  <c r="P715" i="5"/>
  <c r="P716" i="5"/>
  <c r="P717" i="5"/>
  <c r="P718" i="5"/>
  <c r="P719" i="5"/>
  <c r="P720" i="5"/>
  <c r="P721" i="5"/>
  <c r="P722" i="5"/>
  <c r="P723" i="5"/>
  <c r="P724" i="5"/>
  <c r="P725" i="5"/>
  <c r="P726" i="5"/>
  <c r="P727" i="5"/>
  <c r="P728" i="5"/>
  <c r="P729" i="5"/>
  <c r="P730" i="5"/>
  <c r="P731" i="5"/>
  <c r="P732" i="5"/>
  <c r="P733" i="5"/>
  <c r="P734" i="5"/>
  <c r="P735" i="5"/>
  <c r="P736" i="5"/>
  <c r="P737" i="5"/>
  <c r="P738" i="5"/>
  <c r="P739" i="5"/>
  <c r="P740" i="5"/>
  <c r="P741" i="5"/>
  <c r="P742" i="5"/>
  <c r="P743" i="5"/>
  <c r="P744" i="5"/>
  <c r="P745" i="5"/>
  <c r="P746" i="5"/>
  <c r="P747" i="5"/>
  <c r="P748" i="5"/>
  <c r="P749" i="5"/>
  <c r="P750" i="5"/>
  <c r="P751" i="5"/>
  <c r="P752" i="5"/>
  <c r="P753" i="5"/>
  <c r="P754" i="5"/>
  <c r="P755" i="5"/>
  <c r="P756" i="5"/>
  <c r="P757" i="5"/>
  <c r="P758" i="5"/>
  <c r="P759" i="5"/>
  <c r="P760" i="5"/>
  <c r="P761" i="5"/>
  <c r="P762" i="5"/>
  <c r="P763" i="5"/>
  <c r="P764" i="5"/>
  <c r="P765" i="5"/>
  <c r="P766" i="5"/>
  <c r="P767" i="5"/>
  <c r="P768" i="5"/>
  <c r="P769" i="5"/>
  <c r="P770" i="5"/>
  <c r="P771" i="5"/>
  <c r="P772" i="5"/>
  <c r="P773" i="5"/>
  <c r="P774" i="5"/>
  <c r="P775" i="5"/>
  <c r="P776" i="5"/>
  <c r="P777" i="5"/>
  <c r="P778" i="5"/>
  <c r="P779" i="5"/>
  <c r="P780" i="5"/>
  <c r="P781" i="5"/>
  <c r="P782" i="5"/>
  <c r="P783" i="5"/>
  <c r="P784" i="5"/>
  <c r="P785" i="5"/>
  <c r="P786" i="5"/>
  <c r="P787" i="5"/>
  <c r="P788" i="5"/>
  <c r="P789" i="5"/>
  <c r="P790" i="5"/>
  <c r="P791" i="5"/>
  <c r="P792" i="5"/>
  <c r="P793" i="5"/>
  <c r="P794" i="5"/>
  <c r="P795" i="5"/>
  <c r="P796" i="5"/>
  <c r="P797" i="5"/>
  <c r="P798" i="5"/>
  <c r="P799" i="5"/>
  <c r="P800" i="5"/>
  <c r="P801" i="5"/>
  <c r="P802" i="5"/>
  <c r="P803" i="5"/>
  <c r="P804" i="5"/>
  <c r="P805" i="5"/>
  <c r="P806" i="5"/>
  <c r="P807" i="5"/>
  <c r="P808" i="5"/>
  <c r="P809" i="5"/>
  <c r="P810" i="5"/>
  <c r="P811" i="5"/>
  <c r="P812" i="5"/>
  <c r="P813" i="5"/>
  <c r="P814" i="5"/>
  <c r="P815" i="5"/>
  <c r="P816" i="5"/>
  <c r="P817" i="5"/>
  <c r="P818" i="5"/>
  <c r="P819" i="5"/>
  <c r="P820" i="5"/>
  <c r="P821" i="5"/>
  <c r="P822" i="5"/>
  <c r="P823" i="5"/>
  <c r="P824" i="5"/>
  <c r="P825" i="5"/>
  <c r="P826" i="5"/>
  <c r="P827" i="5"/>
  <c r="P828" i="5"/>
  <c r="P829" i="5"/>
  <c r="P830" i="5"/>
  <c r="P831" i="5"/>
  <c r="P832" i="5"/>
  <c r="P833" i="5"/>
  <c r="P834" i="5"/>
  <c r="P835" i="5"/>
  <c r="P836" i="5"/>
  <c r="P837" i="5"/>
  <c r="P838" i="5"/>
  <c r="P839" i="5"/>
  <c r="P840" i="5"/>
  <c r="P841" i="5"/>
  <c r="P842" i="5"/>
  <c r="P843" i="5"/>
  <c r="P844" i="5"/>
  <c r="P845" i="5"/>
  <c r="P846" i="5"/>
  <c r="P847" i="5"/>
  <c r="P848" i="5"/>
  <c r="P849" i="5"/>
  <c r="P850" i="5"/>
  <c r="P851" i="5"/>
  <c r="P852" i="5"/>
  <c r="P853" i="5"/>
  <c r="P854" i="5"/>
  <c r="P855" i="5"/>
  <c r="P856" i="5"/>
  <c r="P857" i="5"/>
  <c r="P858" i="5"/>
  <c r="P859" i="5"/>
  <c r="P860" i="5"/>
  <c r="P861" i="5"/>
  <c r="P862" i="5"/>
  <c r="P863" i="5"/>
  <c r="P864" i="5"/>
  <c r="P865" i="5"/>
  <c r="P866" i="5"/>
  <c r="P867" i="5"/>
  <c r="P868" i="5"/>
  <c r="P869" i="5"/>
  <c r="P870" i="5"/>
  <c r="P871" i="5"/>
  <c r="P872" i="5"/>
  <c r="P873" i="5"/>
  <c r="P874" i="5"/>
  <c r="P875" i="5"/>
  <c r="P876" i="5"/>
  <c r="P877" i="5"/>
  <c r="P878" i="5"/>
  <c r="P879" i="5"/>
  <c r="P880" i="5"/>
  <c r="P881" i="5"/>
  <c r="P882" i="5"/>
  <c r="P883" i="5"/>
  <c r="P884" i="5"/>
  <c r="P885" i="5"/>
  <c r="P886" i="5"/>
  <c r="P887" i="5"/>
  <c r="P888" i="5"/>
  <c r="P889" i="5"/>
  <c r="P890" i="5"/>
  <c r="P891" i="5"/>
  <c r="P892" i="5"/>
  <c r="P893" i="5"/>
  <c r="P894" i="5"/>
  <c r="P895" i="5"/>
  <c r="P896" i="5"/>
  <c r="P897" i="5"/>
  <c r="P898" i="5"/>
  <c r="P899" i="5"/>
  <c r="P900" i="5"/>
  <c r="P901" i="5"/>
  <c r="P902" i="5"/>
  <c r="P903" i="5"/>
  <c r="P904" i="5"/>
  <c r="P905" i="5"/>
  <c r="P906" i="5"/>
  <c r="P907" i="5"/>
  <c r="P908" i="5"/>
  <c r="P909" i="5"/>
  <c r="P910" i="5"/>
  <c r="P911" i="5"/>
  <c r="P912" i="5"/>
  <c r="P913" i="5"/>
  <c r="P914" i="5"/>
  <c r="P915" i="5"/>
  <c r="P916" i="5"/>
  <c r="P917" i="5"/>
  <c r="P918" i="5"/>
  <c r="P919" i="5"/>
  <c r="P920" i="5"/>
  <c r="P921" i="5"/>
  <c r="P922" i="5"/>
  <c r="P923" i="5"/>
  <c r="P924" i="5"/>
  <c r="P925" i="5"/>
  <c r="P926" i="5"/>
  <c r="P927" i="5"/>
  <c r="P928" i="5"/>
  <c r="P929" i="5"/>
  <c r="P930" i="5"/>
  <c r="P931" i="5"/>
  <c r="P932" i="5"/>
  <c r="P933" i="5"/>
  <c r="P934" i="5"/>
  <c r="P935" i="5"/>
  <c r="P936" i="5"/>
  <c r="P937" i="5"/>
  <c r="P938" i="5"/>
  <c r="P939" i="5"/>
  <c r="P940" i="5"/>
  <c r="P941" i="5"/>
  <c r="P942" i="5"/>
  <c r="P943" i="5"/>
  <c r="P944" i="5"/>
  <c r="P945" i="5"/>
  <c r="P946" i="5"/>
  <c r="P947" i="5"/>
  <c r="P948" i="5"/>
  <c r="P949" i="5"/>
  <c r="P950" i="5"/>
  <c r="P951" i="5"/>
  <c r="P952" i="5"/>
  <c r="P953" i="5"/>
  <c r="P954" i="5"/>
  <c r="P955" i="5"/>
  <c r="P956" i="5"/>
  <c r="P957" i="5"/>
  <c r="P958" i="5"/>
  <c r="P959" i="5"/>
  <c r="P960" i="5"/>
  <c r="P961" i="5"/>
  <c r="P962" i="5"/>
  <c r="P963" i="5"/>
  <c r="P964" i="5"/>
  <c r="P965" i="5"/>
  <c r="P966" i="5"/>
  <c r="P967" i="5"/>
  <c r="P968" i="5"/>
  <c r="P969" i="5"/>
  <c r="P970" i="5"/>
  <c r="P971" i="5"/>
  <c r="P972" i="5"/>
  <c r="P973" i="5"/>
  <c r="P974" i="5"/>
  <c r="P975" i="5"/>
  <c r="P976" i="5"/>
  <c r="P977" i="5"/>
  <c r="P978" i="5"/>
  <c r="P979" i="5"/>
  <c r="P980" i="5"/>
  <c r="P981" i="5"/>
  <c r="P982" i="5"/>
  <c r="P983" i="5"/>
  <c r="P984" i="5"/>
  <c r="P985" i="5"/>
  <c r="P986" i="5"/>
  <c r="P987" i="5"/>
  <c r="P988" i="5"/>
  <c r="P989" i="5"/>
  <c r="P990" i="5"/>
  <c r="P991" i="5"/>
  <c r="P992" i="5"/>
  <c r="P993" i="5"/>
  <c r="P994" i="5"/>
  <c r="P995" i="5"/>
  <c r="P996" i="5"/>
  <c r="P997" i="5"/>
  <c r="P998" i="5"/>
  <c r="P999" i="5"/>
  <c r="P1000" i="5"/>
  <c r="Q51" i="5"/>
  <c r="Q52" i="5"/>
  <c r="Q53" i="5"/>
  <c r="Q54" i="5"/>
  <c r="Q55" i="5"/>
  <c r="Q56" i="5"/>
  <c r="Q57" i="5"/>
  <c r="Q58" i="5"/>
  <c r="Q59" i="5"/>
  <c r="Q60" i="5"/>
  <c r="Q61" i="5"/>
  <c r="Q62" i="5"/>
  <c r="Q63" i="5"/>
  <c r="Q64" i="5"/>
  <c r="Q65" i="5"/>
  <c r="Q66" i="5"/>
  <c r="Q67" i="5"/>
  <c r="Q68" i="5"/>
  <c r="Q69" i="5"/>
  <c r="Q70" i="5"/>
  <c r="Q71" i="5"/>
  <c r="Q72" i="5"/>
  <c r="Q73" i="5"/>
  <c r="Q74" i="5"/>
  <c r="Q75" i="5"/>
  <c r="Q76" i="5"/>
  <c r="Q77" i="5"/>
  <c r="Q78" i="5"/>
  <c r="Q79" i="5"/>
  <c r="Q80" i="5"/>
  <c r="Q81" i="5"/>
  <c r="Q82" i="5"/>
  <c r="Q83" i="5"/>
  <c r="Q84" i="5"/>
  <c r="Q85" i="5"/>
  <c r="Q86" i="5"/>
  <c r="Q87" i="5"/>
  <c r="Q88" i="5"/>
  <c r="Q89" i="5"/>
  <c r="Q90" i="5"/>
  <c r="Q91" i="5"/>
  <c r="Q92" i="5"/>
  <c r="Q93" i="5"/>
  <c r="Q94" i="5"/>
  <c r="Q95" i="5"/>
  <c r="Q96" i="5"/>
  <c r="Q97" i="5"/>
  <c r="Q98" i="5"/>
  <c r="Q99" i="5"/>
  <c r="Q100" i="5"/>
  <c r="Q101" i="5"/>
  <c r="Q102" i="5"/>
  <c r="Q103" i="5"/>
  <c r="Q104" i="5"/>
  <c r="Q105" i="5"/>
  <c r="Q106" i="5"/>
  <c r="Q107" i="5"/>
  <c r="Q108" i="5"/>
  <c r="Q109" i="5"/>
  <c r="Q110" i="5"/>
  <c r="Q111" i="5"/>
  <c r="Q112" i="5"/>
  <c r="Q113" i="5"/>
  <c r="Q114" i="5"/>
  <c r="Q115" i="5"/>
  <c r="Q116" i="5"/>
  <c r="Q117" i="5"/>
  <c r="Q118" i="5"/>
  <c r="Q119" i="5"/>
  <c r="Q120" i="5"/>
  <c r="Q121" i="5"/>
  <c r="Q122" i="5"/>
  <c r="Q123" i="5"/>
  <c r="Q124" i="5"/>
  <c r="Q125" i="5"/>
  <c r="Q126" i="5"/>
  <c r="Q127" i="5"/>
  <c r="Q128" i="5"/>
  <c r="Q129" i="5"/>
  <c r="Q130" i="5"/>
  <c r="Q131" i="5"/>
  <c r="Q132" i="5"/>
  <c r="Q133" i="5"/>
  <c r="Q134" i="5"/>
  <c r="Q135" i="5"/>
  <c r="Q136" i="5"/>
  <c r="Q137" i="5"/>
  <c r="Q138" i="5"/>
  <c r="Q139" i="5"/>
  <c r="Q140" i="5"/>
  <c r="Q141" i="5"/>
  <c r="Q142" i="5"/>
  <c r="Q143" i="5"/>
  <c r="Q144" i="5"/>
  <c r="Q145" i="5"/>
  <c r="Q146" i="5"/>
  <c r="Q147" i="5"/>
  <c r="Q148" i="5"/>
  <c r="Q149" i="5"/>
  <c r="Q150" i="5"/>
  <c r="Q151" i="5"/>
  <c r="Q152" i="5"/>
  <c r="Q153" i="5"/>
  <c r="Q154" i="5"/>
  <c r="Q155" i="5"/>
  <c r="Q156" i="5"/>
  <c r="Q157" i="5"/>
  <c r="Q158" i="5"/>
  <c r="Q159" i="5"/>
  <c r="Q160" i="5"/>
  <c r="Q161" i="5"/>
  <c r="Q162" i="5"/>
  <c r="Q163" i="5"/>
  <c r="Q164" i="5"/>
  <c r="Q165" i="5"/>
  <c r="Q166" i="5"/>
  <c r="Q167" i="5"/>
  <c r="Q168" i="5"/>
  <c r="Q169" i="5"/>
  <c r="Q170" i="5"/>
  <c r="Q171" i="5"/>
  <c r="Q172" i="5"/>
  <c r="Q173" i="5"/>
  <c r="Q174" i="5"/>
  <c r="Q175" i="5"/>
  <c r="Q176" i="5"/>
  <c r="Q177" i="5"/>
  <c r="Q178" i="5"/>
  <c r="Q179" i="5"/>
  <c r="Q180" i="5"/>
  <c r="Q181" i="5"/>
  <c r="Q182" i="5"/>
  <c r="Q183" i="5"/>
  <c r="Q184" i="5"/>
  <c r="Q185" i="5"/>
  <c r="Q186" i="5"/>
  <c r="Q187" i="5"/>
  <c r="Q188" i="5"/>
  <c r="Q189" i="5"/>
  <c r="Q190" i="5"/>
  <c r="Q191" i="5"/>
  <c r="Q192" i="5"/>
  <c r="Q193" i="5"/>
  <c r="Q194" i="5"/>
  <c r="Q195" i="5"/>
  <c r="Q196" i="5"/>
  <c r="Q197" i="5"/>
  <c r="Q198" i="5"/>
  <c r="Q199" i="5"/>
  <c r="Q200" i="5"/>
  <c r="Q201" i="5"/>
  <c r="Q202" i="5"/>
  <c r="Q203" i="5"/>
  <c r="Q204" i="5"/>
  <c r="Q205" i="5"/>
  <c r="Q206" i="5"/>
  <c r="Q207" i="5"/>
  <c r="Q208" i="5"/>
  <c r="Q209" i="5"/>
  <c r="Q210" i="5"/>
  <c r="Q211" i="5"/>
  <c r="Q212" i="5"/>
  <c r="Q213" i="5"/>
  <c r="Q214" i="5"/>
  <c r="Q215" i="5"/>
  <c r="Q216" i="5"/>
  <c r="Q217" i="5"/>
  <c r="Q218" i="5"/>
  <c r="Q219" i="5"/>
  <c r="Q220" i="5"/>
  <c r="Q221" i="5"/>
  <c r="Q222" i="5"/>
  <c r="Q223" i="5"/>
  <c r="Q224" i="5"/>
  <c r="Q225" i="5"/>
  <c r="Q226" i="5"/>
  <c r="Q227" i="5"/>
  <c r="Q228" i="5"/>
  <c r="Q229" i="5"/>
  <c r="Q230" i="5"/>
  <c r="Q231" i="5"/>
  <c r="Q232" i="5"/>
  <c r="Q233" i="5"/>
  <c r="Q234" i="5"/>
  <c r="Q235" i="5"/>
  <c r="Q236" i="5"/>
  <c r="Q237" i="5"/>
  <c r="Q238" i="5"/>
  <c r="Q239" i="5"/>
  <c r="Q240" i="5"/>
  <c r="Q241" i="5"/>
  <c r="Q242" i="5"/>
  <c r="Q243" i="5"/>
  <c r="Q244" i="5"/>
  <c r="Q245" i="5"/>
  <c r="Q246" i="5"/>
  <c r="Q247" i="5"/>
  <c r="Q248" i="5"/>
  <c r="Q249" i="5"/>
  <c r="Q250" i="5"/>
  <c r="Q251" i="5"/>
  <c r="Q252" i="5"/>
  <c r="Q253" i="5"/>
  <c r="Q254" i="5"/>
  <c r="Q255" i="5"/>
  <c r="Q256" i="5"/>
  <c r="Q257" i="5"/>
  <c r="Q258" i="5"/>
  <c r="Q259" i="5"/>
  <c r="Q260" i="5"/>
  <c r="Q261" i="5"/>
  <c r="Q262" i="5"/>
  <c r="Q263" i="5"/>
  <c r="Q264" i="5"/>
  <c r="Q265" i="5"/>
  <c r="Q266" i="5"/>
  <c r="Q267" i="5"/>
  <c r="Q268" i="5"/>
  <c r="Q269" i="5"/>
  <c r="Q270" i="5"/>
  <c r="Q271" i="5"/>
  <c r="Q272" i="5"/>
  <c r="Q273" i="5"/>
  <c r="Q274" i="5"/>
  <c r="Q275" i="5"/>
  <c r="Q276" i="5"/>
  <c r="Q277" i="5"/>
  <c r="Q278" i="5"/>
  <c r="Q279" i="5"/>
  <c r="Q280" i="5"/>
  <c r="Q281" i="5"/>
  <c r="Q282" i="5"/>
  <c r="Q283" i="5"/>
  <c r="Q284" i="5"/>
  <c r="Q285" i="5"/>
  <c r="Q286" i="5"/>
  <c r="Q287" i="5"/>
  <c r="Q288" i="5"/>
  <c r="Q289" i="5"/>
  <c r="Q290" i="5"/>
  <c r="Q291" i="5"/>
  <c r="Q292" i="5"/>
  <c r="Q293" i="5"/>
  <c r="Q294" i="5"/>
  <c r="Q295" i="5"/>
  <c r="Q296" i="5"/>
  <c r="Q297" i="5"/>
  <c r="Q298" i="5"/>
  <c r="Q299" i="5"/>
  <c r="Q300" i="5"/>
  <c r="Q301" i="5"/>
  <c r="Q302" i="5"/>
  <c r="Q303" i="5"/>
  <c r="Q304" i="5"/>
  <c r="Q305" i="5"/>
  <c r="Q306" i="5"/>
  <c r="Q307" i="5"/>
  <c r="Q308" i="5"/>
  <c r="Q309" i="5"/>
  <c r="Q310" i="5"/>
  <c r="Q311" i="5"/>
  <c r="Q312" i="5"/>
  <c r="Q313" i="5"/>
  <c r="Q314" i="5"/>
  <c r="Q315" i="5"/>
  <c r="Q316" i="5"/>
  <c r="Q317" i="5"/>
  <c r="Q318" i="5"/>
  <c r="Q319" i="5"/>
  <c r="Q320" i="5"/>
  <c r="Q321" i="5"/>
  <c r="Q322" i="5"/>
  <c r="Q323" i="5"/>
  <c r="Q324" i="5"/>
  <c r="Q325" i="5"/>
  <c r="Q326" i="5"/>
  <c r="Q327" i="5"/>
  <c r="Q328" i="5"/>
  <c r="Q329" i="5"/>
  <c r="Q330" i="5"/>
  <c r="Q331" i="5"/>
  <c r="Q332" i="5"/>
  <c r="Q333" i="5"/>
  <c r="Q334" i="5"/>
  <c r="Q335" i="5"/>
  <c r="Q336" i="5"/>
  <c r="Q337" i="5"/>
  <c r="Q338" i="5"/>
  <c r="Q339" i="5"/>
  <c r="Q340" i="5"/>
  <c r="Q341" i="5"/>
  <c r="Q342" i="5"/>
  <c r="Q343" i="5"/>
  <c r="Q344" i="5"/>
  <c r="Q345" i="5"/>
  <c r="Q346" i="5"/>
  <c r="Q347" i="5"/>
  <c r="Q348" i="5"/>
  <c r="Q349" i="5"/>
  <c r="Q350" i="5"/>
  <c r="Q351" i="5"/>
  <c r="Q352" i="5"/>
  <c r="Q353" i="5"/>
  <c r="Q354" i="5"/>
  <c r="Q355" i="5"/>
  <c r="Q356" i="5"/>
  <c r="Q357" i="5"/>
  <c r="Q358" i="5"/>
  <c r="Q359" i="5"/>
  <c r="Q360" i="5"/>
  <c r="Q361" i="5"/>
  <c r="Q362" i="5"/>
  <c r="Q363" i="5"/>
  <c r="Q364" i="5"/>
  <c r="Q365" i="5"/>
  <c r="Q366" i="5"/>
  <c r="Q367" i="5"/>
  <c r="Q368" i="5"/>
  <c r="Q369" i="5"/>
  <c r="Q370" i="5"/>
  <c r="Q371" i="5"/>
  <c r="Q372" i="5"/>
  <c r="Q373" i="5"/>
  <c r="Q374" i="5"/>
  <c r="Q375" i="5"/>
  <c r="Q376" i="5"/>
  <c r="Q377" i="5"/>
  <c r="Q378" i="5"/>
  <c r="Q379" i="5"/>
  <c r="Q380" i="5"/>
  <c r="Q381" i="5"/>
  <c r="Q382" i="5"/>
  <c r="Q383" i="5"/>
  <c r="Q384" i="5"/>
  <c r="Q385" i="5"/>
  <c r="Q386" i="5"/>
  <c r="Q387" i="5"/>
  <c r="Q388" i="5"/>
  <c r="Q389" i="5"/>
  <c r="Q390" i="5"/>
  <c r="Q391" i="5"/>
  <c r="Q392" i="5"/>
  <c r="Q393" i="5"/>
  <c r="Q394" i="5"/>
  <c r="Q395" i="5"/>
  <c r="Q396" i="5"/>
  <c r="Q397" i="5"/>
  <c r="Q398" i="5"/>
  <c r="Q399" i="5"/>
  <c r="Q400" i="5"/>
  <c r="Q401" i="5"/>
  <c r="Q402" i="5"/>
  <c r="Q403" i="5"/>
  <c r="Q404" i="5"/>
  <c r="Q405" i="5"/>
  <c r="Q406" i="5"/>
  <c r="Q407" i="5"/>
  <c r="Q408" i="5"/>
  <c r="Q409" i="5"/>
  <c r="Q410" i="5"/>
  <c r="Q411" i="5"/>
  <c r="Q412" i="5"/>
  <c r="Q413" i="5"/>
  <c r="Q414" i="5"/>
  <c r="Q415" i="5"/>
  <c r="Q416" i="5"/>
  <c r="Q417" i="5"/>
  <c r="Q418" i="5"/>
  <c r="Q419" i="5"/>
  <c r="Q420" i="5"/>
  <c r="Q421" i="5"/>
  <c r="Q422" i="5"/>
  <c r="Q423" i="5"/>
  <c r="Q424" i="5"/>
  <c r="Q425" i="5"/>
  <c r="Q426" i="5"/>
  <c r="Q427" i="5"/>
  <c r="Q428" i="5"/>
  <c r="Q429" i="5"/>
  <c r="Q430" i="5"/>
  <c r="Q431" i="5"/>
  <c r="Q432" i="5"/>
  <c r="Q433" i="5"/>
  <c r="Q434" i="5"/>
  <c r="Q435" i="5"/>
  <c r="Q436" i="5"/>
  <c r="Q437" i="5"/>
  <c r="Q438" i="5"/>
  <c r="Q439" i="5"/>
  <c r="Q440" i="5"/>
  <c r="Q441" i="5"/>
  <c r="Q442" i="5"/>
  <c r="Q443" i="5"/>
  <c r="Q444" i="5"/>
  <c r="Q445" i="5"/>
  <c r="Q446" i="5"/>
  <c r="Q447" i="5"/>
  <c r="Q448" i="5"/>
  <c r="Q449" i="5"/>
  <c r="Q450" i="5"/>
  <c r="Q451" i="5"/>
  <c r="Q452" i="5"/>
  <c r="Q453" i="5"/>
  <c r="Q454" i="5"/>
  <c r="Q455" i="5"/>
  <c r="Q456" i="5"/>
  <c r="Q457" i="5"/>
  <c r="Q458" i="5"/>
  <c r="Q459" i="5"/>
  <c r="Q460" i="5"/>
  <c r="Q461" i="5"/>
  <c r="Q462" i="5"/>
  <c r="Q463" i="5"/>
  <c r="Q464" i="5"/>
  <c r="Q465" i="5"/>
  <c r="Q466" i="5"/>
  <c r="Q467" i="5"/>
  <c r="Q468" i="5"/>
  <c r="Q469" i="5"/>
  <c r="Q470" i="5"/>
  <c r="Q471" i="5"/>
  <c r="Q472" i="5"/>
  <c r="Q473" i="5"/>
  <c r="Q474" i="5"/>
  <c r="Q475" i="5"/>
  <c r="Q476" i="5"/>
  <c r="Q477" i="5"/>
  <c r="Q478" i="5"/>
  <c r="Q479" i="5"/>
  <c r="Q480" i="5"/>
  <c r="Q481" i="5"/>
  <c r="Q482" i="5"/>
  <c r="Q483" i="5"/>
  <c r="Q484" i="5"/>
  <c r="Q485" i="5"/>
  <c r="Q486" i="5"/>
  <c r="Q487" i="5"/>
  <c r="Q488" i="5"/>
  <c r="Q489" i="5"/>
  <c r="Q490" i="5"/>
  <c r="Q491" i="5"/>
  <c r="Q492" i="5"/>
  <c r="Q493" i="5"/>
  <c r="Q494" i="5"/>
  <c r="Q495" i="5"/>
  <c r="Q496" i="5"/>
  <c r="Q497" i="5"/>
  <c r="Q498" i="5"/>
  <c r="Q499" i="5"/>
  <c r="Q500" i="5"/>
  <c r="Q501" i="5"/>
  <c r="Q502" i="5"/>
  <c r="Q503" i="5"/>
  <c r="Q504" i="5"/>
  <c r="Q505" i="5"/>
  <c r="Q506" i="5"/>
  <c r="Q507" i="5"/>
  <c r="Q508" i="5"/>
  <c r="Q509" i="5"/>
  <c r="Q510" i="5"/>
  <c r="Q511" i="5"/>
  <c r="Q512" i="5"/>
  <c r="Q513" i="5"/>
  <c r="Q514" i="5"/>
  <c r="Q515" i="5"/>
  <c r="Q516" i="5"/>
  <c r="Q517" i="5"/>
  <c r="Q518" i="5"/>
  <c r="Q519" i="5"/>
  <c r="Q520" i="5"/>
  <c r="Q521" i="5"/>
  <c r="Q522" i="5"/>
  <c r="Q523" i="5"/>
  <c r="Q524" i="5"/>
  <c r="Q525" i="5"/>
  <c r="Q526" i="5"/>
  <c r="Q527" i="5"/>
  <c r="Q528" i="5"/>
  <c r="Q529" i="5"/>
  <c r="Q530" i="5"/>
  <c r="Q531" i="5"/>
  <c r="Q532" i="5"/>
  <c r="Q533" i="5"/>
  <c r="Q534" i="5"/>
  <c r="Q535" i="5"/>
  <c r="Q536" i="5"/>
  <c r="Q537" i="5"/>
  <c r="Q538" i="5"/>
  <c r="Q539" i="5"/>
  <c r="Q540" i="5"/>
  <c r="Q541" i="5"/>
  <c r="Q542" i="5"/>
  <c r="Q543" i="5"/>
  <c r="Q544" i="5"/>
  <c r="Q545" i="5"/>
  <c r="Q546" i="5"/>
  <c r="Q547" i="5"/>
  <c r="Q548" i="5"/>
  <c r="Q549" i="5"/>
  <c r="Q550" i="5"/>
  <c r="Q551" i="5"/>
  <c r="Q552" i="5"/>
  <c r="Q553" i="5"/>
  <c r="Q554" i="5"/>
  <c r="Q555" i="5"/>
  <c r="Q556" i="5"/>
  <c r="Q557" i="5"/>
  <c r="Q558" i="5"/>
  <c r="Q559" i="5"/>
  <c r="Q560" i="5"/>
  <c r="Q561" i="5"/>
  <c r="Q562" i="5"/>
  <c r="Q563" i="5"/>
  <c r="Q564" i="5"/>
  <c r="Q565" i="5"/>
  <c r="Q566" i="5"/>
  <c r="Q567" i="5"/>
  <c r="Q568" i="5"/>
  <c r="Q569" i="5"/>
  <c r="Q570" i="5"/>
  <c r="Q571" i="5"/>
  <c r="Q572" i="5"/>
  <c r="Q573" i="5"/>
  <c r="Q574" i="5"/>
  <c r="Q575" i="5"/>
  <c r="Q576" i="5"/>
  <c r="Q577" i="5"/>
  <c r="Q578" i="5"/>
  <c r="Q579" i="5"/>
  <c r="Q580" i="5"/>
  <c r="Q581" i="5"/>
  <c r="Q582" i="5"/>
  <c r="Q583" i="5"/>
  <c r="Q584" i="5"/>
  <c r="Q585" i="5"/>
  <c r="Q586" i="5"/>
  <c r="Q587" i="5"/>
  <c r="Q588" i="5"/>
  <c r="Q589" i="5"/>
  <c r="Q590" i="5"/>
  <c r="Q591" i="5"/>
  <c r="Q592" i="5"/>
  <c r="Q593" i="5"/>
  <c r="Q594" i="5"/>
  <c r="Q595" i="5"/>
  <c r="Q596" i="5"/>
  <c r="Q597" i="5"/>
  <c r="Q598" i="5"/>
  <c r="Q599" i="5"/>
  <c r="Q600" i="5"/>
  <c r="Q601" i="5"/>
  <c r="Q602" i="5"/>
  <c r="Q603" i="5"/>
  <c r="Q604" i="5"/>
  <c r="Q605" i="5"/>
  <c r="Q606" i="5"/>
  <c r="Q607" i="5"/>
  <c r="Q608" i="5"/>
  <c r="Q609" i="5"/>
  <c r="Q610" i="5"/>
  <c r="Q611" i="5"/>
  <c r="Q612" i="5"/>
  <c r="Q613" i="5"/>
  <c r="Q614" i="5"/>
  <c r="Q615" i="5"/>
  <c r="Q616" i="5"/>
  <c r="Q617" i="5"/>
  <c r="Q618" i="5"/>
  <c r="Q619" i="5"/>
  <c r="Q620" i="5"/>
  <c r="Q621" i="5"/>
  <c r="Q622" i="5"/>
  <c r="Q623" i="5"/>
  <c r="Q624" i="5"/>
  <c r="Q625" i="5"/>
  <c r="Q626" i="5"/>
  <c r="Q627" i="5"/>
  <c r="Q628" i="5"/>
  <c r="Q629" i="5"/>
  <c r="Q630" i="5"/>
  <c r="Q631" i="5"/>
  <c r="Q632" i="5"/>
  <c r="Q633" i="5"/>
  <c r="Q634" i="5"/>
  <c r="Q635" i="5"/>
  <c r="Q636" i="5"/>
  <c r="Q637" i="5"/>
  <c r="Q638" i="5"/>
  <c r="Q639" i="5"/>
  <c r="Q640" i="5"/>
  <c r="Q641" i="5"/>
  <c r="Q642" i="5"/>
  <c r="Q643" i="5"/>
  <c r="Q644" i="5"/>
  <c r="Q645" i="5"/>
  <c r="Q646" i="5"/>
  <c r="Q647" i="5"/>
  <c r="Q648" i="5"/>
  <c r="Q649" i="5"/>
  <c r="Q650" i="5"/>
  <c r="Q651" i="5"/>
  <c r="Q652" i="5"/>
  <c r="Q653" i="5"/>
  <c r="Q654" i="5"/>
  <c r="Q655" i="5"/>
  <c r="Q656" i="5"/>
  <c r="Q657" i="5"/>
  <c r="Q658" i="5"/>
  <c r="Q659" i="5"/>
  <c r="Q660" i="5"/>
  <c r="Q661" i="5"/>
  <c r="Q662" i="5"/>
  <c r="Q663" i="5"/>
  <c r="Q664" i="5"/>
  <c r="Q665" i="5"/>
  <c r="Q666" i="5"/>
  <c r="Q667" i="5"/>
  <c r="Q668" i="5"/>
  <c r="Q669" i="5"/>
  <c r="Q670" i="5"/>
  <c r="Q671" i="5"/>
  <c r="Q672" i="5"/>
  <c r="Q673" i="5"/>
  <c r="Q674" i="5"/>
  <c r="Q675" i="5"/>
  <c r="Q676" i="5"/>
  <c r="Q677" i="5"/>
  <c r="Q678" i="5"/>
  <c r="Q679" i="5"/>
  <c r="Q680" i="5"/>
  <c r="Q681" i="5"/>
  <c r="Q682" i="5"/>
  <c r="Q683" i="5"/>
  <c r="Q684" i="5"/>
  <c r="Q685" i="5"/>
  <c r="Q686" i="5"/>
  <c r="Q687" i="5"/>
  <c r="Q688" i="5"/>
  <c r="Q689" i="5"/>
  <c r="Q690" i="5"/>
  <c r="Q691" i="5"/>
  <c r="Q692" i="5"/>
  <c r="Q693" i="5"/>
  <c r="Q694" i="5"/>
  <c r="Q695" i="5"/>
  <c r="Q696" i="5"/>
  <c r="Q697" i="5"/>
  <c r="Q698" i="5"/>
  <c r="Q699" i="5"/>
  <c r="Q700" i="5"/>
  <c r="Q701" i="5"/>
  <c r="Q702" i="5"/>
  <c r="Q703" i="5"/>
  <c r="Q704" i="5"/>
  <c r="Q705" i="5"/>
  <c r="Q706" i="5"/>
  <c r="Q707" i="5"/>
  <c r="Q708" i="5"/>
  <c r="Q709" i="5"/>
  <c r="Q710" i="5"/>
  <c r="Q711" i="5"/>
  <c r="Q712" i="5"/>
  <c r="Q713" i="5"/>
  <c r="Q714" i="5"/>
  <c r="Q715" i="5"/>
  <c r="Q716" i="5"/>
  <c r="Q717" i="5"/>
  <c r="Q718" i="5"/>
  <c r="Q719" i="5"/>
  <c r="Q720" i="5"/>
  <c r="Q721" i="5"/>
  <c r="Q722" i="5"/>
  <c r="Q723" i="5"/>
  <c r="Q724" i="5"/>
  <c r="Q725" i="5"/>
  <c r="Q726" i="5"/>
  <c r="Q727" i="5"/>
  <c r="Q728" i="5"/>
  <c r="Q729" i="5"/>
  <c r="Q730" i="5"/>
  <c r="Q731" i="5"/>
  <c r="Q732" i="5"/>
  <c r="Q733" i="5"/>
  <c r="Q734" i="5"/>
  <c r="Q735" i="5"/>
  <c r="Q736" i="5"/>
  <c r="Q737" i="5"/>
  <c r="Q738" i="5"/>
  <c r="Q739" i="5"/>
  <c r="Q740" i="5"/>
  <c r="Q741" i="5"/>
  <c r="Q742" i="5"/>
  <c r="Q743" i="5"/>
  <c r="Q744" i="5"/>
  <c r="Q745" i="5"/>
  <c r="Q746" i="5"/>
  <c r="Q747" i="5"/>
  <c r="Q748" i="5"/>
  <c r="Q749" i="5"/>
  <c r="Q750" i="5"/>
  <c r="Q751" i="5"/>
  <c r="Q752" i="5"/>
  <c r="Q753" i="5"/>
  <c r="Q754" i="5"/>
  <c r="Q755" i="5"/>
  <c r="Q756" i="5"/>
  <c r="Q757" i="5"/>
  <c r="Q758" i="5"/>
  <c r="Q759" i="5"/>
  <c r="Q760" i="5"/>
  <c r="Q761" i="5"/>
  <c r="Q762" i="5"/>
  <c r="Q763" i="5"/>
  <c r="Q764" i="5"/>
  <c r="Q765" i="5"/>
  <c r="Q766" i="5"/>
  <c r="Q767" i="5"/>
  <c r="Q768" i="5"/>
  <c r="Q769" i="5"/>
  <c r="Q770" i="5"/>
  <c r="Q771" i="5"/>
  <c r="Q772" i="5"/>
  <c r="Q773" i="5"/>
  <c r="Q774" i="5"/>
  <c r="Q775" i="5"/>
  <c r="Q776" i="5"/>
  <c r="Q777" i="5"/>
  <c r="Q778" i="5"/>
  <c r="Q779" i="5"/>
  <c r="Q780" i="5"/>
  <c r="Q781" i="5"/>
  <c r="Q782" i="5"/>
  <c r="Q783" i="5"/>
  <c r="Q784" i="5"/>
  <c r="Q785" i="5"/>
  <c r="Q786" i="5"/>
  <c r="Q787" i="5"/>
  <c r="Q788" i="5"/>
  <c r="Q789" i="5"/>
  <c r="Q790" i="5"/>
  <c r="Q791" i="5"/>
  <c r="Q792" i="5"/>
  <c r="Q793" i="5"/>
  <c r="Q794" i="5"/>
  <c r="Q795" i="5"/>
  <c r="Q796" i="5"/>
  <c r="Q797" i="5"/>
  <c r="Q798" i="5"/>
  <c r="Q799" i="5"/>
  <c r="Q800" i="5"/>
  <c r="Q801" i="5"/>
  <c r="Q802" i="5"/>
  <c r="Q803" i="5"/>
  <c r="Q804" i="5"/>
  <c r="Q805" i="5"/>
  <c r="Q806" i="5"/>
  <c r="Q807" i="5"/>
  <c r="Q808" i="5"/>
  <c r="Q809" i="5"/>
  <c r="Q810" i="5"/>
  <c r="Q811" i="5"/>
  <c r="Q812" i="5"/>
  <c r="Q813" i="5"/>
  <c r="Q814" i="5"/>
  <c r="Q815" i="5"/>
  <c r="Q816" i="5"/>
  <c r="Q817" i="5"/>
  <c r="Q818" i="5"/>
  <c r="Q819" i="5"/>
  <c r="Q820" i="5"/>
  <c r="Q821" i="5"/>
  <c r="Q822" i="5"/>
  <c r="Q823" i="5"/>
  <c r="Q824" i="5"/>
  <c r="Q825" i="5"/>
  <c r="Q826" i="5"/>
  <c r="Q827" i="5"/>
  <c r="Q828" i="5"/>
  <c r="Q829" i="5"/>
  <c r="Q830" i="5"/>
  <c r="Q831" i="5"/>
  <c r="Q832" i="5"/>
  <c r="Q833" i="5"/>
  <c r="Q834" i="5"/>
  <c r="Q835" i="5"/>
  <c r="Q836" i="5"/>
  <c r="Q837" i="5"/>
  <c r="Q838" i="5"/>
  <c r="Q839" i="5"/>
  <c r="Q840" i="5"/>
  <c r="Q841" i="5"/>
  <c r="Q842" i="5"/>
  <c r="Q843" i="5"/>
  <c r="Q844" i="5"/>
  <c r="Q845" i="5"/>
  <c r="Q846" i="5"/>
  <c r="Q847" i="5"/>
  <c r="Q848" i="5"/>
  <c r="Q849" i="5"/>
  <c r="Q850" i="5"/>
  <c r="Q851" i="5"/>
  <c r="Q852" i="5"/>
  <c r="Q853" i="5"/>
  <c r="Q854" i="5"/>
  <c r="Q855" i="5"/>
  <c r="Q856" i="5"/>
  <c r="Q857" i="5"/>
  <c r="Q858" i="5"/>
  <c r="Q859" i="5"/>
  <c r="Q860" i="5"/>
  <c r="Q861" i="5"/>
  <c r="Q862" i="5"/>
  <c r="Q863" i="5"/>
  <c r="Q864" i="5"/>
  <c r="Q865" i="5"/>
  <c r="Q866" i="5"/>
  <c r="Q867" i="5"/>
  <c r="Q868" i="5"/>
  <c r="Q869" i="5"/>
  <c r="Q870" i="5"/>
  <c r="Q871" i="5"/>
  <c r="Q872" i="5"/>
  <c r="Q873" i="5"/>
  <c r="Q874" i="5"/>
  <c r="Q875" i="5"/>
  <c r="Q876" i="5"/>
  <c r="Q877" i="5"/>
  <c r="Q878" i="5"/>
  <c r="Q879" i="5"/>
  <c r="Q880" i="5"/>
  <c r="Q881" i="5"/>
  <c r="Q882" i="5"/>
  <c r="Q883" i="5"/>
  <c r="Q884" i="5"/>
  <c r="Q885" i="5"/>
  <c r="Q886" i="5"/>
  <c r="Q887" i="5"/>
  <c r="Q888" i="5"/>
  <c r="Q889" i="5"/>
  <c r="Q890" i="5"/>
  <c r="Q891" i="5"/>
  <c r="Q892" i="5"/>
  <c r="Q893" i="5"/>
  <c r="Q894" i="5"/>
  <c r="Q895" i="5"/>
  <c r="Q896" i="5"/>
  <c r="Q897" i="5"/>
  <c r="Q898" i="5"/>
  <c r="Q899" i="5"/>
  <c r="Q900" i="5"/>
  <c r="Q901" i="5"/>
  <c r="Q902" i="5"/>
  <c r="Q903" i="5"/>
  <c r="Q904" i="5"/>
  <c r="Q905" i="5"/>
  <c r="Q906" i="5"/>
  <c r="Q907" i="5"/>
  <c r="Q908" i="5"/>
  <c r="Q909" i="5"/>
  <c r="Q910" i="5"/>
  <c r="Q911" i="5"/>
  <c r="Q912" i="5"/>
  <c r="Q913" i="5"/>
  <c r="Q914" i="5"/>
  <c r="Q915" i="5"/>
  <c r="Q916" i="5"/>
  <c r="Q917" i="5"/>
  <c r="Q918" i="5"/>
  <c r="Q919" i="5"/>
  <c r="Q920" i="5"/>
  <c r="Q921" i="5"/>
  <c r="Q922" i="5"/>
  <c r="Q923" i="5"/>
  <c r="Q924" i="5"/>
  <c r="Q925" i="5"/>
  <c r="Q926" i="5"/>
  <c r="Q927" i="5"/>
  <c r="Q928" i="5"/>
  <c r="Q929" i="5"/>
  <c r="Q930" i="5"/>
  <c r="Q931" i="5"/>
  <c r="Q932" i="5"/>
  <c r="Q933" i="5"/>
  <c r="Q934" i="5"/>
  <c r="Q935" i="5"/>
  <c r="Q936" i="5"/>
  <c r="Q937" i="5"/>
  <c r="Q938" i="5"/>
  <c r="Q939" i="5"/>
  <c r="Q940" i="5"/>
  <c r="Q941" i="5"/>
  <c r="Q942" i="5"/>
  <c r="Q943" i="5"/>
  <c r="Q944" i="5"/>
  <c r="Q945" i="5"/>
  <c r="Q946" i="5"/>
  <c r="Q947" i="5"/>
  <c r="Q948" i="5"/>
  <c r="Q949" i="5"/>
  <c r="Q950" i="5"/>
  <c r="Q951" i="5"/>
  <c r="Q952" i="5"/>
  <c r="Q953" i="5"/>
  <c r="Q954" i="5"/>
  <c r="Q955" i="5"/>
  <c r="Q956" i="5"/>
  <c r="Q957" i="5"/>
  <c r="Q958" i="5"/>
  <c r="Q959" i="5"/>
  <c r="Q960" i="5"/>
  <c r="Q961" i="5"/>
  <c r="Q962" i="5"/>
  <c r="Q963" i="5"/>
  <c r="Q964" i="5"/>
  <c r="Q965" i="5"/>
  <c r="Q966" i="5"/>
  <c r="Q967" i="5"/>
  <c r="Q968" i="5"/>
  <c r="Q969" i="5"/>
  <c r="Q970" i="5"/>
  <c r="Q971" i="5"/>
  <c r="Q972" i="5"/>
  <c r="Q973" i="5"/>
  <c r="Q974" i="5"/>
  <c r="Q975" i="5"/>
  <c r="Q976" i="5"/>
  <c r="Q977" i="5"/>
  <c r="Q978" i="5"/>
  <c r="Q979" i="5"/>
  <c r="Q980" i="5"/>
  <c r="Q981" i="5"/>
  <c r="Q982" i="5"/>
  <c r="Q983" i="5"/>
  <c r="Q984" i="5"/>
  <c r="Q985" i="5"/>
  <c r="Q986" i="5"/>
  <c r="Q987" i="5"/>
  <c r="Q988" i="5"/>
  <c r="Q989" i="5"/>
  <c r="Q990" i="5"/>
  <c r="Q991" i="5"/>
  <c r="Q992" i="5"/>
  <c r="Q993" i="5"/>
  <c r="Q994" i="5"/>
  <c r="Q995" i="5"/>
  <c r="Q996" i="5"/>
  <c r="Q997" i="5"/>
  <c r="Q998" i="5"/>
  <c r="Q999" i="5"/>
  <c r="Q1000" i="5"/>
  <c r="R51" i="5"/>
  <c r="R52" i="5"/>
  <c r="R53" i="5"/>
  <c r="R54" i="5"/>
  <c r="R55" i="5"/>
  <c r="R56" i="5"/>
  <c r="R57" i="5"/>
  <c r="R58" i="5"/>
  <c r="R59" i="5"/>
  <c r="R60" i="5"/>
  <c r="R61" i="5"/>
  <c r="R62" i="5"/>
  <c r="R63" i="5"/>
  <c r="R64" i="5"/>
  <c r="R65" i="5"/>
  <c r="R66" i="5"/>
  <c r="R67" i="5"/>
  <c r="R68" i="5"/>
  <c r="R69" i="5"/>
  <c r="R70" i="5"/>
  <c r="R71" i="5"/>
  <c r="R72" i="5"/>
  <c r="R73" i="5"/>
  <c r="R74" i="5"/>
  <c r="R75" i="5"/>
  <c r="R76" i="5"/>
  <c r="R77" i="5"/>
  <c r="R78" i="5"/>
  <c r="R79" i="5"/>
  <c r="R80" i="5"/>
  <c r="R81" i="5"/>
  <c r="R82" i="5"/>
  <c r="R83" i="5"/>
  <c r="R84" i="5"/>
  <c r="R85" i="5"/>
  <c r="R86" i="5"/>
  <c r="R87" i="5"/>
  <c r="R88" i="5"/>
  <c r="R89" i="5"/>
  <c r="R90" i="5"/>
  <c r="R91" i="5"/>
  <c r="R92" i="5"/>
  <c r="R93" i="5"/>
  <c r="R94" i="5"/>
  <c r="R95" i="5"/>
  <c r="R96" i="5"/>
  <c r="R97" i="5"/>
  <c r="R98" i="5"/>
  <c r="R99" i="5"/>
  <c r="R100" i="5"/>
  <c r="R101" i="5"/>
  <c r="R102" i="5"/>
  <c r="R103" i="5"/>
  <c r="R104" i="5"/>
  <c r="R105" i="5"/>
  <c r="R106" i="5"/>
  <c r="R107" i="5"/>
  <c r="R108" i="5"/>
  <c r="R109" i="5"/>
  <c r="R110" i="5"/>
  <c r="R111" i="5"/>
  <c r="R112" i="5"/>
  <c r="R113" i="5"/>
  <c r="R114" i="5"/>
  <c r="R115" i="5"/>
  <c r="R116" i="5"/>
  <c r="R117" i="5"/>
  <c r="R118" i="5"/>
  <c r="R119" i="5"/>
  <c r="R120" i="5"/>
  <c r="R121" i="5"/>
  <c r="R122" i="5"/>
  <c r="R123" i="5"/>
  <c r="R124" i="5"/>
  <c r="R125" i="5"/>
  <c r="R126" i="5"/>
  <c r="R127" i="5"/>
  <c r="R128" i="5"/>
  <c r="R129" i="5"/>
  <c r="R130" i="5"/>
  <c r="R131" i="5"/>
  <c r="R132" i="5"/>
  <c r="R133" i="5"/>
  <c r="R134" i="5"/>
  <c r="R135" i="5"/>
  <c r="R136" i="5"/>
  <c r="R137" i="5"/>
  <c r="R138" i="5"/>
  <c r="R139" i="5"/>
  <c r="R140" i="5"/>
  <c r="R141" i="5"/>
  <c r="R142" i="5"/>
  <c r="R143" i="5"/>
  <c r="R144" i="5"/>
  <c r="R145" i="5"/>
  <c r="R146" i="5"/>
  <c r="R147" i="5"/>
  <c r="R148" i="5"/>
  <c r="R149" i="5"/>
  <c r="R150" i="5"/>
  <c r="R151" i="5"/>
  <c r="R152" i="5"/>
  <c r="R153" i="5"/>
  <c r="R154" i="5"/>
  <c r="R155" i="5"/>
  <c r="R156" i="5"/>
  <c r="R157" i="5"/>
  <c r="R158" i="5"/>
  <c r="R159" i="5"/>
  <c r="R160" i="5"/>
  <c r="R161" i="5"/>
  <c r="R162" i="5"/>
  <c r="R163" i="5"/>
  <c r="R164" i="5"/>
  <c r="R165" i="5"/>
  <c r="R166" i="5"/>
  <c r="R167" i="5"/>
  <c r="R168" i="5"/>
  <c r="R169" i="5"/>
  <c r="R170" i="5"/>
  <c r="R171" i="5"/>
  <c r="R172" i="5"/>
  <c r="R173" i="5"/>
  <c r="R174" i="5"/>
  <c r="R175" i="5"/>
  <c r="R176" i="5"/>
  <c r="R177" i="5"/>
  <c r="R178" i="5"/>
  <c r="R179" i="5"/>
  <c r="R180" i="5"/>
  <c r="R181" i="5"/>
  <c r="R182" i="5"/>
  <c r="R183" i="5"/>
  <c r="R184" i="5"/>
  <c r="R185" i="5"/>
  <c r="R186" i="5"/>
  <c r="R187" i="5"/>
  <c r="R188" i="5"/>
  <c r="R189" i="5"/>
  <c r="R190" i="5"/>
  <c r="R191" i="5"/>
  <c r="R192" i="5"/>
  <c r="R193" i="5"/>
  <c r="R194" i="5"/>
  <c r="R195" i="5"/>
  <c r="R196" i="5"/>
  <c r="R197" i="5"/>
  <c r="R198" i="5"/>
  <c r="R199" i="5"/>
  <c r="R200" i="5"/>
  <c r="R201" i="5"/>
  <c r="R202" i="5"/>
  <c r="R203" i="5"/>
  <c r="R204" i="5"/>
  <c r="R205" i="5"/>
  <c r="R206" i="5"/>
  <c r="R207" i="5"/>
  <c r="R208" i="5"/>
  <c r="R209" i="5"/>
  <c r="R210" i="5"/>
  <c r="R211" i="5"/>
  <c r="R212" i="5"/>
  <c r="R213" i="5"/>
  <c r="R214" i="5"/>
  <c r="R215" i="5"/>
  <c r="R216" i="5"/>
  <c r="R217" i="5"/>
  <c r="R218" i="5"/>
  <c r="R219" i="5"/>
  <c r="R220" i="5"/>
  <c r="R221" i="5"/>
  <c r="R222" i="5"/>
  <c r="R223" i="5"/>
  <c r="R224" i="5"/>
  <c r="R225" i="5"/>
  <c r="R226" i="5"/>
  <c r="R227" i="5"/>
  <c r="R228" i="5"/>
  <c r="R229" i="5"/>
  <c r="R230" i="5"/>
  <c r="R231" i="5"/>
  <c r="R232" i="5"/>
  <c r="R233" i="5"/>
  <c r="R234" i="5"/>
  <c r="R235" i="5"/>
  <c r="R236" i="5"/>
  <c r="R237" i="5"/>
  <c r="R238" i="5"/>
  <c r="R239" i="5"/>
  <c r="R240" i="5"/>
  <c r="R241" i="5"/>
  <c r="R242" i="5"/>
  <c r="R243" i="5"/>
  <c r="R244" i="5"/>
  <c r="R245" i="5"/>
  <c r="R246" i="5"/>
  <c r="R247" i="5"/>
  <c r="R248" i="5"/>
  <c r="R249" i="5"/>
  <c r="R250" i="5"/>
  <c r="R251" i="5"/>
  <c r="R252" i="5"/>
  <c r="R253" i="5"/>
  <c r="R254" i="5"/>
  <c r="R255" i="5"/>
  <c r="R256" i="5"/>
  <c r="R257" i="5"/>
  <c r="R258" i="5"/>
  <c r="R259" i="5"/>
  <c r="R260" i="5"/>
  <c r="R261" i="5"/>
  <c r="R262" i="5"/>
  <c r="R263" i="5"/>
  <c r="R264" i="5"/>
  <c r="R265" i="5"/>
  <c r="R266" i="5"/>
  <c r="R267" i="5"/>
  <c r="R268" i="5"/>
  <c r="R269" i="5"/>
  <c r="R270" i="5"/>
  <c r="R271" i="5"/>
  <c r="R272" i="5"/>
  <c r="R273" i="5"/>
  <c r="R274" i="5"/>
  <c r="R275" i="5"/>
  <c r="R276" i="5"/>
  <c r="R277" i="5"/>
  <c r="R278" i="5"/>
  <c r="R279" i="5"/>
  <c r="R280" i="5"/>
  <c r="R281" i="5"/>
  <c r="R282" i="5"/>
  <c r="R283" i="5"/>
  <c r="R284" i="5"/>
  <c r="R285" i="5"/>
  <c r="R286" i="5"/>
  <c r="R287" i="5"/>
  <c r="R288" i="5"/>
  <c r="R289" i="5"/>
  <c r="R290" i="5"/>
  <c r="R291" i="5"/>
  <c r="R292" i="5"/>
  <c r="R293" i="5"/>
  <c r="R294" i="5"/>
  <c r="R295" i="5"/>
  <c r="R296" i="5"/>
  <c r="R297" i="5"/>
  <c r="R298" i="5"/>
  <c r="R299" i="5"/>
  <c r="R300" i="5"/>
  <c r="R301" i="5"/>
  <c r="R302" i="5"/>
  <c r="R303" i="5"/>
  <c r="R304" i="5"/>
  <c r="R305" i="5"/>
  <c r="R306" i="5"/>
  <c r="R307" i="5"/>
  <c r="R308" i="5"/>
  <c r="R309" i="5"/>
  <c r="R310" i="5"/>
  <c r="R311" i="5"/>
  <c r="R312" i="5"/>
  <c r="R313" i="5"/>
  <c r="R314" i="5"/>
  <c r="R315" i="5"/>
  <c r="R316" i="5"/>
  <c r="R317" i="5"/>
  <c r="R318" i="5"/>
  <c r="R319" i="5"/>
  <c r="R320" i="5"/>
  <c r="R321" i="5"/>
  <c r="R322" i="5"/>
  <c r="R323" i="5"/>
  <c r="R324" i="5"/>
  <c r="R325" i="5"/>
  <c r="R326" i="5"/>
  <c r="R327" i="5"/>
  <c r="R328" i="5"/>
  <c r="R329" i="5"/>
  <c r="R330" i="5"/>
  <c r="R331" i="5"/>
  <c r="R332" i="5"/>
  <c r="R333" i="5"/>
  <c r="R334" i="5"/>
  <c r="R335" i="5"/>
  <c r="R336" i="5"/>
  <c r="R337" i="5"/>
  <c r="R338" i="5"/>
  <c r="R339" i="5"/>
  <c r="R340" i="5"/>
  <c r="R341" i="5"/>
  <c r="R342" i="5"/>
  <c r="R343" i="5"/>
  <c r="R344" i="5"/>
  <c r="R345" i="5"/>
  <c r="R346" i="5"/>
  <c r="R347" i="5"/>
  <c r="R348" i="5"/>
  <c r="R349" i="5"/>
  <c r="R350" i="5"/>
  <c r="R351" i="5"/>
  <c r="R352" i="5"/>
  <c r="R353" i="5"/>
  <c r="R354" i="5"/>
  <c r="R355" i="5"/>
  <c r="R356" i="5"/>
  <c r="R357" i="5"/>
  <c r="R358" i="5"/>
  <c r="R359" i="5"/>
  <c r="R360" i="5"/>
  <c r="R361" i="5"/>
  <c r="R362" i="5"/>
  <c r="R363" i="5"/>
  <c r="R364" i="5"/>
  <c r="R365" i="5"/>
  <c r="R366" i="5"/>
  <c r="R367" i="5"/>
  <c r="R368" i="5"/>
  <c r="R369" i="5"/>
  <c r="R370" i="5"/>
  <c r="R371" i="5"/>
  <c r="R372" i="5"/>
  <c r="R373" i="5"/>
  <c r="R374" i="5"/>
  <c r="R375" i="5"/>
  <c r="R376" i="5"/>
  <c r="R377" i="5"/>
  <c r="R378" i="5"/>
  <c r="R379" i="5"/>
  <c r="R380" i="5"/>
  <c r="R381" i="5"/>
  <c r="R382" i="5"/>
  <c r="R383" i="5"/>
  <c r="R384" i="5"/>
  <c r="R385" i="5"/>
  <c r="R386" i="5"/>
  <c r="R387" i="5"/>
  <c r="R388" i="5"/>
  <c r="R389" i="5"/>
  <c r="R390" i="5"/>
  <c r="R391" i="5"/>
  <c r="R392" i="5"/>
  <c r="R393" i="5"/>
  <c r="R394" i="5"/>
  <c r="R395" i="5"/>
  <c r="R396" i="5"/>
  <c r="R397" i="5"/>
  <c r="R398" i="5"/>
  <c r="R399" i="5"/>
  <c r="R400" i="5"/>
  <c r="R401" i="5"/>
  <c r="R402" i="5"/>
  <c r="R403" i="5"/>
  <c r="R404" i="5"/>
  <c r="R405" i="5"/>
  <c r="R406" i="5"/>
  <c r="R407" i="5"/>
  <c r="R408" i="5"/>
  <c r="R409" i="5"/>
  <c r="R410" i="5"/>
  <c r="R411" i="5"/>
  <c r="R412" i="5"/>
  <c r="R413" i="5"/>
  <c r="R414" i="5"/>
  <c r="R415" i="5"/>
  <c r="R416" i="5"/>
  <c r="R417" i="5"/>
  <c r="R418" i="5"/>
  <c r="R419" i="5"/>
  <c r="R420" i="5"/>
  <c r="R421" i="5"/>
  <c r="R422" i="5"/>
  <c r="R423" i="5"/>
  <c r="R424" i="5"/>
  <c r="R425" i="5"/>
  <c r="R426" i="5"/>
  <c r="R427" i="5"/>
  <c r="R428" i="5"/>
  <c r="R429" i="5"/>
  <c r="R430" i="5"/>
  <c r="R431" i="5"/>
  <c r="R432" i="5"/>
  <c r="R433" i="5"/>
  <c r="R434" i="5"/>
  <c r="R435" i="5"/>
  <c r="R436" i="5"/>
  <c r="R437" i="5"/>
  <c r="R438" i="5"/>
  <c r="R439" i="5"/>
  <c r="R440" i="5"/>
  <c r="R441" i="5"/>
  <c r="R442" i="5"/>
  <c r="R443" i="5"/>
  <c r="R444" i="5"/>
  <c r="R445" i="5"/>
  <c r="R446" i="5"/>
  <c r="R447" i="5"/>
  <c r="R448" i="5"/>
  <c r="R449" i="5"/>
  <c r="R450" i="5"/>
  <c r="R451" i="5"/>
  <c r="R452" i="5"/>
  <c r="R453" i="5"/>
  <c r="R454" i="5"/>
  <c r="R455" i="5"/>
  <c r="R456" i="5"/>
  <c r="R457" i="5"/>
  <c r="R458" i="5"/>
  <c r="R459" i="5"/>
  <c r="R460" i="5"/>
  <c r="R461" i="5"/>
  <c r="R462" i="5"/>
  <c r="R463" i="5"/>
  <c r="R464" i="5"/>
  <c r="R465" i="5"/>
  <c r="R466" i="5"/>
  <c r="R467" i="5"/>
  <c r="R468" i="5"/>
  <c r="R469" i="5"/>
  <c r="R470" i="5"/>
  <c r="R471" i="5"/>
  <c r="R472" i="5"/>
  <c r="R473" i="5"/>
  <c r="R474" i="5"/>
  <c r="R475" i="5"/>
  <c r="R476" i="5"/>
  <c r="R477" i="5"/>
  <c r="R478" i="5"/>
  <c r="R479" i="5"/>
  <c r="R480" i="5"/>
  <c r="R481" i="5"/>
  <c r="R482" i="5"/>
  <c r="R483" i="5"/>
  <c r="R484" i="5"/>
  <c r="R485" i="5"/>
  <c r="R486" i="5"/>
  <c r="R487" i="5"/>
  <c r="R488" i="5"/>
  <c r="R489" i="5"/>
  <c r="R490" i="5"/>
  <c r="R491" i="5"/>
  <c r="R492" i="5"/>
  <c r="R493" i="5"/>
  <c r="R494" i="5"/>
  <c r="R495" i="5"/>
  <c r="R496" i="5"/>
  <c r="R497" i="5"/>
  <c r="R498" i="5"/>
  <c r="R499" i="5"/>
  <c r="R500" i="5"/>
  <c r="R501" i="5"/>
  <c r="R502" i="5"/>
  <c r="R503" i="5"/>
  <c r="R504" i="5"/>
  <c r="R505" i="5"/>
  <c r="R506" i="5"/>
  <c r="R507" i="5"/>
  <c r="R508" i="5"/>
  <c r="R509" i="5"/>
  <c r="R510" i="5"/>
  <c r="R511" i="5"/>
  <c r="R512" i="5"/>
  <c r="R513" i="5"/>
  <c r="R514" i="5"/>
  <c r="R515" i="5"/>
  <c r="R516" i="5"/>
  <c r="R517" i="5"/>
  <c r="R518" i="5"/>
  <c r="R519" i="5"/>
  <c r="R520" i="5"/>
  <c r="R521" i="5"/>
  <c r="R522" i="5"/>
  <c r="R523" i="5"/>
  <c r="R524" i="5"/>
  <c r="R525" i="5"/>
  <c r="R526" i="5"/>
  <c r="R527" i="5"/>
  <c r="R528" i="5"/>
  <c r="R529" i="5"/>
  <c r="R530" i="5"/>
  <c r="R531" i="5"/>
  <c r="R532" i="5"/>
  <c r="R533" i="5"/>
  <c r="R534" i="5"/>
  <c r="R535" i="5"/>
  <c r="R536" i="5"/>
  <c r="R537" i="5"/>
  <c r="R538" i="5"/>
  <c r="R539" i="5"/>
  <c r="R540" i="5"/>
  <c r="R541" i="5"/>
  <c r="R542" i="5"/>
  <c r="R543" i="5"/>
  <c r="R544" i="5"/>
  <c r="R545" i="5"/>
  <c r="R546" i="5"/>
  <c r="R547" i="5"/>
  <c r="R548" i="5"/>
  <c r="R549" i="5"/>
  <c r="R550" i="5"/>
  <c r="R551" i="5"/>
  <c r="R552" i="5"/>
  <c r="R553" i="5"/>
  <c r="R554" i="5"/>
  <c r="R555" i="5"/>
  <c r="R556" i="5"/>
  <c r="R557" i="5"/>
  <c r="R558" i="5"/>
  <c r="R559" i="5"/>
  <c r="R560" i="5"/>
  <c r="R561" i="5"/>
  <c r="R562" i="5"/>
  <c r="R563" i="5"/>
  <c r="R564" i="5"/>
  <c r="R565" i="5"/>
  <c r="R566" i="5"/>
  <c r="R567" i="5"/>
  <c r="R568" i="5"/>
  <c r="R569" i="5"/>
  <c r="R570" i="5"/>
  <c r="R571" i="5"/>
  <c r="R572" i="5"/>
  <c r="R573" i="5"/>
  <c r="R574" i="5"/>
  <c r="R575" i="5"/>
  <c r="R576" i="5"/>
  <c r="R577" i="5"/>
  <c r="R578" i="5"/>
  <c r="R579" i="5"/>
  <c r="R580" i="5"/>
  <c r="R581" i="5"/>
  <c r="R582" i="5"/>
  <c r="R583" i="5"/>
  <c r="R584" i="5"/>
  <c r="R585" i="5"/>
  <c r="R586" i="5"/>
  <c r="R587" i="5"/>
  <c r="R588" i="5"/>
  <c r="R589" i="5"/>
  <c r="R590" i="5"/>
  <c r="R591" i="5"/>
  <c r="R592" i="5"/>
  <c r="R593" i="5"/>
  <c r="R594" i="5"/>
  <c r="R595" i="5"/>
  <c r="R596" i="5"/>
  <c r="R597" i="5"/>
  <c r="R598" i="5"/>
  <c r="R599" i="5"/>
  <c r="R600" i="5"/>
  <c r="R601" i="5"/>
  <c r="R602" i="5"/>
  <c r="R603" i="5"/>
  <c r="R604" i="5"/>
  <c r="R605" i="5"/>
  <c r="R606" i="5"/>
  <c r="R607" i="5"/>
  <c r="R608" i="5"/>
  <c r="R609" i="5"/>
  <c r="R610" i="5"/>
  <c r="R611" i="5"/>
  <c r="R612" i="5"/>
  <c r="R613" i="5"/>
  <c r="R614" i="5"/>
  <c r="R615" i="5"/>
  <c r="R616" i="5"/>
  <c r="R617" i="5"/>
  <c r="R618" i="5"/>
  <c r="R619" i="5"/>
  <c r="R620" i="5"/>
  <c r="R621" i="5"/>
  <c r="R622" i="5"/>
  <c r="R623" i="5"/>
  <c r="R624" i="5"/>
  <c r="R625" i="5"/>
  <c r="R626" i="5"/>
  <c r="R627" i="5"/>
  <c r="R628" i="5"/>
  <c r="R629" i="5"/>
  <c r="R630" i="5"/>
  <c r="R631" i="5"/>
  <c r="R632" i="5"/>
  <c r="R633" i="5"/>
  <c r="R634" i="5"/>
  <c r="R635" i="5"/>
  <c r="R636" i="5"/>
  <c r="R637" i="5"/>
  <c r="R638" i="5"/>
  <c r="R639" i="5"/>
  <c r="R640" i="5"/>
  <c r="R641" i="5"/>
  <c r="R642" i="5"/>
  <c r="R643" i="5"/>
  <c r="R644" i="5"/>
  <c r="R645" i="5"/>
  <c r="R646" i="5"/>
  <c r="R647" i="5"/>
  <c r="R648" i="5"/>
  <c r="R649" i="5"/>
  <c r="R650" i="5"/>
  <c r="R651" i="5"/>
  <c r="R652" i="5"/>
  <c r="R653" i="5"/>
  <c r="R654" i="5"/>
  <c r="R655" i="5"/>
  <c r="R656" i="5"/>
  <c r="R657" i="5"/>
  <c r="R658" i="5"/>
  <c r="R659" i="5"/>
  <c r="R660" i="5"/>
  <c r="R661" i="5"/>
  <c r="R662" i="5"/>
  <c r="R663" i="5"/>
  <c r="R664" i="5"/>
  <c r="R665" i="5"/>
  <c r="R666" i="5"/>
  <c r="R667" i="5"/>
  <c r="R668" i="5"/>
  <c r="R669" i="5"/>
  <c r="R670" i="5"/>
  <c r="R671" i="5"/>
  <c r="R672" i="5"/>
  <c r="R673" i="5"/>
  <c r="R674" i="5"/>
  <c r="R675" i="5"/>
  <c r="R676" i="5"/>
  <c r="R677" i="5"/>
  <c r="R678" i="5"/>
  <c r="R679" i="5"/>
  <c r="R680" i="5"/>
  <c r="R681" i="5"/>
  <c r="R682" i="5"/>
  <c r="R683" i="5"/>
  <c r="R684" i="5"/>
  <c r="R685" i="5"/>
  <c r="R686" i="5"/>
  <c r="R687" i="5"/>
  <c r="R688" i="5"/>
  <c r="R689" i="5"/>
  <c r="R690" i="5"/>
  <c r="R691" i="5"/>
  <c r="R692" i="5"/>
  <c r="R693" i="5"/>
  <c r="R694" i="5"/>
  <c r="R695" i="5"/>
  <c r="R696" i="5"/>
  <c r="R697" i="5"/>
  <c r="R698" i="5"/>
  <c r="R699" i="5"/>
  <c r="R700" i="5"/>
  <c r="R701" i="5"/>
  <c r="R702" i="5"/>
  <c r="R703" i="5"/>
  <c r="R704" i="5"/>
  <c r="R705" i="5"/>
  <c r="R706" i="5"/>
  <c r="R707" i="5"/>
  <c r="R708" i="5"/>
  <c r="R709" i="5"/>
  <c r="R710" i="5"/>
  <c r="R711" i="5"/>
  <c r="R712" i="5"/>
  <c r="R713" i="5"/>
  <c r="R714" i="5"/>
  <c r="R715" i="5"/>
  <c r="R716" i="5"/>
  <c r="R717" i="5"/>
  <c r="R718" i="5"/>
  <c r="R719" i="5"/>
  <c r="R720" i="5"/>
  <c r="R721" i="5"/>
  <c r="R722" i="5"/>
  <c r="R723" i="5"/>
  <c r="R724" i="5"/>
  <c r="R725" i="5"/>
  <c r="R726" i="5"/>
  <c r="R727" i="5"/>
  <c r="R728" i="5"/>
  <c r="R729" i="5"/>
  <c r="R730" i="5"/>
  <c r="R731" i="5"/>
  <c r="R732" i="5"/>
  <c r="R733" i="5"/>
  <c r="R734" i="5"/>
  <c r="R735" i="5"/>
  <c r="R736" i="5"/>
  <c r="R737" i="5"/>
  <c r="R738" i="5"/>
  <c r="R739" i="5"/>
  <c r="R740" i="5"/>
  <c r="R741" i="5"/>
  <c r="R742" i="5"/>
  <c r="R743" i="5"/>
  <c r="R744" i="5"/>
  <c r="R745" i="5"/>
  <c r="R746" i="5"/>
  <c r="R747" i="5"/>
  <c r="R748" i="5"/>
  <c r="R749" i="5"/>
  <c r="R750" i="5"/>
  <c r="R751" i="5"/>
  <c r="R752" i="5"/>
  <c r="R753" i="5"/>
  <c r="R754" i="5"/>
  <c r="R755" i="5"/>
  <c r="R756" i="5"/>
  <c r="R757" i="5"/>
  <c r="R758" i="5"/>
  <c r="R759" i="5"/>
  <c r="R760" i="5"/>
  <c r="R761" i="5"/>
  <c r="R762" i="5"/>
  <c r="R763" i="5"/>
  <c r="R764" i="5"/>
  <c r="R765" i="5"/>
  <c r="R766" i="5"/>
  <c r="R767" i="5"/>
  <c r="R768" i="5"/>
  <c r="R769" i="5"/>
  <c r="R770" i="5"/>
  <c r="R771" i="5"/>
  <c r="R772" i="5"/>
  <c r="R773" i="5"/>
  <c r="R774" i="5"/>
  <c r="R775" i="5"/>
  <c r="R776" i="5"/>
  <c r="R777" i="5"/>
  <c r="R778" i="5"/>
  <c r="R779" i="5"/>
  <c r="R780" i="5"/>
  <c r="R781" i="5"/>
  <c r="R782" i="5"/>
  <c r="R783" i="5"/>
  <c r="R784" i="5"/>
  <c r="R785" i="5"/>
  <c r="R786" i="5"/>
  <c r="R787" i="5"/>
  <c r="R788" i="5"/>
  <c r="R789" i="5"/>
  <c r="R790" i="5"/>
  <c r="R791" i="5"/>
  <c r="R792" i="5"/>
  <c r="R793" i="5"/>
  <c r="R794" i="5"/>
  <c r="R795" i="5"/>
  <c r="R796" i="5"/>
  <c r="R797" i="5"/>
  <c r="R798" i="5"/>
  <c r="R799" i="5"/>
  <c r="R800" i="5"/>
  <c r="R801" i="5"/>
  <c r="R802" i="5"/>
  <c r="R803" i="5"/>
  <c r="R804" i="5"/>
  <c r="R805" i="5"/>
  <c r="R806" i="5"/>
  <c r="R807" i="5"/>
  <c r="R808" i="5"/>
  <c r="R809" i="5"/>
  <c r="R810" i="5"/>
  <c r="R811" i="5"/>
  <c r="R812" i="5"/>
  <c r="R813" i="5"/>
  <c r="R814" i="5"/>
  <c r="R815" i="5"/>
  <c r="R816" i="5"/>
  <c r="R817" i="5"/>
  <c r="R818" i="5"/>
  <c r="R819" i="5"/>
  <c r="R820" i="5"/>
  <c r="R821" i="5"/>
  <c r="R822" i="5"/>
  <c r="R823" i="5"/>
  <c r="R824" i="5"/>
  <c r="R825" i="5"/>
  <c r="R826" i="5"/>
  <c r="R827" i="5"/>
  <c r="R828" i="5"/>
  <c r="R829" i="5"/>
  <c r="R830" i="5"/>
  <c r="R831" i="5"/>
  <c r="R832" i="5"/>
  <c r="R833" i="5"/>
  <c r="R834" i="5"/>
  <c r="R835" i="5"/>
  <c r="R836" i="5"/>
  <c r="R837" i="5"/>
  <c r="R838" i="5"/>
  <c r="R839" i="5"/>
  <c r="R840" i="5"/>
  <c r="R841" i="5"/>
  <c r="R842" i="5"/>
  <c r="R843" i="5"/>
  <c r="R844" i="5"/>
  <c r="R845" i="5"/>
  <c r="R846" i="5"/>
  <c r="R847" i="5"/>
  <c r="R848" i="5"/>
  <c r="R849" i="5"/>
  <c r="R850" i="5"/>
  <c r="R851" i="5"/>
  <c r="R852" i="5"/>
  <c r="R853" i="5"/>
  <c r="R854" i="5"/>
  <c r="R855" i="5"/>
  <c r="R856" i="5"/>
  <c r="R857" i="5"/>
  <c r="R858" i="5"/>
  <c r="R859" i="5"/>
  <c r="R860" i="5"/>
  <c r="R861" i="5"/>
  <c r="R862" i="5"/>
  <c r="R863" i="5"/>
  <c r="R864" i="5"/>
  <c r="R865" i="5"/>
  <c r="R866" i="5"/>
  <c r="R867" i="5"/>
  <c r="R868" i="5"/>
  <c r="R869" i="5"/>
  <c r="R870" i="5"/>
  <c r="R871" i="5"/>
  <c r="R872" i="5"/>
  <c r="R873" i="5"/>
  <c r="R874" i="5"/>
  <c r="R875" i="5"/>
  <c r="R876" i="5"/>
  <c r="R877" i="5"/>
  <c r="R878" i="5"/>
  <c r="R879" i="5"/>
  <c r="R880" i="5"/>
  <c r="R881" i="5"/>
  <c r="R882" i="5"/>
  <c r="R883" i="5"/>
  <c r="R884" i="5"/>
  <c r="R885" i="5"/>
  <c r="R886" i="5"/>
  <c r="R887" i="5"/>
  <c r="R888" i="5"/>
  <c r="R889" i="5"/>
  <c r="R890" i="5"/>
  <c r="R891" i="5"/>
  <c r="R892" i="5"/>
  <c r="R893" i="5"/>
  <c r="R894" i="5"/>
  <c r="R895" i="5"/>
  <c r="R896" i="5"/>
  <c r="R897" i="5"/>
  <c r="R898" i="5"/>
  <c r="R899" i="5"/>
  <c r="R900" i="5"/>
  <c r="R901" i="5"/>
  <c r="R902" i="5"/>
  <c r="R903" i="5"/>
  <c r="R904" i="5"/>
  <c r="R905" i="5"/>
  <c r="R906" i="5"/>
  <c r="R907" i="5"/>
  <c r="R908" i="5"/>
  <c r="R909" i="5"/>
  <c r="R910" i="5"/>
  <c r="R911" i="5"/>
  <c r="R912" i="5"/>
  <c r="R913" i="5"/>
  <c r="R914" i="5"/>
  <c r="R915" i="5"/>
  <c r="R916" i="5"/>
  <c r="R917" i="5"/>
  <c r="R918" i="5"/>
  <c r="R919" i="5"/>
  <c r="R920" i="5"/>
  <c r="R921" i="5"/>
  <c r="R922" i="5"/>
  <c r="R923" i="5"/>
  <c r="R924" i="5"/>
  <c r="R925" i="5"/>
  <c r="R926" i="5"/>
  <c r="R927" i="5"/>
  <c r="R928" i="5"/>
  <c r="R929" i="5"/>
  <c r="R930" i="5"/>
  <c r="R931" i="5"/>
  <c r="R932" i="5"/>
  <c r="R933" i="5"/>
  <c r="R934" i="5"/>
  <c r="R935" i="5"/>
  <c r="R936" i="5"/>
  <c r="R937" i="5"/>
  <c r="R938" i="5"/>
  <c r="R939" i="5"/>
  <c r="R940" i="5"/>
  <c r="R941" i="5"/>
  <c r="R942" i="5"/>
  <c r="R943" i="5"/>
  <c r="R944" i="5"/>
  <c r="R945" i="5"/>
  <c r="R946" i="5"/>
  <c r="R947" i="5"/>
  <c r="R948" i="5"/>
  <c r="R949" i="5"/>
  <c r="R950" i="5"/>
  <c r="R951" i="5"/>
  <c r="R952" i="5"/>
  <c r="R953" i="5"/>
  <c r="R954" i="5"/>
  <c r="R955" i="5"/>
  <c r="R956" i="5"/>
  <c r="R957" i="5"/>
  <c r="R958" i="5"/>
  <c r="R959" i="5"/>
  <c r="R960" i="5"/>
  <c r="R961" i="5"/>
  <c r="R962" i="5"/>
  <c r="R963" i="5"/>
  <c r="R964" i="5"/>
  <c r="R965" i="5"/>
  <c r="R966" i="5"/>
  <c r="R967" i="5"/>
  <c r="R968" i="5"/>
  <c r="R969" i="5"/>
  <c r="R970" i="5"/>
  <c r="R971" i="5"/>
  <c r="R972" i="5"/>
  <c r="R973" i="5"/>
  <c r="R974" i="5"/>
  <c r="R975" i="5"/>
  <c r="R976" i="5"/>
  <c r="R977" i="5"/>
  <c r="R978" i="5"/>
  <c r="R979" i="5"/>
  <c r="R980" i="5"/>
  <c r="R981" i="5"/>
  <c r="R982" i="5"/>
  <c r="R983" i="5"/>
  <c r="R984" i="5"/>
  <c r="R985" i="5"/>
  <c r="R986" i="5"/>
  <c r="R987" i="5"/>
  <c r="R988" i="5"/>
  <c r="R989" i="5"/>
  <c r="R990" i="5"/>
  <c r="R991" i="5"/>
  <c r="R992" i="5"/>
  <c r="R993" i="5"/>
  <c r="R994" i="5"/>
  <c r="R995" i="5"/>
  <c r="R996" i="5"/>
  <c r="R997" i="5"/>
  <c r="R998" i="5"/>
  <c r="R999" i="5"/>
  <c r="R1000" i="5"/>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D102" i="1"/>
  <c r="AD103" i="1"/>
  <c r="AD104" i="1"/>
  <c r="AD105" i="1"/>
  <c r="AD106" i="1"/>
  <c r="AD107" i="1"/>
  <c r="AD108" i="1"/>
  <c r="AD109" i="1"/>
  <c r="AD110" i="1"/>
  <c r="AD111" i="1"/>
  <c r="AD112" i="1"/>
  <c r="AD113" i="1"/>
  <c r="AD114" i="1"/>
  <c r="AD115" i="1"/>
  <c r="AD116" i="1"/>
  <c r="AD117" i="1"/>
  <c r="AD118" i="1"/>
  <c r="AD119" i="1"/>
  <c r="AD120" i="1"/>
  <c r="AD121" i="1"/>
  <c r="AD122" i="1"/>
  <c r="AD123" i="1"/>
  <c r="AD124" i="1"/>
  <c r="AD125" i="1"/>
  <c r="AD126" i="1"/>
  <c r="AD127" i="1"/>
  <c r="AD128" i="1"/>
  <c r="AD129" i="1"/>
  <c r="AD130" i="1"/>
  <c r="AD131" i="1"/>
  <c r="AD132" i="1"/>
  <c r="AD133" i="1"/>
  <c r="AD134" i="1"/>
  <c r="AD135" i="1"/>
  <c r="AD136" i="1"/>
  <c r="AD137" i="1"/>
  <c r="AD138" i="1"/>
  <c r="AD139" i="1"/>
  <c r="AD140" i="1"/>
  <c r="AD141" i="1"/>
  <c r="AD142" i="1"/>
  <c r="AD143" i="1"/>
  <c r="AD144" i="1"/>
  <c r="AD145" i="1"/>
  <c r="AD146" i="1"/>
  <c r="AD147" i="1"/>
  <c r="AD148" i="1"/>
  <c r="AD149" i="1"/>
  <c r="AD150" i="1"/>
  <c r="AD151" i="1"/>
  <c r="AD152" i="1"/>
  <c r="AD153" i="1"/>
  <c r="AD154"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79" i="1"/>
  <c r="AD180" i="1"/>
  <c r="AD181" i="1"/>
  <c r="AD182" i="1"/>
  <c r="AD183" i="1"/>
  <c r="AD184" i="1"/>
  <c r="AD185" i="1"/>
  <c r="AD186" i="1"/>
  <c r="AD187" i="1"/>
  <c r="AD188" i="1"/>
  <c r="AD189" i="1"/>
  <c r="AD190" i="1"/>
  <c r="AD191" i="1"/>
  <c r="AD192" i="1"/>
  <c r="AD193" i="1"/>
  <c r="AD194" i="1"/>
  <c r="AD195" i="1"/>
  <c r="AD196" i="1"/>
  <c r="AD197" i="1"/>
  <c r="AD198" i="1"/>
  <c r="AD199" i="1"/>
  <c r="AD200" i="1"/>
  <c r="AD201" i="1"/>
  <c r="AD202" i="1"/>
  <c r="AD203" i="1"/>
  <c r="AD204" i="1"/>
  <c r="AD205" i="1"/>
  <c r="AD206" i="1"/>
  <c r="AD207" i="1"/>
  <c r="AD208" i="1"/>
  <c r="AD209" i="1"/>
  <c r="AD210" i="1"/>
  <c r="AD211" i="1"/>
  <c r="AD212" i="1"/>
  <c r="AD213" i="1"/>
  <c r="AD214" i="1"/>
  <c r="AD215" i="1"/>
  <c r="AD216" i="1"/>
  <c r="AD217" i="1"/>
  <c r="AD218" i="1"/>
  <c r="AD219" i="1"/>
  <c r="AD220" i="1"/>
  <c r="AD221" i="1"/>
  <c r="AD222" i="1"/>
  <c r="AD223" i="1"/>
  <c r="AD224" i="1"/>
  <c r="AD225" i="1"/>
  <c r="AD226" i="1"/>
  <c r="AD227" i="1"/>
  <c r="AD228" i="1"/>
  <c r="AD229" i="1"/>
  <c r="AD230" i="1"/>
  <c r="AD231" i="1"/>
  <c r="AD232" i="1"/>
  <c r="AD233" i="1"/>
  <c r="AD234" i="1"/>
  <c r="AD235" i="1"/>
  <c r="AD236" i="1"/>
  <c r="AD237" i="1"/>
  <c r="AD238" i="1"/>
  <c r="AD239" i="1"/>
  <c r="AD240" i="1"/>
  <c r="AD241" i="1"/>
  <c r="AD242" i="1"/>
  <c r="AD243" i="1"/>
  <c r="AD244" i="1"/>
  <c r="AD245" i="1"/>
  <c r="AD246" i="1"/>
  <c r="AD247" i="1"/>
  <c r="AD248" i="1"/>
  <c r="AD249" i="1"/>
  <c r="AD250" i="1"/>
  <c r="AD251"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5"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301" i="1"/>
  <c r="AD302" i="1"/>
  <c r="AD303" i="1"/>
  <c r="AD304" i="1"/>
  <c r="AD305" i="1"/>
  <c r="AD306" i="1"/>
  <c r="AD307" i="1"/>
  <c r="AD308" i="1"/>
  <c r="AD309" i="1"/>
  <c r="AD310" i="1"/>
  <c r="AD311" i="1"/>
  <c r="AD312" i="1"/>
  <c r="AD313" i="1"/>
  <c r="AD314" i="1"/>
  <c r="AD315" i="1"/>
  <c r="AD316" i="1"/>
  <c r="AD317" i="1"/>
  <c r="AD318" i="1"/>
  <c r="AD319" i="1"/>
  <c r="AD320" i="1"/>
  <c r="AD321" i="1"/>
  <c r="AD322" i="1"/>
  <c r="AD323" i="1"/>
  <c r="AD324" i="1"/>
  <c r="AD325" i="1"/>
  <c r="AD326" i="1"/>
  <c r="AD327" i="1"/>
  <c r="AD328" i="1"/>
  <c r="AD329" i="1"/>
  <c r="AD330" i="1"/>
  <c r="AD331" i="1"/>
  <c r="AD332" i="1"/>
  <c r="AD333" i="1"/>
  <c r="AD334" i="1"/>
  <c r="AD335" i="1"/>
  <c r="AD336" i="1"/>
  <c r="AD337" i="1"/>
  <c r="AD338" i="1"/>
  <c r="AD339" i="1"/>
  <c r="AD340" i="1"/>
  <c r="AD341" i="1"/>
  <c r="AD342" i="1"/>
  <c r="AD343" i="1"/>
  <c r="AD344" i="1"/>
  <c r="AD345" i="1"/>
  <c r="AD346" i="1"/>
  <c r="AD347" i="1"/>
  <c r="AD348" i="1"/>
  <c r="AD349" i="1"/>
  <c r="AD350" i="1"/>
  <c r="AD351"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5" i="1"/>
  <c r="AD376" i="1"/>
  <c r="AD377" i="1"/>
  <c r="AD378" i="1"/>
  <c r="AD379" i="1"/>
  <c r="AD380" i="1"/>
  <c r="AD381" i="1"/>
  <c r="AD382" i="1"/>
  <c r="AD383" i="1"/>
  <c r="AD384" i="1"/>
  <c r="AD385" i="1"/>
  <c r="AD386" i="1"/>
  <c r="AD387" i="1"/>
  <c r="AD388" i="1"/>
  <c r="AD389" i="1"/>
  <c r="AD390" i="1"/>
  <c r="AD391" i="1"/>
  <c r="AD392" i="1"/>
  <c r="AD393" i="1"/>
  <c r="AD394" i="1"/>
  <c r="AD395" i="1"/>
  <c r="AD396" i="1"/>
  <c r="AD397" i="1"/>
  <c r="AD398" i="1"/>
  <c r="AD399" i="1"/>
  <c r="AD400" i="1"/>
  <c r="AD401" i="1"/>
  <c r="AD402" i="1"/>
  <c r="AD403" i="1"/>
  <c r="AD404" i="1"/>
  <c r="AD405" i="1"/>
  <c r="AD406" i="1"/>
  <c r="AD407" i="1"/>
  <c r="AD408" i="1"/>
  <c r="AD409" i="1"/>
  <c r="AD410" i="1"/>
  <c r="AD411" i="1"/>
  <c r="AD412" i="1"/>
  <c r="AD413" i="1"/>
  <c r="AD414" i="1"/>
  <c r="AD415" i="1"/>
  <c r="AD416" i="1"/>
  <c r="AD417" i="1"/>
  <c r="AD418" i="1"/>
  <c r="AD419" i="1"/>
  <c r="AD420" i="1"/>
  <c r="AD421" i="1"/>
  <c r="AD422" i="1"/>
  <c r="AD423" i="1"/>
  <c r="AD424" i="1"/>
  <c r="AD425" i="1"/>
  <c r="AD426" i="1"/>
  <c r="AD427" i="1"/>
  <c r="AD428" i="1"/>
  <c r="AD429" i="1"/>
  <c r="AD430" i="1"/>
  <c r="AD431" i="1"/>
  <c r="AD432" i="1"/>
  <c r="AD433" i="1"/>
  <c r="AD434" i="1"/>
  <c r="AD435" i="1"/>
  <c r="AD436" i="1"/>
  <c r="AD437" i="1"/>
  <c r="AD438" i="1"/>
  <c r="AD439" i="1"/>
  <c r="AD440" i="1"/>
  <c r="AD441" i="1"/>
  <c r="AD442" i="1"/>
  <c r="AD443" i="1"/>
  <c r="AD444" i="1"/>
  <c r="AD445" i="1"/>
  <c r="AD446" i="1"/>
  <c r="AD447" i="1"/>
  <c r="AD448" i="1"/>
  <c r="AD449" i="1"/>
  <c r="AD450" i="1"/>
  <c r="AD451" i="1"/>
  <c r="AD452" i="1"/>
  <c r="AD453" i="1"/>
  <c r="AD454" i="1"/>
  <c r="AD455" i="1"/>
  <c r="AD456" i="1"/>
  <c r="AD457" i="1"/>
  <c r="AD458" i="1"/>
  <c r="AD459" i="1"/>
  <c r="AD460" i="1"/>
  <c r="AD461" i="1"/>
  <c r="AD462" i="1"/>
  <c r="AD463" i="1"/>
  <c r="AD464" i="1"/>
  <c r="AD465" i="1"/>
  <c r="AD466" i="1"/>
  <c r="AD467" i="1"/>
  <c r="AD468" i="1"/>
  <c r="AD469" i="1"/>
  <c r="AD470" i="1"/>
  <c r="AD471" i="1"/>
  <c r="AD472" i="1"/>
  <c r="AD473" i="1"/>
  <c r="AD474" i="1"/>
  <c r="AD475" i="1"/>
  <c r="AD476" i="1"/>
  <c r="AD477" i="1"/>
  <c r="AD478" i="1"/>
  <c r="AD479" i="1"/>
  <c r="AD480" i="1"/>
  <c r="AD481" i="1"/>
  <c r="AD482" i="1"/>
  <c r="AD483" i="1"/>
  <c r="AD484" i="1"/>
  <c r="AD485" i="1"/>
  <c r="AD486" i="1"/>
  <c r="AD487" i="1"/>
  <c r="AD488" i="1"/>
  <c r="AD489" i="1"/>
  <c r="AD490" i="1"/>
  <c r="AD491" i="1"/>
  <c r="AD492" i="1"/>
  <c r="AD493" i="1"/>
  <c r="AD494" i="1"/>
  <c r="AD495" i="1"/>
  <c r="AD496" i="1"/>
  <c r="AD497" i="1"/>
  <c r="AD498" i="1"/>
  <c r="AD499" i="1"/>
  <c r="AD500" i="1"/>
  <c r="AD501" i="1"/>
  <c r="AD502" i="1"/>
  <c r="AD503" i="1"/>
  <c r="AD504" i="1"/>
  <c r="AD505" i="1"/>
  <c r="AD506" i="1"/>
  <c r="AD507" i="1"/>
  <c r="AD508" i="1"/>
  <c r="AD509" i="1"/>
  <c r="AD510" i="1"/>
  <c r="AD511" i="1"/>
  <c r="AD512" i="1"/>
  <c r="AD513" i="1"/>
  <c r="AD514" i="1"/>
  <c r="AD515" i="1"/>
  <c r="AD516" i="1"/>
  <c r="AD517" i="1"/>
  <c r="AD518" i="1"/>
  <c r="AD519" i="1"/>
  <c r="AD520" i="1"/>
  <c r="AD521" i="1"/>
  <c r="AD522" i="1"/>
  <c r="AD523" i="1"/>
  <c r="AD524" i="1"/>
  <c r="AD525" i="1"/>
  <c r="AD526" i="1"/>
  <c r="AD527" i="1"/>
  <c r="AD528" i="1"/>
  <c r="AD529" i="1"/>
  <c r="AD530" i="1"/>
  <c r="AD531" i="1"/>
  <c r="AD532" i="1"/>
  <c r="AD533" i="1"/>
  <c r="AD534" i="1"/>
  <c r="AD535" i="1"/>
  <c r="AD536" i="1"/>
  <c r="AD537" i="1"/>
  <c r="AD538" i="1"/>
  <c r="AD539" i="1"/>
  <c r="AD540" i="1"/>
  <c r="AD541" i="1"/>
  <c r="AD542" i="1"/>
  <c r="AD543" i="1"/>
  <c r="AD544" i="1"/>
  <c r="AD545" i="1"/>
  <c r="AD546" i="1"/>
  <c r="AD547" i="1"/>
  <c r="AD548" i="1"/>
  <c r="AD549" i="1"/>
  <c r="AD550" i="1"/>
  <c r="AD551" i="1"/>
  <c r="AD552" i="1"/>
  <c r="AD553" i="1"/>
  <c r="AD554" i="1"/>
  <c r="AD555" i="1"/>
  <c r="AD556" i="1"/>
  <c r="AD557" i="1"/>
  <c r="AD558" i="1"/>
  <c r="AD559" i="1"/>
  <c r="AD560" i="1"/>
  <c r="AD561" i="1"/>
  <c r="AD562" i="1"/>
  <c r="AD563" i="1"/>
  <c r="AD564" i="1"/>
  <c r="AD565" i="1"/>
  <c r="AD566" i="1"/>
  <c r="AD567" i="1"/>
  <c r="AD568" i="1"/>
  <c r="AD569" i="1"/>
  <c r="AD570" i="1"/>
  <c r="AD571" i="1"/>
  <c r="AD572" i="1"/>
  <c r="AD573" i="1"/>
  <c r="AD574" i="1"/>
  <c r="AD575" i="1"/>
  <c r="AD576" i="1"/>
  <c r="AD577" i="1"/>
  <c r="AD578" i="1"/>
  <c r="AD579" i="1"/>
  <c r="AD580" i="1"/>
  <c r="AD581" i="1"/>
  <c r="AD582" i="1"/>
  <c r="AD583" i="1"/>
  <c r="AD584" i="1"/>
  <c r="AD585" i="1"/>
  <c r="AD586" i="1"/>
  <c r="AD587" i="1"/>
  <c r="AD588" i="1"/>
  <c r="AD589" i="1"/>
  <c r="AD590" i="1"/>
  <c r="AD591" i="1"/>
  <c r="AD592" i="1"/>
  <c r="AD593" i="1"/>
  <c r="AD594" i="1"/>
  <c r="AD595" i="1"/>
  <c r="AD596" i="1"/>
  <c r="AD597" i="1"/>
  <c r="AD598" i="1"/>
  <c r="AD599" i="1"/>
  <c r="AD600" i="1"/>
  <c r="AD601" i="1"/>
  <c r="AD602" i="1"/>
  <c r="AD603" i="1"/>
  <c r="AD604" i="1"/>
  <c r="AD605" i="1"/>
  <c r="AD606" i="1"/>
  <c r="AD607" i="1"/>
  <c r="AD608" i="1"/>
  <c r="AD609" i="1"/>
  <c r="AD610" i="1"/>
  <c r="AD611" i="1"/>
  <c r="AD612" i="1"/>
  <c r="AD613" i="1"/>
  <c r="AD614" i="1"/>
  <c r="AD615" i="1"/>
  <c r="AD616" i="1"/>
  <c r="AD617" i="1"/>
  <c r="AD618" i="1"/>
  <c r="AD619" i="1"/>
  <c r="AD620" i="1"/>
  <c r="AD621" i="1"/>
  <c r="AD622" i="1"/>
  <c r="AD623" i="1"/>
  <c r="AD624" i="1"/>
  <c r="AD625" i="1"/>
  <c r="AD626" i="1"/>
  <c r="AD627" i="1"/>
  <c r="AD628" i="1"/>
  <c r="AD629" i="1"/>
  <c r="AD630" i="1"/>
  <c r="AD631" i="1"/>
  <c r="AD632" i="1"/>
  <c r="AD633" i="1"/>
  <c r="AD634" i="1"/>
  <c r="AD635" i="1"/>
  <c r="AD636" i="1"/>
  <c r="AD637" i="1"/>
  <c r="AD638" i="1"/>
  <c r="AD639" i="1"/>
  <c r="AD640" i="1"/>
  <c r="AD641" i="1"/>
  <c r="AD642" i="1"/>
  <c r="AD643" i="1"/>
  <c r="AD644" i="1"/>
  <c r="AD645" i="1"/>
  <c r="AD646" i="1"/>
  <c r="AD647" i="1"/>
  <c r="AD648" i="1"/>
  <c r="AD649" i="1"/>
  <c r="AD650" i="1"/>
  <c r="AD651" i="1"/>
  <c r="AD652" i="1"/>
  <c r="AD653" i="1"/>
  <c r="AD654" i="1"/>
  <c r="AD655" i="1"/>
  <c r="AD656" i="1"/>
  <c r="AD657" i="1"/>
  <c r="AD658" i="1"/>
  <c r="AD659" i="1"/>
  <c r="AD660" i="1"/>
  <c r="AD661" i="1"/>
  <c r="AD662" i="1"/>
  <c r="AD663" i="1"/>
  <c r="AD664" i="1"/>
  <c r="AD665" i="1"/>
  <c r="AD666" i="1"/>
  <c r="AD667" i="1"/>
  <c r="AD668" i="1"/>
  <c r="AD669" i="1"/>
  <c r="AD670" i="1"/>
  <c r="AD671" i="1"/>
  <c r="AD672" i="1"/>
  <c r="AD673" i="1"/>
  <c r="AD674" i="1"/>
  <c r="AD675" i="1"/>
  <c r="AD676" i="1"/>
  <c r="AD677" i="1"/>
  <c r="AD678" i="1"/>
  <c r="AD679" i="1"/>
  <c r="AD680" i="1"/>
  <c r="AD681" i="1"/>
  <c r="AD682" i="1"/>
  <c r="AD683" i="1"/>
  <c r="AD684" i="1"/>
  <c r="AD685" i="1"/>
  <c r="AD686" i="1"/>
  <c r="AD687" i="1"/>
  <c r="AD688" i="1"/>
  <c r="AD689" i="1"/>
  <c r="AD690" i="1"/>
  <c r="AD691" i="1"/>
  <c r="AD692" i="1"/>
  <c r="AD693" i="1"/>
  <c r="AD694" i="1"/>
  <c r="AD695" i="1"/>
  <c r="AD696" i="1"/>
  <c r="AD697" i="1"/>
  <c r="AD698" i="1"/>
  <c r="AD699" i="1"/>
  <c r="AD700" i="1"/>
  <c r="AD701" i="1"/>
  <c r="AD702" i="1"/>
  <c r="AD703" i="1"/>
  <c r="AD704" i="1"/>
  <c r="AD705" i="1"/>
  <c r="AD706" i="1"/>
  <c r="AD707" i="1"/>
  <c r="AD708" i="1"/>
  <c r="AD709" i="1"/>
  <c r="AD710" i="1"/>
  <c r="AD711" i="1"/>
  <c r="AD712" i="1"/>
  <c r="AD713" i="1"/>
  <c r="AD714" i="1"/>
  <c r="AD715" i="1"/>
  <c r="AD716" i="1"/>
  <c r="AD717" i="1"/>
  <c r="AD718" i="1"/>
  <c r="AD719" i="1"/>
  <c r="AD720" i="1"/>
  <c r="AD721" i="1"/>
  <c r="AD722" i="1"/>
  <c r="AD723" i="1"/>
  <c r="AD724" i="1"/>
  <c r="AD725" i="1"/>
  <c r="AD726" i="1"/>
  <c r="AD727" i="1"/>
  <c r="AD728" i="1"/>
  <c r="AD729" i="1"/>
  <c r="AD730" i="1"/>
  <c r="AD731" i="1"/>
  <c r="AD732" i="1"/>
  <c r="AD733" i="1"/>
  <c r="AD734" i="1"/>
  <c r="AD735" i="1"/>
  <c r="AD736" i="1"/>
  <c r="AD737" i="1"/>
  <c r="AD738" i="1"/>
  <c r="AD739" i="1"/>
  <c r="AD740" i="1"/>
  <c r="AD741" i="1"/>
  <c r="AD742" i="1"/>
  <c r="AD743" i="1"/>
  <c r="AD744" i="1"/>
  <c r="AD745" i="1"/>
  <c r="AD746" i="1"/>
  <c r="AD747" i="1"/>
  <c r="AD748" i="1"/>
  <c r="AD749" i="1"/>
  <c r="AD750" i="1"/>
  <c r="AD751" i="1"/>
  <c r="AD752" i="1"/>
  <c r="AD753" i="1"/>
  <c r="AD754" i="1"/>
  <c r="AD755" i="1"/>
  <c r="AD756" i="1"/>
  <c r="AD757" i="1"/>
  <c r="AD758" i="1"/>
  <c r="AD759" i="1"/>
  <c r="AD760" i="1"/>
  <c r="AD761" i="1"/>
  <c r="AD762" i="1"/>
  <c r="AD763" i="1"/>
  <c r="AD764" i="1"/>
  <c r="AD765" i="1"/>
  <c r="AD766" i="1"/>
  <c r="AD767" i="1"/>
  <c r="AD768" i="1"/>
  <c r="AD769" i="1"/>
  <c r="AD770" i="1"/>
  <c r="AD771" i="1"/>
  <c r="AD772" i="1"/>
  <c r="AD773" i="1"/>
  <c r="AD774" i="1"/>
  <c r="AD775" i="1"/>
  <c r="AD776" i="1"/>
  <c r="AD777" i="1"/>
  <c r="AD778" i="1"/>
  <c r="AD779" i="1"/>
  <c r="AD780" i="1"/>
  <c r="AD781" i="1"/>
  <c r="AD782" i="1"/>
  <c r="AD783" i="1"/>
  <c r="AD784" i="1"/>
  <c r="AD785" i="1"/>
  <c r="AD786" i="1"/>
  <c r="AD787" i="1"/>
  <c r="AD788" i="1"/>
  <c r="AD789" i="1"/>
  <c r="AD790" i="1"/>
  <c r="AD791" i="1"/>
  <c r="AD792" i="1"/>
  <c r="AD793" i="1"/>
  <c r="AD794" i="1"/>
  <c r="AD795" i="1"/>
  <c r="AD796" i="1"/>
  <c r="AD797" i="1"/>
  <c r="AD798" i="1"/>
  <c r="AD799" i="1"/>
  <c r="AD800" i="1"/>
  <c r="AD801" i="1"/>
  <c r="AD802" i="1"/>
  <c r="AD803" i="1"/>
  <c r="AD804" i="1"/>
  <c r="AD805" i="1"/>
  <c r="AD806" i="1"/>
  <c r="AD807" i="1"/>
  <c r="AD808" i="1"/>
  <c r="AD809" i="1"/>
  <c r="AD810" i="1"/>
  <c r="AD811" i="1"/>
  <c r="AD812" i="1"/>
  <c r="AD813" i="1"/>
  <c r="AD814" i="1"/>
  <c r="AD815" i="1"/>
  <c r="AD816" i="1"/>
  <c r="AD817" i="1"/>
  <c r="AD818" i="1"/>
  <c r="AD819" i="1"/>
  <c r="AD820" i="1"/>
  <c r="AD821" i="1"/>
  <c r="AD822" i="1"/>
  <c r="AD823" i="1"/>
  <c r="AD824" i="1"/>
  <c r="AD825" i="1"/>
  <c r="AD826" i="1"/>
  <c r="AD827" i="1"/>
  <c r="AD828" i="1"/>
  <c r="AD829" i="1"/>
  <c r="AD830" i="1"/>
  <c r="AD831" i="1"/>
  <c r="AD832" i="1"/>
  <c r="AD833" i="1"/>
  <c r="AD834" i="1"/>
  <c r="AD835" i="1"/>
  <c r="AD836" i="1"/>
  <c r="AD837" i="1"/>
  <c r="AD838" i="1"/>
  <c r="AD839" i="1"/>
  <c r="AD840" i="1"/>
  <c r="AD841" i="1"/>
  <c r="AD842" i="1"/>
  <c r="AD843" i="1"/>
  <c r="AD844" i="1"/>
  <c r="AD845" i="1"/>
  <c r="AD846" i="1"/>
  <c r="AD847" i="1"/>
  <c r="AD848" i="1"/>
  <c r="AD849" i="1"/>
  <c r="AD850" i="1"/>
  <c r="AD851" i="1"/>
  <c r="AD852" i="1"/>
  <c r="AD853" i="1"/>
  <c r="AD854" i="1"/>
  <c r="AD855" i="1"/>
  <c r="AD856" i="1"/>
  <c r="AD857" i="1"/>
  <c r="AD858" i="1"/>
  <c r="AD859" i="1"/>
  <c r="AD860" i="1"/>
  <c r="AD861" i="1"/>
  <c r="AD862" i="1"/>
  <c r="AD863" i="1"/>
  <c r="AD864" i="1"/>
  <c r="AD865" i="1"/>
  <c r="AD866" i="1"/>
  <c r="AD867" i="1"/>
  <c r="AD868" i="1"/>
  <c r="AD869" i="1"/>
  <c r="AD870" i="1"/>
  <c r="AD871" i="1"/>
  <c r="AD872" i="1"/>
  <c r="AD873" i="1"/>
  <c r="AD874" i="1"/>
  <c r="AD875" i="1"/>
  <c r="AD876" i="1"/>
  <c r="AD877" i="1"/>
  <c r="AD878" i="1"/>
  <c r="AD879" i="1"/>
  <c r="AD880" i="1"/>
  <c r="AD881" i="1"/>
  <c r="AD882" i="1"/>
  <c r="AD883" i="1"/>
  <c r="AD884" i="1"/>
  <c r="AD885" i="1"/>
  <c r="AD886" i="1"/>
  <c r="AD887" i="1"/>
  <c r="AD888" i="1"/>
  <c r="AD889" i="1"/>
  <c r="AD890" i="1"/>
  <c r="AD891" i="1"/>
  <c r="AD892" i="1"/>
  <c r="AD893" i="1"/>
  <c r="AD894" i="1"/>
  <c r="AD895" i="1"/>
  <c r="AD896" i="1"/>
  <c r="AD897" i="1"/>
  <c r="AD898" i="1"/>
  <c r="AD899" i="1"/>
  <c r="AD900" i="1"/>
  <c r="AD901" i="1"/>
  <c r="AD902" i="1"/>
  <c r="AD903" i="1"/>
  <c r="AD904" i="1"/>
  <c r="AD905" i="1"/>
  <c r="AD906" i="1"/>
  <c r="AD907" i="1"/>
  <c r="AD908" i="1"/>
  <c r="AD909" i="1"/>
  <c r="AD910" i="1"/>
  <c r="AD911" i="1"/>
  <c r="AD912" i="1"/>
  <c r="AD913" i="1"/>
  <c r="AD914" i="1"/>
  <c r="AD915" i="1"/>
  <c r="AD916" i="1"/>
  <c r="AD917" i="1"/>
  <c r="AD918" i="1"/>
  <c r="AD919" i="1"/>
  <c r="AD920" i="1"/>
  <c r="AD921" i="1"/>
  <c r="AD922" i="1"/>
  <c r="AD923" i="1"/>
  <c r="AD924" i="1"/>
  <c r="AD925" i="1"/>
  <c r="AD926" i="1"/>
  <c r="AD927" i="1"/>
  <c r="AD928" i="1"/>
  <c r="AD929" i="1"/>
  <c r="AD930" i="1"/>
  <c r="AD931" i="1"/>
  <c r="AD932" i="1"/>
  <c r="AD933" i="1"/>
  <c r="AD934" i="1"/>
  <c r="AD935" i="1"/>
  <c r="AD936" i="1"/>
  <c r="AD937" i="1"/>
  <c r="AD938" i="1"/>
  <c r="AD939" i="1"/>
  <c r="AD940" i="1"/>
  <c r="AD941" i="1"/>
  <c r="AD942" i="1"/>
  <c r="AD943" i="1"/>
  <c r="AD944" i="1"/>
  <c r="AD945" i="1"/>
  <c r="AD946" i="1"/>
  <c r="AD947" i="1"/>
  <c r="AD948" i="1"/>
  <c r="AD949" i="1"/>
  <c r="AD950" i="1"/>
  <c r="AD951" i="1"/>
  <c r="AD952" i="1"/>
  <c r="AD953" i="1"/>
  <c r="AD954" i="1"/>
  <c r="AD955" i="1"/>
  <c r="AD956" i="1"/>
  <c r="AD957" i="1"/>
  <c r="AD958" i="1"/>
  <c r="AD959" i="1"/>
  <c r="AD960" i="1"/>
  <c r="AD961" i="1"/>
  <c r="AD962" i="1"/>
  <c r="AD963" i="1"/>
  <c r="AD964" i="1"/>
  <c r="AD965" i="1"/>
  <c r="AD966" i="1"/>
  <c r="AD967" i="1"/>
  <c r="AD968" i="1"/>
  <c r="AD969" i="1"/>
  <c r="AD970" i="1"/>
  <c r="AD971" i="1"/>
  <c r="AD972" i="1"/>
  <c r="AD973" i="1"/>
  <c r="AD974" i="1"/>
  <c r="AD975" i="1"/>
  <c r="AD976" i="1"/>
  <c r="AD977" i="1"/>
  <c r="AD978" i="1"/>
  <c r="AD979" i="1"/>
  <c r="AD980" i="1"/>
  <c r="AD981" i="1"/>
  <c r="AD982" i="1"/>
  <c r="AD983" i="1"/>
  <c r="AD984" i="1"/>
  <c r="AD985" i="1"/>
  <c r="AD986" i="1"/>
  <c r="AD987" i="1"/>
  <c r="AD988" i="1"/>
  <c r="AD989" i="1"/>
  <c r="AD990" i="1"/>
  <c r="AD991" i="1"/>
  <c r="AD992" i="1"/>
  <c r="AD993" i="1"/>
  <c r="AD994" i="1"/>
  <c r="AD995" i="1"/>
  <c r="AD996" i="1"/>
  <c r="AD997" i="1"/>
  <c r="AD998" i="1"/>
  <c r="AD999" i="1"/>
  <c r="AD100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2" i="1"/>
  <c r="AE183" i="1"/>
  <c r="AE184" i="1"/>
  <c r="AE185" i="1"/>
  <c r="AE186" i="1"/>
  <c r="AE187" i="1"/>
  <c r="AE188" i="1"/>
  <c r="AE189" i="1"/>
  <c r="AE190" i="1"/>
  <c r="AE191" i="1"/>
  <c r="AE192" i="1"/>
  <c r="AE193" i="1"/>
  <c r="AE194" i="1"/>
  <c r="AE195" i="1"/>
  <c r="AE196" i="1"/>
  <c r="AE197" i="1"/>
  <c r="AE198" i="1"/>
  <c r="AE199" i="1"/>
  <c r="AE200" i="1"/>
  <c r="AE201" i="1"/>
  <c r="AE202" i="1"/>
  <c r="AE203" i="1"/>
  <c r="AE204" i="1"/>
  <c r="AE205" i="1"/>
  <c r="AE206" i="1"/>
  <c r="AE207" i="1"/>
  <c r="AE208" i="1"/>
  <c r="AE209" i="1"/>
  <c r="AE210" i="1"/>
  <c r="AE211" i="1"/>
  <c r="AE212" i="1"/>
  <c r="AE213" i="1"/>
  <c r="AE214" i="1"/>
  <c r="AE215" i="1"/>
  <c r="AE216" i="1"/>
  <c r="AE217" i="1"/>
  <c r="AE218" i="1"/>
  <c r="AE219" i="1"/>
  <c r="AE220" i="1"/>
  <c r="AE221" i="1"/>
  <c r="AE222" i="1"/>
  <c r="AE223" i="1"/>
  <c r="AE224" i="1"/>
  <c r="AE225" i="1"/>
  <c r="AE226" i="1"/>
  <c r="AE227" i="1"/>
  <c r="AE228" i="1"/>
  <c r="AE229" i="1"/>
  <c r="AE230" i="1"/>
  <c r="AE231" i="1"/>
  <c r="AE232" i="1"/>
  <c r="AE233" i="1"/>
  <c r="AE234" i="1"/>
  <c r="AE235" i="1"/>
  <c r="AE236" i="1"/>
  <c r="AE237" i="1"/>
  <c r="AE238" i="1"/>
  <c r="AE239" i="1"/>
  <c r="AE240" i="1"/>
  <c r="AE241" i="1"/>
  <c r="AE242" i="1"/>
  <c r="AE243" i="1"/>
  <c r="AE244" i="1"/>
  <c r="AE245" i="1"/>
  <c r="AE246" i="1"/>
  <c r="AE247" i="1"/>
  <c r="AE248" i="1"/>
  <c r="AE249" i="1"/>
  <c r="AE250" i="1"/>
  <c r="AE251" i="1"/>
  <c r="AE252" i="1"/>
  <c r="AE253" i="1"/>
  <c r="AE254" i="1"/>
  <c r="AE255" i="1"/>
  <c r="AE256" i="1"/>
  <c r="AE257" i="1"/>
  <c r="AE258" i="1"/>
  <c r="AE259" i="1"/>
  <c r="AE260" i="1"/>
  <c r="AE261" i="1"/>
  <c r="AE262" i="1"/>
  <c r="AE263" i="1"/>
  <c r="AE264" i="1"/>
  <c r="AE265" i="1"/>
  <c r="AE266" i="1"/>
  <c r="AE267" i="1"/>
  <c r="AE268" i="1"/>
  <c r="AE269" i="1"/>
  <c r="AE270" i="1"/>
  <c r="AE271" i="1"/>
  <c r="AE272" i="1"/>
  <c r="AE273" i="1"/>
  <c r="AE274" i="1"/>
  <c r="AE275" i="1"/>
  <c r="AE276" i="1"/>
  <c r="AE277" i="1"/>
  <c r="AE278" i="1"/>
  <c r="AE279" i="1"/>
  <c r="AE280" i="1"/>
  <c r="AE281" i="1"/>
  <c r="AE282" i="1"/>
  <c r="AE283" i="1"/>
  <c r="AE284" i="1"/>
  <c r="AE285" i="1"/>
  <c r="AE286" i="1"/>
  <c r="AE287" i="1"/>
  <c r="AE288" i="1"/>
  <c r="AE289" i="1"/>
  <c r="AE290" i="1"/>
  <c r="AE291" i="1"/>
  <c r="AE292" i="1"/>
  <c r="AE293" i="1"/>
  <c r="AE294" i="1"/>
  <c r="AE295" i="1"/>
  <c r="AE296" i="1"/>
  <c r="AE297" i="1"/>
  <c r="AE298" i="1"/>
  <c r="AE299" i="1"/>
  <c r="AE300" i="1"/>
  <c r="AE301" i="1"/>
  <c r="AE302" i="1"/>
  <c r="AE303" i="1"/>
  <c r="AE304" i="1"/>
  <c r="AE305" i="1"/>
  <c r="AE306" i="1"/>
  <c r="AE307" i="1"/>
  <c r="AE308" i="1"/>
  <c r="AE309" i="1"/>
  <c r="AE310" i="1"/>
  <c r="AE311" i="1"/>
  <c r="AE312" i="1"/>
  <c r="AE313" i="1"/>
  <c r="AE314" i="1"/>
  <c r="AE315" i="1"/>
  <c r="AE316" i="1"/>
  <c r="AE317" i="1"/>
  <c r="AE318" i="1"/>
  <c r="AE319" i="1"/>
  <c r="AE320" i="1"/>
  <c r="AE321" i="1"/>
  <c r="AE322" i="1"/>
  <c r="AE323" i="1"/>
  <c r="AE324" i="1"/>
  <c r="AE325" i="1"/>
  <c r="AE326" i="1"/>
  <c r="AE327" i="1"/>
  <c r="AE328" i="1"/>
  <c r="AE329" i="1"/>
  <c r="AE330" i="1"/>
  <c r="AE331" i="1"/>
  <c r="AE332" i="1"/>
  <c r="AE333" i="1"/>
  <c r="AE334" i="1"/>
  <c r="AE335" i="1"/>
  <c r="AE336" i="1"/>
  <c r="AE337" i="1"/>
  <c r="AE338" i="1"/>
  <c r="AE339" i="1"/>
  <c r="AE340" i="1"/>
  <c r="AE341" i="1"/>
  <c r="AE342" i="1"/>
  <c r="AE343" i="1"/>
  <c r="AE344" i="1"/>
  <c r="AE34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AE369" i="1"/>
  <c r="AE370" i="1"/>
  <c r="AE371" i="1"/>
  <c r="AE372" i="1"/>
  <c r="AE373" i="1"/>
  <c r="AE374" i="1"/>
  <c r="AE375" i="1"/>
  <c r="AE376" i="1"/>
  <c r="AE377" i="1"/>
  <c r="AE378" i="1"/>
  <c r="AE379" i="1"/>
  <c r="AE380" i="1"/>
  <c r="AE381" i="1"/>
  <c r="AE382" i="1"/>
  <c r="AE383" i="1"/>
  <c r="AE384" i="1"/>
  <c r="AE385" i="1"/>
  <c r="AE386" i="1"/>
  <c r="AE387" i="1"/>
  <c r="AE388" i="1"/>
  <c r="AE389" i="1"/>
  <c r="AE390" i="1"/>
  <c r="AE391" i="1"/>
  <c r="AE392" i="1"/>
  <c r="AE393" i="1"/>
  <c r="AE394" i="1"/>
  <c r="AE395" i="1"/>
  <c r="AE396" i="1"/>
  <c r="AE397" i="1"/>
  <c r="AE398" i="1"/>
  <c r="AE399" i="1"/>
  <c r="AE400" i="1"/>
  <c r="AE401" i="1"/>
  <c r="AE402" i="1"/>
  <c r="AE403" i="1"/>
  <c r="AE404" i="1"/>
  <c r="AE405" i="1"/>
  <c r="AE406" i="1"/>
  <c r="AE407" i="1"/>
  <c r="AE408" i="1"/>
  <c r="AE409" i="1"/>
  <c r="AE410" i="1"/>
  <c r="AE411" i="1"/>
  <c r="AE412" i="1"/>
  <c r="AE413" i="1"/>
  <c r="AE414" i="1"/>
  <c r="AE415" i="1"/>
  <c r="AE416" i="1"/>
  <c r="AE417" i="1"/>
  <c r="AE418" i="1"/>
  <c r="AE419" i="1"/>
  <c r="AE420" i="1"/>
  <c r="AE421" i="1"/>
  <c r="AE422" i="1"/>
  <c r="AE423" i="1"/>
  <c r="AE424" i="1"/>
  <c r="AE425" i="1"/>
  <c r="AE426" i="1"/>
  <c r="AE427" i="1"/>
  <c r="AE428" i="1"/>
  <c r="AE429" i="1"/>
  <c r="AE430" i="1"/>
  <c r="AE431" i="1"/>
  <c r="AE432" i="1"/>
  <c r="AE433" i="1"/>
  <c r="AE434" i="1"/>
  <c r="AE435" i="1"/>
  <c r="AE436" i="1"/>
  <c r="AE437" i="1"/>
  <c r="AE438" i="1"/>
  <c r="AE439" i="1"/>
  <c r="AE440" i="1"/>
  <c r="AE441" i="1"/>
  <c r="AE442" i="1"/>
  <c r="AE443" i="1"/>
  <c r="AE444" i="1"/>
  <c r="AE445" i="1"/>
  <c r="AE446" i="1"/>
  <c r="AE447" i="1"/>
  <c r="AE448" i="1"/>
  <c r="AE449" i="1"/>
  <c r="AE450" i="1"/>
  <c r="AE451" i="1"/>
  <c r="AE452" i="1"/>
  <c r="AE453" i="1"/>
  <c r="AE454" i="1"/>
  <c r="AE455" i="1"/>
  <c r="AE456" i="1"/>
  <c r="AE457" i="1"/>
  <c r="AE458" i="1"/>
  <c r="AE459" i="1"/>
  <c r="AE460" i="1"/>
  <c r="AE461" i="1"/>
  <c r="AE462" i="1"/>
  <c r="AE463" i="1"/>
  <c r="AE464" i="1"/>
  <c r="AE465" i="1"/>
  <c r="AE466" i="1"/>
  <c r="AE467" i="1"/>
  <c r="AE468" i="1"/>
  <c r="AE469" i="1"/>
  <c r="AE470" i="1"/>
  <c r="AE471" i="1"/>
  <c r="AE472" i="1"/>
  <c r="AE473" i="1"/>
  <c r="AE474" i="1"/>
  <c r="AE475" i="1"/>
  <c r="AE476" i="1"/>
  <c r="AE477" i="1"/>
  <c r="AE478" i="1"/>
  <c r="AE479" i="1"/>
  <c r="AE480" i="1"/>
  <c r="AE481" i="1"/>
  <c r="AE482" i="1"/>
  <c r="AE483" i="1"/>
  <c r="AE484" i="1"/>
  <c r="AE485" i="1"/>
  <c r="AE486" i="1"/>
  <c r="AE487" i="1"/>
  <c r="AE488" i="1"/>
  <c r="AE489" i="1"/>
  <c r="AE490" i="1"/>
  <c r="AE491" i="1"/>
  <c r="AE492" i="1"/>
  <c r="AE493" i="1"/>
  <c r="AE494" i="1"/>
  <c r="AE495" i="1"/>
  <c r="AE496" i="1"/>
  <c r="AE497" i="1"/>
  <c r="AE498" i="1"/>
  <c r="AE499" i="1"/>
  <c r="AE500" i="1"/>
  <c r="AE501" i="1"/>
  <c r="AE502" i="1"/>
  <c r="AE503" i="1"/>
  <c r="AE504" i="1"/>
  <c r="AE505" i="1"/>
  <c r="AE506" i="1"/>
  <c r="AE507" i="1"/>
  <c r="AE508" i="1"/>
  <c r="AE509" i="1"/>
  <c r="AE510" i="1"/>
  <c r="AE511" i="1"/>
  <c r="AE512" i="1"/>
  <c r="AE513" i="1"/>
  <c r="AE514" i="1"/>
  <c r="AE515" i="1"/>
  <c r="AE516" i="1"/>
  <c r="AE517" i="1"/>
  <c r="AE518" i="1"/>
  <c r="AE519" i="1"/>
  <c r="AE520" i="1"/>
  <c r="AE521" i="1"/>
  <c r="AE522" i="1"/>
  <c r="AE523" i="1"/>
  <c r="AE524" i="1"/>
  <c r="AE525" i="1"/>
  <c r="AE526" i="1"/>
  <c r="AE527" i="1"/>
  <c r="AE528" i="1"/>
  <c r="AE529" i="1"/>
  <c r="AE530" i="1"/>
  <c r="AE531" i="1"/>
  <c r="AE532" i="1"/>
  <c r="AE533" i="1"/>
  <c r="AE534" i="1"/>
  <c r="AE535" i="1"/>
  <c r="AE536" i="1"/>
  <c r="AE537" i="1"/>
  <c r="AE538" i="1"/>
  <c r="AE539" i="1"/>
  <c r="AE540" i="1"/>
  <c r="AE541" i="1"/>
  <c r="AE542" i="1"/>
  <c r="AE543" i="1"/>
  <c r="AE544" i="1"/>
  <c r="AE545" i="1"/>
  <c r="AE546" i="1"/>
  <c r="AE547" i="1"/>
  <c r="AE548" i="1"/>
  <c r="AE549" i="1"/>
  <c r="AE550" i="1"/>
  <c r="AE551" i="1"/>
  <c r="AE552" i="1"/>
  <c r="AE553" i="1"/>
  <c r="AE554" i="1"/>
  <c r="AE555" i="1"/>
  <c r="AE556" i="1"/>
  <c r="AE557" i="1"/>
  <c r="AE558" i="1"/>
  <c r="AE559" i="1"/>
  <c r="AE560" i="1"/>
  <c r="AE561" i="1"/>
  <c r="AE562" i="1"/>
  <c r="AE563" i="1"/>
  <c r="AE564" i="1"/>
  <c r="AE565" i="1"/>
  <c r="AE566" i="1"/>
  <c r="AE567" i="1"/>
  <c r="AE568" i="1"/>
  <c r="AE569" i="1"/>
  <c r="AE570" i="1"/>
  <c r="AE571" i="1"/>
  <c r="AE572" i="1"/>
  <c r="AE573" i="1"/>
  <c r="AE574" i="1"/>
  <c r="AE575" i="1"/>
  <c r="AE576" i="1"/>
  <c r="AE577" i="1"/>
  <c r="AE578" i="1"/>
  <c r="AE579" i="1"/>
  <c r="AE580" i="1"/>
  <c r="AE581" i="1"/>
  <c r="AE582" i="1"/>
  <c r="AE583" i="1"/>
  <c r="AE584" i="1"/>
  <c r="AE585" i="1"/>
  <c r="AE586" i="1"/>
  <c r="AE587" i="1"/>
  <c r="AE588" i="1"/>
  <c r="AE589" i="1"/>
  <c r="AE590" i="1"/>
  <c r="AE591" i="1"/>
  <c r="AE592" i="1"/>
  <c r="AE593" i="1"/>
  <c r="AE594" i="1"/>
  <c r="AE595" i="1"/>
  <c r="AE596" i="1"/>
  <c r="AE597" i="1"/>
  <c r="AE598" i="1"/>
  <c r="AE599" i="1"/>
  <c r="AE600" i="1"/>
  <c r="AE601" i="1"/>
  <c r="AE602" i="1"/>
  <c r="AE603" i="1"/>
  <c r="AE604" i="1"/>
  <c r="AE605" i="1"/>
  <c r="AE606" i="1"/>
  <c r="AE607" i="1"/>
  <c r="AE608" i="1"/>
  <c r="AE609" i="1"/>
  <c r="AE610" i="1"/>
  <c r="AE611" i="1"/>
  <c r="AE612" i="1"/>
  <c r="AE613" i="1"/>
  <c r="AE614" i="1"/>
  <c r="AE615" i="1"/>
  <c r="AE616" i="1"/>
  <c r="AE617" i="1"/>
  <c r="AE618" i="1"/>
  <c r="AE619" i="1"/>
  <c r="AE620" i="1"/>
  <c r="AE621" i="1"/>
  <c r="AE622" i="1"/>
  <c r="AE623" i="1"/>
  <c r="AE624" i="1"/>
  <c r="AE625" i="1"/>
  <c r="AE626" i="1"/>
  <c r="AE627" i="1"/>
  <c r="AE628" i="1"/>
  <c r="AE629" i="1"/>
  <c r="AE630" i="1"/>
  <c r="AE631" i="1"/>
  <c r="AE632" i="1"/>
  <c r="AE633" i="1"/>
  <c r="AE634" i="1"/>
  <c r="AE635" i="1"/>
  <c r="AE636" i="1"/>
  <c r="AE637" i="1"/>
  <c r="AE638" i="1"/>
  <c r="AE639" i="1"/>
  <c r="AE640" i="1"/>
  <c r="AE641" i="1"/>
  <c r="AE642" i="1"/>
  <c r="AE643" i="1"/>
  <c r="AE644" i="1"/>
  <c r="AE645" i="1"/>
  <c r="AE646" i="1"/>
  <c r="AE647" i="1"/>
  <c r="AE648" i="1"/>
  <c r="AE649" i="1"/>
  <c r="AE650" i="1"/>
  <c r="AE651" i="1"/>
  <c r="AE652" i="1"/>
  <c r="AE653" i="1"/>
  <c r="AE654" i="1"/>
  <c r="AE655" i="1"/>
  <c r="AE656" i="1"/>
  <c r="AE657" i="1"/>
  <c r="AE658" i="1"/>
  <c r="AE659" i="1"/>
  <c r="AE660" i="1"/>
  <c r="AE661" i="1"/>
  <c r="AE662" i="1"/>
  <c r="AE663" i="1"/>
  <c r="AE664" i="1"/>
  <c r="AE665" i="1"/>
  <c r="AE666" i="1"/>
  <c r="AE667" i="1"/>
  <c r="AE668" i="1"/>
  <c r="AE669" i="1"/>
  <c r="AE670" i="1"/>
  <c r="AE671" i="1"/>
  <c r="AE672" i="1"/>
  <c r="AE673" i="1"/>
  <c r="AE674" i="1"/>
  <c r="AE675" i="1"/>
  <c r="AE676" i="1"/>
  <c r="AE677" i="1"/>
  <c r="AE678" i="1"/>
  <c r="AE679" i="1"/>
  <c r="AE680" i="1"/>
  <c r="AE681" i="1"/>
  <c r="AE682" i="1"/>
  <c r="AE683" i="1"/>
  <c r="AE684" i="1"/>
  <c r="AE685" i="1"/>
  <c r="AE686" i="1"/>
  <c r="AE687" i="1"/>
  <c r="AE688" i="1"/>
  <c r="AE689" i="1"/>
  <c r="AE690" i="1"/>
  <c r="AE691" i="1"/>
  <c r="AE692" i="1"/>
  <c r="AE693" i="1"/>
  <c r="AE694" i="1"/>
  <c r="AE695" i="1"/>
  <c r="AE696" i="1"/>
  <c r="AE697" i="1"/>
  <c r="AE698" i="1"/>
  <c r="AE699" i="1"/>
  <c r="AE700" i="1"/>
  <c r="AE701" i="1"/>
  <c r="AE702" i="1"/>
  <c r="AE703" i="1"/>
  <c r="AE704" i="1"/>
  <c r="AE705" i="1"/>
  <c r="AE706" i="1"/>
  <c r="AE707" i="1"/>
  <c r="AE708" i="1"/>
  <c r="AE709" i="1"/>
  <c r="AE710" i="1"/>
  <c r="AE711" i="1"/>
  <c r="AE712" i="1"/>
  <c r="AE713" i="1"/>
  <c r="AE714" i="1"/>
  <c r="AE715" i="1"/>
  <c r="AE716" i="1"/>
  <c r="AE717" i="1"/>
  <c r="AE718" i="1"/>
  <c r="AE719" i="1"/>
  <c r="AE720" i="1"/>
  <c r="AE721" i="1"/>
  <c r="AE722" i="1"/>
  <c r="AE723" i="1"/>
  <c r="AE724" i="1"/>
  <c r="AE725" i="1"/>
  <c r="AE726" i="1"/>
  <c r="AE727" i="1"/>
  <c r="AE728" i="1"/>
  <c r="AE729" i="1"/>
  <c r="AE730" i="1"/>
  <c r="AE731" i="1"/>
  <c r="AE732" i="1"/>
  <c r="AE733" i="1"/>
  <c r="AE734" i="1"/>
  <c r="AE735" i="1"/>
  <c r="AE736" i="1"/>
  <c r="AE737" i="1"/>
  <c r="AE738" i="1"/>
  <c r="AE739" i="1"/>
  <c r="AE740" i="1"/>
  <c r="AE741" i="1"/>
  <c r="AE742" i="1"/>
  <c r="AE743" i="1"/>
  <c r="AE744" i="1"/>
  <c r="AE745" i="1"/>
  <c r="AE746" i="1"/>
  <c r="AE747" i="1"/>
  <c r="AE748" i="1"/>
  <c r="AE749" i="1"/>
  <c r="AE750" i="1"/>
  <c r="AE751" i="1"/>
  <c r="AE752" i="1"/>
  <c r="AE753" i="1"/>
  <c r="AE754" i="1"/>
  <c r="AE755" i="1"/>
  <c r="AE756" i="1"/>
  <c r="AE757" i="1"/>
  <c r="AE758" i="1"/>
  <c r="AE759" i="1"/>
  <c r="AE760" i="1"/>
  <c r="AE761" i="1"/>
  <c r="AE762" i="1"/>
  <c r="AE763" i="1"/>
  <c r="AE764" i="1"/>
  <c r="AE765" i="1"/>
  <c r="AE766" i="1"/>
  <c r="AE767" i="1"/>
  <c r="AE768" i="1"/>
  <c r="AE769" i="1"/>
  <c r="AE770" i="1"/>
  <c r="AE771" i="1"/>
  <c r="AE772" i="1"/>
  <c r="AE773" i="1"/>
  <c r="AE774" i="1"/>
  <c r="AE775" i="1"/>
  <c r="AE776" i="1"/>
  <c r="AE777" i="1"/>
  <c r="AE778" i="1"/>
  <c r="AE779" i="1"/>
  <c r="AE780" i="1"/>
  <c r="AE781" i="1"/>
  <c r="AE782" i="1"/>
  <c r="AE783" i="1"/>
  <c r="AE784" i="1"/>
  <c r="AE785" i="1"/>
  <c r="AE786" i="1"/>
  <c r="AE787" i="1"/>
  <c r="AE788" i="1"/>
  <c r="AE789" i="1"/>
  <c r="AE790" i="1"/>
  <c r="AE791" i="1"/>
  <c r="AE792" i="1"/>
  <c r="AE793" i="1"/>
  <c r="AE794" i="1"/>
  <c r="AE795" i="1"/>
  <c r="AE796" i="1"/>
  <c r="AE797" i="1"/>
  <c r="AE798" i="1"/>
  <c r="AE799" i="1"/>
  <c r="AE800" i="1"/>
  <c r="AE801" i="1"/>
  <c r="AE802" i="1"/>
  <c r="AE803" i="1"/>
  <c r="AE804" i="1"/>
  <c r="AE805" i="1"/>
  <c r="AE806" i="1"/>
  <c r="AE807" i="1"/>
  <c r="AE808" i="1"/>
  <c r="AE809" i="1"/>
  <c r="AE810" i="1"/>
  <c r="AE811" i="1"/>
  <c r="AE812" i="1"/>
  <c r="AE813" i="1"/>
  <c r="AE814" i="1"/>
  <c r="AE815" i="1"/>
  <c r="AE816" i="1"/>
  <c r="AE817" i="1"/>
  <c r="AE818" i="1"/>
  <c r="AE819" i="1"/>
  <c r="AE820" i="1"/>
  <c r="AE821" i="1"/>
  <c r="AE822" i="1"/>
  <c r="AE823" i="1"/>
  <c r="AE824" i="1"/>
  <c r="AE825" i="1"/>
  <c r="AE826" i="1"/>
  <c r="AE827" i="1"/>
  <c r="AE828" i="1"/>
  <c r="AE829" i="1"/>
  <c r="AE830" i="1"/>
  <c r="AE831" i="1"/>
  <c r="AE832" i="1"/>
  <c r="AE833" i="1"/>
  <c r="AE834" i="1"/>
  <c r="AE835" i="1"/>
  <c r="AE836" i="1"/>
  <c r="AE837" i="1"/>
  <c r="AE838" i="1"/>
  <c r="AE839" i="1"/>
  <c r="AE840" i="1"/>
  <c r="AE841" i="1"/>
  <c r="AE842" i="1"/>
  <c r="AE843" i="1"/>
  <c r="AE844" i="1"/>
  <c r="AE845" i="1"/>
  <c r="AE846" i="1"/>
  <c r="AE847" i="1"/>
  <c r="AE848" i="1"/>
  <c r="AE849" i="1"/>
  <c r="AE850" i="1"/>
  <c r="AE851" i="1"/>
  <c r="AE852" i="1"/>
  <c r="AE853" i="1"/>
  <c r="AE854" i="1"/>
  <c r="AE855" i="1"/>
  <c r="AE856" i="1"/>
  <c r="AE857" i="1"/>
  <c r="AE858" i="1"/>
  <c r="AE859" i="1"/>
  <c r="AE860" i="1"/>
  <c r="AE861" i="1"/>
  <c r="AE862" i="1"/>
  <c r="AE863" i="1"/>
  <c r="AE864" i="1"/>
  <c r="AE865" i="1"/>
  <c r="AE866" i="1"/>
  <c r="AE867" i="1"/>
  <c r="AE868" i="1"/>
  <c r="AE869" i="1"/>
  <c r="AE870" i="1"/>
  <c r="AE871" i="1"/>
  <c r="AE872" i="1"/>
  <c r="AE873" i="1"/>
  <c r="AE874" i="1"/>
  <c r="AE875" i="1"/>
  <c r="AE876" i="1"/>
  <c r="AE877" i="1"/>
  <c r="AE878" i="1"/>
  <c r="AE879" i="1"/>
  <c r="AE880" i="1"/>
  <c r="AE881" i="1"/>
  <c r="AE882" i="1"/>
  <c r="AE883" i="1"/>
  <c r="AE884" i="1"/>
  <c r="AE885" i="1"/>
  <c r="AE886" i="1"/>
  <c r="AE887" i="1"/>
  <c r="AE888" i="1"/>
  <c r="AE889" i="1"/>
  <c r="AE890" i="1"/>
  <c r="AE891" i="1"/>
  <c r="AE892" i="1"/>
  <c r="AE893" i="1"/>
  <c r="AE894" i="1"/>
  <c r="AE895" i="1"/>
  <c r="AE896" i="1"/>
  <c r="AE897" i="1"/>
  <c r="AE898" i="1"/>
  <c r="AE899" i="1"/>
  <c r="AE900" i="1"/>
  <c r="AE901" i="1"/>
  <c r="AE902" i="1"/>
  <c r="AE903" i="1"/>
  <c r="AE904" i="1"/>
  <c r="AE905" i="1"/>
  <c r="AE906" i="1"/>
  <c r="AE907" i="1"/>
  <c r="AE908" i="1"/>
  <c r="AE909" i="1"/>
  <c r="AE910" i="1"/>
  <c r="AE911" i="1"/>
  <c r="AE912" i="1"/>
  <c r="AE913" i="1"/>
  <c r="AE914" i="1"/>
  <c r="AE915" i="1"/>
  <c r="AE916" i="1"/>
  <c r="AE917" i="1"/>
  <c r="AE918" i="1"/>
  <c r="AE919" i="1"/>
  <c r="AE920" i="1"/>
  <c r="AE921" i="1"/>
  <c r="AE922" i="1"/>
  <c r="AE923" i="1"/>
  <c r="AE924" i="1"/>
  <c r="AE925" i="1"/>
  <c r="AE926" i="1"/>
  <c r="AE927" i="1"/>
  <c r="AE928" i="1"/>
  <c r="AE929" i="1"/>
  <c r="AE930" i="1"/>
  <c r="AE931" i="1"/>
  <c r="AE932" i="1"/>
  <c r="AE933" i="1"/>
  <c r="AE934" i="1"/>
  <c r="AE935" i="1"/>
  <c r="AE936" i="1"/>
  <c r="AE937" i="1"/>
  <c r="AE938" i="1"/>
  <c r="AE939" i="1"/>
  <c r="AE940" i="1"/>
  <c r="AE941" i="1"/>
  <c r="AE942" i="1"/>
  <c r="AE943" i="1"/>
  <c r="AE944" i="1"/>
  <c r="AE945" i="1"/>
  <c r="AE946" i="1"/>
  <c r="AE947" i="1"/>
  <c r="AE948" i="1"/>
  <c r="AE949" i="1"/>
  <c r="AE950" i="1"/>
  <c r="AE951" i="1"/>
  <c r="AE952" i="1"/>
  <c r="AE953" i="1"/>
  <c r="AE954" i="1"/>
  <c r="AE955" i="1"/>
  <c r="AE956" i="1"/>
  <c r="AE957" i="1"/>
  <c r="AE958" i="1"/>
  <c r="AE959" i="1"/>
  <c r="AE960" i="1"/>
  <c r="AE961" i="1"/>
  <c r="AE962" i="1"/>
  <c r="AE963" i="1"/>
  <c r="AE964" i="1"/>
  <c r="AE965" i="1"/>
  <c r="AE966" i="1"/>
  <c r="AE967" i="1"/>
  <c r="AE968" i="1"/>
  <c r="AE969" i="1"/>
  <c r="AE970" i="1"/>
  <c r="AE971" i="1"/>
  <c r="AE972" i="1"/>
  <c r="AE973" i="1"/>
  <c r="AE974" i="1"/>
  <c r="AE975" i="1"/>
  <c r="AE976" i="1"/>
  <c r="AE977" i="1"/>
  <c r="AE978" i="1"/>
  <c r="AE979" i="1"/>
  <c r="AE980" i="1"/>
  <c r="AE981" i="1"/>
  <c r="AE982" i="1"/>
  <c r="AE983" i="1"/>
  <c r="AE984" i="1"/>
  <c r="AE985" i="1"/>
  <c r="AE986" i="1"/>
  <c r="AE987" i="1"/>
  <c r="AE988" i="1"/>
  <c r="AE989" i="1"/>
  <c r="AE990" i="1"/>
  <c r="AE991" i="1"/>
  <c r="AE992" i="1"/>
  <c r="AE993" i="1"/>
  <c r="AE994" i="1"/>
  <c r="AE995" i="1"/>
  <c r="AE996" i="1"/>
  <c r="AE997" i="1"/>
  <c r="AE998" i="1"/>
  <c r="AE999" i="1"/>
  <c r="AE100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79" i="1"/>
  <c r="AF180" i="1"/>
  <c r="AF181" i="1"/>
  <c r="AF182" i="1"/>
  <c r="AF183" i="1"/>
  <c r="AF184" i="1"/>
  <c r="AF185" i="1"/>
  <c r="AF186" i="1"/>
  <c r="AF187" i="1"/>
  <c r="AF188" i="1"/>
  <c r="AF189" i="1"/>
  <c r="AF190" i="1"/>
  <c r="AF191" i="1"/>
  <c r="AF192" i="1"/>
  <c r="AF193" i="1"/>
  <c r="AF194" i="1"/>
  <c r="AF195" i="1"/>
  <c r="AF196" i="1"/>
  <c r="AF197" i="1"/>
  <c r="AF198" i="1"/>
  <c r="AF199" i="1"/>
  <c r="AF200" i="1"/>
  <c r="AF201" i="1"/>
  <c r="AF202" i="1"/>
  <c r="AF203"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5"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F311" i="1"/>
  <c r="AF312" i="1"/>
  <c r="AF313" i="1"/>
  <c r="AF314" i="1"/>
  <c r="AF315" i="1"/>
  <c r="AF316" i="1"/>
  <c r="AF317" i="1"/>
  <c r="AF318" i="1"/>
  <c r="AF319" i="1"/>
  <c r="AF320" i="1"/>
  <c r="AF321" i="1"/>
  <c r="AF322" i="1"/>
  <c r="AF323" i="1"/>
  <c r="AF324" i="1"/>
  <c r="AF325" i="1"/>
  <c r="AF326" i="1"/>
  <c r="AF327"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F376" i="1"/>
  <c r="AF377" i="1"/>
  <c r="AF378" i="1"/>
  <c r="AF379" i="1"/>
  <c r="AF380" i="1"/>
  <c r="AF381" i="1"/>
  <c r="AF382" i="1"/>
  <c r="AF383" i="1"/>
  <c r="AF384" i="1"/>
  <c r="AF385" i="1"/>
  <c r="AF386" i="1"/>
  <c r="AF387" i="1"/>
  <c r="AF388" i="1"/>
  <c r="AF389" i="1"/>
  <c r="AF390" i="1"/>
  <c r="AF391" i="1"/>
  <c r="AF392" i="1"/>
  <c r="AF393" i="1"/>
  <c r="AF394" i="1"/>
  <c r="AF395" i="1"/>
  <c r="AF396" i="1"/>
  <c r="AF397" i="1"/>
  <c r="AF398" i="1"/>
  <c r="AF399"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3" i="1"/>
  <c r="AF424" i="1"/>
  <c r="AF425" i="1"/>
  <c r="AF426" i="1"/>
  <c r="AF427" i="1"/>
  <c r="AF428" i="1"/>
  <c r="AF429" i="1"/>
  <c r="AF430" i="1"/>
  <c r="AF431" i="1"/>
  <c r="AF432" i="1"/>
  <c r="AF433" i="1"/>
  <c r="AF434" i="1"/>
  <c r="AF435" i="1"/>
  <c r="AF436" i="1"/>
  <c r="AF437" i="1"/>
  <c r="AF438" i="1"/>
  <c r="AF439" i="1"/>
  <c r="AF440" i="1"/>
  <c r="AF441" i="1"/>
  <c r="AF442" i="1"/>
  <c r="AF443" i="1"/>
  <c r="AF444" i="1"/>
  <c r="AF445" i="1"/>
  <c r="AF446" i="1"/>
  <c r="AF447" i="1"/>
  <c r="AF448" i="1"/>
  <c r="AF449" i="1"/>
  <c r="AF450" i="1"/>
  <c r="AF451" i="1"/>
  <c r="AF452" i="1"/>
  <c r="AF453" i="1"/>
  <c r="AF454" i="1"/>
  <c r="AF455" i="1"/>
  <c r="AF456" i="1"/>
  <c r="AF457" i="1"/>
  <c r="AF458" i="1"/>
  <c r="AF459" i="1"/>
  <c r="AF460" i="1"/>
  <c r="AF461" i="1"/>
  <c r="AF462" i="1"/>
  <c r="AF463" i="1"/>
  <c r="AF464" i="1"/>
  <c r="AF465" i="1"/>
  <c r="AF466" i="1"/>
  <c r="AF467" i="1"/>
  <c r="AF468" i="1"/>
  <c r="AF469" i="1"/>
  <c r="AF470" i="1"/>
  <c r="AF471" i="1"/>
  <c r="AF472" i="1"/>
  <c r="AF473" i="1"/>
  <c r="AF474" i="1"/>
  <c r="AF475" i="1"/>
  <c r="AF476" i="1"/>
  <c r="AF477" i="1"/>
  <c r="AF478" i="1"/>
  <c r="AF479" i="1"/>
  <c r="AF480" i="1"/>
  <c r="AF481" i="1"/>
  <c r="AF482" i="1"/>
  <c r="AF483" i="1"/>
  <c r="AF484" i="1"/>
  <c r="AF485" i="1"/>
  <c r="AF486" i="1"/>
  <c r="AF487" i="1"/>
  <c r="AF488" i="1"/>
  <c r="AF489" i="1"/>
  <c r="AF490" i="1"/>
  <c r="AF491" i="1"/>
  <c r="AF492" i="1"/>
  <c r="AF493" i="1"/>
  <c r="AF494" i="1"/>
  <c r="AF495" i="1"/>
  <c r="AF496" i="1"/>
  <c r="AF497" i="1"/>
  <c r="AF498" i="1"/>
  <c r="AF499" i="1"/>
  <c r="AF500" i="1"/>
  <c r="AF501" i="1"/>
  <c r="AF502" i="1"/>
  <c r="AF503" i="1"/>
  <c r="AF504" i="1"/>
  <c r="AF505" i="1"/>
  <c r="AF506" i="1"/>
  <c r="AF507" i="1"/>
  <c r="AF508" i="1"/>
  <c r="AF509" i="1"/>
  <c r="AF510" i="1"/>
  <c r="AF511" i="1"/>
  <c r="AF512" i="1"/>
  <c r="AF513" i="1"/>
  <c r="AF514" i="1"/>
  <c r="AF515" i="1"/>
  <c r="AF516" i="1"/>
  <c r="AF517" i="1"/>
  <c r="AF518" i="1"/>
  <c r="AF519" i="1"/>
  <c r="AF520" i="1"/>
  <c r="AF521" i="1"/>
  <c r="AF522" i="1"/>
  <c r="AF523" i="1"/>
  <c r="AF524" i="1"/>
  <c r="AF525" i="1"/>
  <c r="AF526" i="1"/>
  <c r="AF527" i="1"/>
  <c r="AF528" i="1"/>
  <c r="AF529" i="1"/>
  <c r="AF530" i="1"/>
  <c r="AF531" i="1"/>
  <c r="AF532" i="1"/>
  <c r="AF533" i="1"/>
  <c r="AF534" i="1"/>
  <c r="AF535" i="1"/>
  <c r="AF536" i="1"/>
  <c r="AF537" i="1"/>
  <c r="AF538" i="1"/>
  <c r="AF539" i="1"/>
  <c r="AF540" i="1"/>
  <c r="AF541" i="1"/>
  <c r="AF542" i="1"/>
  <c r="AF543" i="1"/>
  <c r="AF544" i="1"/>
  <c r="AF545" i="1"/>
  <c r="AF546" i="1"/>
  <c r="AF547" i="1"/>
  <c r="AF548" i="1"/>
  <c r="AF549" i="1"/>
  <c r="AF550" i="1"/>
  <c r="AF551" i="1"/>
  <c r="AF552" i="1"/>
  <c r="AF553" i="1"/>
  <c r="AF554" i="1"/>
  <c r="AF555" i="1"/>
  <c r="AF556" i="1"/>
  <c r="AF557" i="1"/>
  <c r="AF558" i="1"/>
  <c r="AF559" i="1"/>
  <c r="AF560" i="1"/>
  <c r="AF561" i="1"/>
  <c r="AF562" i="1"/>
  <c r="AF563" i="1"/>
  <c r="AF564" i="1"/>
  <c r="AF565" i="1"/>
  <c r="AF566" i="1"/>
  <c r="AF567" i="1"/>
  <c r="AF568" i="1"/>
  <c r="AF569" i="1"/>
  <c r="AF570" i="1"/>
  <c r="AF571" i="1"/>
  <c r="AF572" i="1"/>
  <c r="AF573" i="1"/>
  <c r="AF574" i="1"/>
  <c r="AF575" i="1"/>
  <c r="AF576" i="1"/>
  <c r="AF577" i="1"/>
  <c r="AF578" i="1"/>
  <c r="AF579" i="1"/>
  <c r="AF580" i="1"/>
  <c r="AF581" i="1"/>
  <c r="AF582" i="1"/>
  <c r="AF583" i="1"/>
  <c r="AF584" i="1"/>
  <c r="AF585" i="1"/>
  <c r="AF586" i="1"/>
  <c r="AF587" i="1"/>
  <c r="AF588" i="1"/>
  <c r="AF589" i="1"/>
  <c r="AF590" i="1"/>
  <c r="AF591" i="1"/>
  <c r="AF592" i="1"/>
  <c r="AF593" i="1"/>
  <c r="AF594" i="1"/>
  <c r="AF595" i="1"/>
  <c r="AF596" i="1"/>
  <c r="AF597" i="1"/>
  <c r="AF598" i="1"/>
  <c r="AF599" i="1"/>
  <c r="AF600" i="1"/>
  <c r="AF601" i="1"/>
  <c r="AF602" i="1"/>
  <c r="AF603" i="1"/>
  <c r="AF604" i="1"/>
  <c r="AF605" i="1"/>
  <c r="AF606" i="1"/>
  <c r="AF607" i="1"/>
  <c r="AF608" i="1"/>
  <c r="AF609" i="1"/>
  <c r="AF610" i="1"/>
  <c r="AF611" i="1"/>
  <c r="AF612" i="1"/>
  <c r="AF613" i="1"/>
  <c r="AF614" i="1"/>
  <c r="AF615" i="1"/>
  <c r="AF616" i="1"/>
  <c r="AF617" i="1"/>
  <c r="AF618" i="1"/>
  <c r="AF619" i="1"/>
  <c r="AF620" i="1"/>
  <c r="AF621" i="1"/>
  <c r="AF622" i="1"/>
  <c r="AF623" i="1"/>
  <c r="AF624" i="1"/>
  <c r="AF625" i="1"/>
  <c r="AF626" i="1"/>
  <c r="AF627" i="1"/>
  <c r="AF628" i="1"/>
  <c r="AF629" i="1"/>
  <c r="AF630" i="1"/>
  <c r="AF631" i="1"/>
  <c r="AF632" i="1"/>
  <c r="AF633" i="1"/>
  <c r="AF634" i="1"/>
  <c r="AF635" i="1"/>
  <c r="AF636" i="1"/>
  <c r="AF637" i="1"/>
  <c r="AF638" i="1"/>
  <c r="AF639" i="1"/>
  <c r="AF640" i="1"/>
  <c r="AF641" i="1"/>
  <c r="AF642" i="1"/>
  <c r="AF643" i="1"/>
  <c r="AF644" i="1"/>
  <c r="AF645" i="1"/>
  <c r="AF646" i="1"/>
  <c r="AF647" i="1"/>
  <c r="AF648" i="1"/>
  <c r="AF649" i="1"/>
  <c r="AF650" i="1"/>
  <c r="AF651" i="1"/>
  <c r="AF652" i="1"/>
  <c r="AF653" i="1"/>
  <c r="AF654" i="1"/>
  <c r="AF655" i="1"/>
  <c r="AF656" i="1"/>
  <c r="AF657" i="1"/>
  <c r="AF658" i="1"/>
  <c r="AF659" i="1"/>
  <c r="AF660" i="1"/>
  <c r="AF661" i="1"/>
  <c r="AF662" i="1"/>
  <c r="AF663" i="1"/>
  <c r="AF664" i="1"/>
  <c r="AF665" i="1"/>
  <c r="AF666" i="1"/>
  <c r="AF667" i="1"/>
  <c r="AF668" i="1"/>
  <c r="AF669" i="1"/>
  <c r="AF670" i="1"/>
  <c r="AF671" i="1"/>
  <c r="AF672" i="1"/>
  <c r="AF673" i="1"/>
  <c r="AF674" i="1"/>
  <c r="AF675" i="1"/>
  <c r="AF676" i="1"/>
  <c r="AF677" i="1"/>
  <c r="AF678" i="1"/>
  <c r="AF679" i="1"/>
  <c r="AF680" i="1"/>
  <c r="AF681" i="1"/>
  <c r="AF682" i="1"/>
  <c r="AF683" i="1"/>
  <c r="AF684" i="1"/>
  <c r="AF685" i="1"/>
  <c r="AF686" i="1"/>
  <c r="AF687" i="1"/>
  <c r="AF688" i="1"/>
  <c r="AF689" i="1"/>
  <c r="AF690" i="1"/>
  <c r="AF691" i="1"/>
  <c r="AF692" i="1"/>
  <c r="AF693" i="1"/>
  <c r="AF694" i="1"/>
  <c r="AF695" i="1"/>
  <c r="AF696" i="1"/>
  <c r="AF697" i="1"/>
  <c r="AF698" i="1"/>
  <c r="AF699" i="1"/>
  <c r="AF700" i="1"/>
  <c r="AF701" i="1"/>
  <c r="AF702" i="1"/>
  <c r="AF703" i="1"/>
  <c r="AF704" i="1"/>
  <c r="AF705" i="1"/>
  <c r="AF706" i="1"/>
  <c r="AF707" i="1"/>
  <c r="AF708" i="1"/>
  <c r="AF709" i="1"/>
  <c r="AF710" i="1"/>
  <c r="AF711" i="1"/>
  <c r="AF712" i="1"/>
  <c r="AF713" i="1"/>
  <c r="AF714" i="1"/>
  <c r="AF715" i="1"/>
  <c r="AF716" i="1"/>
  <c r="AF717" i="1"/>
  <c r="AF718" i="1"/>
  <c r="AF719" i="1"/>
  <c r="AF720" i="1"/>
  <c r="AF721" i="1"/>
  <c r="AF722" i="1"/>
  <c r="AF723" i="1"/>
  <c r="AF724" i="1"/>
  <c r="AF725" i="1"/>
  <c r="AF726" i="1"/>
  <c r="AF727" i="1"/>
  <c r="AF728" i="1"/>
  <c r="AF729" i="1"/>
  <c r="AF730" i="1"/>
  <c r="AF731" i="1"/>
  <c r="AF732" i="1"/>
  <c r="AF733" i="1"/>
  <c r="AF734" i="1"/>
  <c r="AF735" i="1"/>
  <c r="AF736" i="1"/>
  <c r="AF737" i="1"/>
  <c r="AF738" i="1"/>
  <c r="AF739" i="1"/>
  <c r="AF740" i="1"/>
  <c r="AF741" i="1"/>
  <c r="AF742" i="1"/>
  <c r="AF743" i="1"/>
  <c r="AF744" i="1"/>
  <c r="AF745" i="1"/>
  <c r="AF746" i="1"/>
  <c r="AF747" i="1"/>
  <c r="AF748" i="1"/>
  <c r="AF749" i="1"/>
  <c r="AF750" i="1"/>
  <c r="AF751" i="1"/>
  <c r="AF752" i="1"/>
  <c r="AF753" i="1"/>
  <c r="AF754" i="1"/>
  <c r="AF755" i="1"/>
  <c r="AF756" i="1"/>
  <c r="AF757" i="1"/>
  <c r="AF758" i="1"/>
  <c r="AF759" i="1"/>
  <c r="AF760" i="1"/>
  <c r="AF761" i="1"/>
  <c r="AF762" i="1"/>
  <c r="AF763" i="1"/>
  <c r="AF764" i="1"/>
  <c r="AF765" i="1"/>
  <c r="AF766" i="1"/>
  <c r="AF767" i="1"/>
  <c r="AF768" i="1"/>
  <c r="AF769" i="1"/>
  <c r="AF770" i="1"/>
  <c r="AF771" i="1"/>
  <c r="AF772" i="1"/>
  <c r="AF773" i="1"/>
  <c r="AF774" i="1"/>
  <c r="AF775" i="1"/>
  <c r="AF776" i="1"/>
  <c r="AF777" i="1"/>
  <c r="AF778" i="1"/>
  <c r="AF779" i="1"/>
  <c r="AF780" i="1"/>
  <c r="AF781" i="1"/>
  <c r="AF782" i="1"/>
  <c r="AF783" i="1"/>
  <c r="AF784" i="1"/>
  <c r="AF785" i="1"/>
  <c r="AF786" i="1"/>
  <c r="AF787" i="1"/>
  <c r="AF788" i="1"/>
  <c r="AF789" i="1"/>
  <c r="AF790" i="1"/>
  <c r="AF791" i="1"/>
  <c r="AF792" i="1"/>
  <c r="AF793" i="1"/>
  <c r="AF794" i="1"/>
  <c r="AF795" i="1"/>
  <c r="AF796" i="1"/>
  <c r="AF797" i="1"/>
  <c r="AF798" i="1"/>
  <c r="AF799" i="1"/>
  <c r="AF800" i="1"/>
  <c r="AF801" i="1"/>
  <c r="AF802" i="1"/>
  <c r="AF803" i="1"/>
  <c r="AF804" i="1"/>
  <c r="AF805" i="1"/>
  <c r="AF806" i="1"/>
  <c r="AF807" i="1"/>
  <c r="AF808" i="1"/>
  <c r="AF809" i="1"/>
  <c r="AF810" i="1"/>
  <c r="AF811" i="1"/>
  <c r="AF812" i="1"/>
  <c r="AF813" i="1"/>
  <c r="AF814" i="1"/>
  <c r="AF815" i="1"/>
  <c r="AF816" i="1"/>
  <c r="AF817" i="1"/>
  <c r="AF818" i="1"/>
  <c r="AF819" i="1"/>
  <c r="AF820" i="1"/>
  <c r="AF821" i="1"/>
  <c r="AF822" i="1"/>
  <c r="AF823" i="1"/>
  <c r="AF824" i="1"/>
  <c r="AF825" i="1"/>
  <c r="AF826" i="1"/>
  <c r="AF827" i="1"/>
  <c r="AF828" i="1"/>
  <c r="AF829" i="1"/>
  <c r="AF830" i="1"/>
  <c r="AF831" i="1"/>
  <c r="AF832" i="1"/>
  <c r="AF833" i="1"/>
  <c r="AF834" i="1"/>
  <c r="AF835" i="1"/>
  <c r="AF836" i="1"/>
  <c r="AF837" i="1"/>
  <c r="AF838" i="1"/>
  <c r="AF839" i="1"/>
  <c r="AF840" i="1"/>
  <c r="AF841" i="1"/>
  <c r="AF842" i="1"/>
  <c r="AF843" i="1"/>
  <c r="AF844" i="1"/>
  <c r="AF845" i="1"/>
  <c r="AF846" i="1"/>
  <c r="AF847" i="1"/>
  <c r="AF848" i="1"/>
  <c r="AF849" i="1"/>
  <c r="AF850" i="1"/>
  <c r="AF851" i="1"/>
  <c r="AF852" i="1"/>
  <c r="AF853" i="1"/>
  <c r="AF854" i="1"/>
  <c r="AF855" i="1"/>
  <c r="AF856" i="1"/>
  <c r="AF857" i="1"/>
  <c r="AF858" i="1"/>
  <c r="AF859" i="1"/>
  <c r="AF860" i="1"/>
  <c r="AF861" i="1"/>
  <c r="AF862" i="1"/>
  <c r="AF863" i="1"/>
  <c r="AF864" i="1"/>
  <c r="AF865" i="1"/>
  <c r="AF866" i="1"/>
  <c r="AF867" i="1"/>
  <c r="AF868" i="1"/>
  <c r="AF869" i="1"/>
  <c r="AF870" i="1"/>
  <c r="AF871" i="1"/>
  <c r="AF872" i="1"/>
  <c r="AF873" i="1"/>
  <c r="AF874" i="1"/>
  <c r="AF875" i="1"/>
  <c r="AF876" i="1"/>
  <c r="AF877" i="1"/>
  <c r="AF878" i="1"/>
  <c r="AF879" i="1"/>
  <c r="AF880" i="1"/>
  <c r="AF881" i="1"/>
  <c r="AF882" i="1"/>
  <c r="AF883" i="1"/>
  <c r="AF884" i="1"/>
  <c r="AF885" i="1"/>
  <c r="AF886" i="1"/>
  <c r="AF887" i="1"/>
  <c r="AF888" i="1"/>
  <c r="AF889" i="1"/>
  <c r="AF890" i="1"/>
  <c r="AF891" i="1"/>
  <c r="AF892" i="1"/>
  <c r="AF893" i="1"/>
  <c r="AF894" i="1"/>
  <c r="AF895" i="1"/>
  <c r="AF896" i="1"/>
  <c r="AF897" i="1"/>
  <c r="AF898" i="1"/>
  <c r="AF899" i="1"/>
  <c r="AF900" i="1"/>
  <c r="AF901" i="1"/>
  <c r="AF902" i="1"/>
  <c r="AF903" i="1"/>
  <c r="AF904" i="1"/>
  <c r="AF905" i="1"/>
  <c r="AF906" i="1"/>
  <c r="AF907" i="1"/>
  <c r="AF908" i="1"/>
  <c r="AF909" i="1"/>
  <c r="AF910" i="1"/>
  <c r="AF911" i="1"/>
  <c r="AF912" i="1"/>
  <c r="AF913" i="1"/>
  <c r="AF914" i="1"/>
  <c r="AF915" i="1"/>
  <c r="AF916" i="1"/>
  <c r="AF917" i="1"/>
  <c r="AF918" i="1"/>
  <c r="AF919" i="1"/>
  <c r="AF920" i="1"/>
  <c r="AF921" i="1"/>
  <c r="AF922" i="1"/>
  <c r="AF923" i="1"/>
  <c r="AF924" i="1"/>
  <c r="AF925" i="1"/>
  <c r="AF926" i="1"/>
  <c r="AF927" i="1"/>
  <c r="AF928" i="1"/>
  <c r="AF929" i="1"/>
  <c r="AF930" i="1"/>
  <c r="AF931" i="1"/>
  <c r="AF932" i="1"/>
  <c r="AF933" i="1"/>
  <c r="AF934" i="1"/>
  <c r="AF935" i="1"/>
  <c r="AF936" i="1"/>
  <c r="AF937" i="1"/>
  <c r="AF938" i="1"/>
  <c r="AF939" i="1"/>
  <c r="AF940" i="1"/>
  <c r="AF941" i="1"/>
  <c r="AF942" i="1"/>
  <c r="AF943" i="1"/>
  <c r="AF944" i="1"/>
  <c r="AF945" i="1"/>
  <c r="AF946" i="1"/>
  <c r="AF947" i="1"/>
  <c r="AF948" i="1"/>
  <c r="AF949" i="1"/>
  <c r="AF950" i="1"/>
  <c r="AF951" i="1"/>
  <c r="AF952" i="1"/>
  <c r="AF953" i="1"/>
  <c r="AF954" i="1"/>
  <c r="AF955" i="1"/>
  <c r="AF956" i="1"/>
  <c r="AF957" i="1"/>
  <c r="AF958" i="1"/>
  <c r="AF959" i="1"/>
  <c r="AF960" i="1"/>
  <c r="AF961" i="1"/>
  <c r="AF962" i="1"/>
  <c r="AF963" i="1"/>
  <c r="AF964" i="1"/>
  <c r="AF965" i="1"/>
  <c r="AF966" i="1"/>
  <c r="AF967" i="1"/>
  <c r="AF968" i="1"/>
  <c r="AF969" i="1"/>
  <c r="AF970" i="1"/>
  <c r="AF971" i="1"/>
  <c r="AF972" i="1"/>
  <c r="AF973" i="1"/>
  <c r="AF974" i="1"/>
  <c r="AF975" i="1"/>
  <c r="AF976" i="1"/>
  <c r="AF977" i="1"/>
  <c r="AF978" i="1"/>
  <c r="AF979" i="1"/>
  <c r="AF980" i="1"/>
  <c r="AF981" i="1"/>
  <c r="AF982" i="1"/>
  <c r="AF983" i="1"/>
  <c r="AF984" i="1"/>
  <c r="AF985" i="1"/>
  <c r="AF986" i="1"/>
  <c r="AF987" i="1"/>
  <c r="AF988" i="1"/>
  <c r="AF989" i="1"/>
  <c r="AF990" i="1"/>
  <c r="AF991" i="1"/>
  <c r="AF992" i="1"/>
  <c r="AF993" i="1"/>
  <c r="AF994" i="1"/>
  <c r="AF995" i="1"/>
  <c r="AF996" i="1"/>
  <c r="AF997" i="1"/>
  <c r="AF998" i="1"/>
  <c r="AF999" i="1"/>
  <c r="AF100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3" i="1"/>
  <c r="AG184" i="1"/>
  <c r="AG185" i="1"/>
  <c r="AG186" i="1"/>
  <c r="AG187" i="1"/>
  <c r="AG188" i="1"/>
  <c r="AG189" i="1"/>
  <c r="AG190" i="1"/>
  <c r="AG191" i="1"/>
  <c r="AG192" i="1"/>
  <c r="AG193" i="1"/>
  <c r="AG194" i="1"/>
  <c r="AG195" i="1"/>
  <c r="AG196" i="1"/>
  <c r="AG197" i="1"/>
  <c r="AG198" i="1"/>
  <c r="AG199" i="1"/>
  <c r="AG200" i="1"/>
  <c r="AG201" i="1"/>
  <c r="AG202" i="1"/>
  <c r="AG203" i="1"/>
  <c r="AG204" i="1"/>
  <c r="AG205" i="1"/>
  <c r="AG206" i="1"/>
  <c r="AG207" i="1"/>
  <c r="AG208" i="1"/>
  <c r="AG209" i="1"/>
  <c r="AG210" i="1"/>
  <c r="AG211" i="1"/>
  <c r="AG212" i="1"/>
  <c r="AG213" i="1"/>
  <c r="AG214" i="1"/>
  <c r="AG215" i="1"/>
  <c r="AG216" i="1"/>
  <c r="AG217" i="1"/>
  <c r="AG218" i="1"/>
  <c r="AG219" i="1"/>
  <c r="AG220" i="1"/>
  <c r="AG221" i="1"/>
  <c r="AG222" i="1"/>
  <c r="AG223" i="1"/>
  <c r="AG224" i="1"/>
  <c r="AG225" i="1"/>
  <c r="AG226" i="1"/>
  <c r="AG227" i="1"/>
  <c r="AG228" i="1"/>
  <c r="AG229" i="1"/>
  <c r="AG230" i="1"/>
  <c r="AG231" i="1"/>
  <c r="AG232" i="1"/>
  <c r="AG233" i="1"/>
  <c r="AG234" i="1"/>
  <c r="AG235" i="1"/>
  <c r="AG236" i="1"/>
  <c r="AG237" i="1"/>
  <c r="AG238" i="1"/>
  <c r="AG239" i="1"/>
  <c r="AG240" i="1"/>
  <c r="AG241" i="1"/>
  <c r="AG242" i="1"/>
  <c r="AG243" i="1"/>
  <c r="AG244" i="1"/>
  <c r="AG245" i="1"/>
  <c r="AG246" i="1"/>
  <c r="AG247" i="1"/>
  <c r="AG248" i="1"/>
  <c r="AG249" i="1"/>
  <c r="AG250" i="1"/>
  <c r="AG251" i="1"/>
  <c r="AG252" i="1"/>
  <c r="AG253" i="1"/>
  <c r="AG254" i="1"/>
  <c r="AG255" i="1"/>
  <c r="AG256" i="1"/>
  <c r="AG257" i="1"/>
  <c r="AG258" i="1"/>
  <c r="AG259" i="1"/>
  <c r="AG260" i="1"/>
  <c r="AG261" i="1"/>
  <c r="AG262" i="1"/>
  <c r="AG263" i="1"/>
  <c r="AG264" i="1"/>
  <c r="AG265" i="1"/>
  <c r="AG266" i="1"/>
  <c r="AG267" i="1"/>
  <c r="AG268" i="1"/>
  <c r="AG269" i="1"/>
  <c r="AG270" i="1"/>
  <c r="AG271" i="1"/>
  <c r="AG272" i="1"/>
  <c r="AG273" i="1"/>
  <c r="AG274" i="1"/>
  <c r="AG275" i="1"/>
  <c r="AG276" i="1"/>
  <c r="AG277" i="1"/>
  <c r="AG278" i="1"/>
  <c r="AG279" i="1"/>
  <c r="AG280" i="1"/>
  <c r="AG281" i="1"/>
  <c r="AG282" i="1"/>
  <c r="AG283" i="1"/>
  <c r="AG284" i="1"/>
  <c r="AG285" i="1"/>
  <c r="AG286" i="1"/>
  <c r="AG287" i="1"/>
  <c r="AG288" i="1"/>
  <c r="AG289" i="1"/>
  <c r="AG290" i="1"/>
  <c r="AG291" i="1"/>
  <c r="AG292" i="1"/>
  <c r="AG293" i="1"/>
  <c r="AG294" i="1"/>
  <c r="AG295" i="1"/>
  <c r="AG296" i="1"/>
  <c r="AG297" i="1"/>
  <c r="AG298" i="1"/>
  <c r="AG299" i="1"/>
  <c r="AG300" i="1"/>
  <c r="AG301" i="1"/>
  <c r="AG302" i="1"/>
  <c r="AG303" i="1"/>
  <c r="AG304" i="1"/>
  <c r="AG305" i="1"/>
  <c r="AG306" i="1"/>
  <c r="AG307" i="1"/>
  <c r="AG308" i="1"/>
  <c r="AG309" i="1"/>
  <c r="AG310" i="1"/>
  <c r="AG311" i="1"/>
  <c r="AG312" i="1"/>
  <c r="AG313" i="1"/>
  <c r="AG314" i="1"/>
  <c r="AG315" i="1"/>
  <c r="AG316" i="1"/>
  <c r="AG317" i="1"/>
  <c r="AG318" i="1"/>
  <c r="AG319" i="1"/>
  <c r="AG320" i="1"/>
  <c r="AG321" i="1"/>
  <c r="AG322" i="1"/>
  <c r="AG323" i="1"/>
  <c r="AG324" i="1"/>
  <c r="AG325" i="1"/>
  <c r="AG326" i="1"/>
  <c r="AG327" i="1"/>
  <c r="AG328" i="1"/>
  <c r="AG329" i="1"/>
  <c r="AG330" i="1"/>
  <c r="AG331" i="1"/>
  <c r="AG332" i="1"/>
  <c r="AG333" i="1"/>
  <c r="AG334" i="1"/>
  <c r="AG335" i="1"/>
  <c r="AG336" i="1"/>
  <c r="AG337" i="1"/>
  <c r="AG338" i="1"/>
  <c r="AG339" i="1"/>
  <c r="AG340" i="1"/>
  <c r="AG341" i="1"/>
  <c r="AG342" i="1"/>
  <c r="AG343" i="1"/>
  <c r="AG344" i="1"/>
  <c r="AG345" i="1"/>
  <c r="AG346" i="1"/>
  <c r="AG347" i="1"/>
  <c r="AG348" i="1"/>
  <c r="AG349" i="1"/>
  <c r="AG350" i="1"/>
  <c r="AG351" i="1"/>
  <c r="AG352" i="1"/>
  <c r="AG353" i="1"/>
  <c r="AG354" i="1"/>
  <c r="AG355" i="1"/>
  <c r="AG356" i="1"/>
  <c r="AG357" i="1"/>
  <c r="AG358" i="1"/>
  <c r="AG359" i="1"/>
  <c r="AG360" i="1"/>
  <c r="AG361" i="1"/>
  <c r="AG362" i="1"/>
  <c r="AG363" i="1"/>
  <c r="AG364" i="1"/>
  <c r="AG365" i="1"/>
  <c r="AG366" i="1"/>
  <c r="AG367" i="1"/>
  <c r="AG368" i="1"/>
  <c r="AG369" i="1"/>
  <c r="AG370" i="1"/>
  <c r="AG371" i="1"/>
  <c r="AG372" i="1"/>
  <c r="AG373" i="1"/>
  <c r="AG374" i="1"/>
  <c r="AG375" i="1"/>
  <c r="AG376" i="1"/>
  <c r="AG377" i="1"/>
  <c r="AG378" i="1"/>
  <c r="AG379" i="1"/>
  <c r="AG380" i="1"/>
  <c r="AG381" i="1"/>
  <c r="AG382" i="1"/>
  <c r="AG383" i="1"/>
  <c r="AG384" i="1"/>
  <c r="AG385" i="1"/>
  <c r="AG386" i="1"/>
  <c r="AG387" i="1"/>
  <c r="AG388" i="1"/>
  <c r="AG389" i="1"/>
  <c r="AG390" i="1"/>
  <c r="AG391" i="1"/>
  <c r="AG392" i="1"/>
  <c r="AG393" i="1"/>
  <c r="AG394" i="1"/>
  <c r="AG395" i="1"/>
  <c r="AG396" i="1"/>
  <c r="AG397" i="1"/>
  <c r="AG398" i="1"/>
  <c r="AG399" i="1"/>
  <c r="AG400" i="1"/>
  <c r="AG401" i="1"/>
  <c r="AG402" i="1"/>
  <c r="AG403" i="1"/>
  <c r="AG404" i="1"/>
  <c r="AG405" i="1"/>
  <c r="AG406" i="1"/>
  <c r="AG407" i="1"/>
  <c r="AG408" i="1"/>
  <c r="AG409" i="1"/>
  <c r="AG410" i="1"/>
  <c r="AG411" i="1"/>
  <c r="AG412" i="1"/>
  <c r="AG413" i="1"/>
  <c r="AG414" i="1"/>
  <c r="AG415" i="1"/>
  <c r="AG416" i="1"/>
  <c r="AG417" i="1"/>
  <c r="AG418" i="1"/>
  <c r="AG419" i="1"/>
  <c r="AG420" i="1"/>
  <c r="AG421" i="1"/>
  <c r="AG422" i="1"/>
  <c r="AG423" i="1"/>
  <c r="AG424" i="1"/>
  <c r="AG425" i="1"/>
  <c r="AG426" i="1"/>
  <c r="AG427" i="1"/>
  <c r="AG428" i="1"/>
  <c r="AG429" i="1"/>
  <c r="AG430" i="1"/>
  <c r="AG431" i="1"/>
  <c r="AG432" i="1"/>
  <c r="AG433" i="1"/>
  <c r="AG434" i="1"/>
  <c r="AG435" i="1"/>
  <c r="AG436" i="1"/>
  <c r="AG437" i="1"/>
  <c r="AG438" i="1"/>
  <c r="AG439" i="1"/>
  <c r="AG440" i="1"/>
  <c r="AG441" i="1"/>
  <c r="AG442" i="1"/>
  <c r="AG443" i="1"/>
  <c r="AG444" i="1"/>
  <c r="AG445" i="1"/>
  <c r="AG446" i="1"/>
  <c r="AG447" i="1"/>
  <c r="AG448" i="1"/>
  <c r="AG449" i="1"/>
  <c r="AG450" i="1"/>
  <c r="AG451" i="1"/>
  <c r="AG452" i="1"/>
  <c r="AG453" i="1"/>
  <c r="AG454" i="1"/>
  <c r="AG455" i="1"/>
  <c r="AG456" i="1"/>
  <c r="AG457" i="1"/>
  <c r="AG458" i="1"/>
  <c r="AG459" i="1"/>
  <c r="AG460" i="1"/>
  <c r="AG461" i="1"/>
  <c r="AG462" i="1"/>
  <c r="AG463" i="1"/>
  <c r="AG464" i="1"/>
  <c r="AG465" i="1"/>
  <c r="AG466" i="1"/>
  <c r="AG467" i="1"/>
  <c r="AG468" i="1"/>
  <c r="AG469" i="1"/>
  <c r="AG470" i="1"/>
  <c r="AG471" i="1"/>
  <c r="AG472" i="1"/>
  <c r="AG473" i="1"/>
  <c r="AG474" i="1"/>
  <c r="AG475" i="1"/>
  <c r="AG476" i="1"/>
  <c r="AG477" i="1"/>
  <c r="AG478" i="1"/>
  <c r="AG479" i="1"/>
  <c r="AG480" i="1"/>
  <c r="AG481" i="1"/>
  <c r="AG482" i="1"/>
  <c r="AG483" i="1"/>
  <c r="AG484" i="1"/>
  <c r="AG485" i="1"/>
  <c r="AG486" i="1"/>
  <c r="AG487" i="1"/>
  <c r="AG488" i="1"/>
  <c r="AG489" i="1"/>
  <c r="AG490" i="1"/>
  <c r="AG491" i="1"/>
  <c r="AG492" i="1"/>
  <c r="AG493" i="1"/>
  <c r="AG494" i="1"/>
  <c r="AG495" i="1"/>
  <c r="AG496" i="1"/>
  <c r="AG497" i="1"/>
  <c r="AG498" i="1"/>
  <c r="AG499" i="1"/>
  <c r="AG500" i="1"/>
  <c r="AG501" i="1"/>
  <c r="AG502" i="1"/>
  <c r="AG503" i="1"/>
  <c r="AG504" i="1"/>
  <c r="AG505" i="1"/>
  <c r="AG506" i="1"/>
  <c r="AG507" i="1"/>
  <c r="AG508" i="1"/>
  <c r="AG509" i="1"/>
  <c r="AG510" i="1"/>
  <c r="AG511" i="1"/>
  <c r="AG512" i="1"/>
  <c r="AG513" i="1"/>
  <c r="AG514" i="1"/>
  <c r="AG515" i="1"/>
  <c r="AG516" i="1"/>
  <c r="AG517" i="1"/>
  <c r="AG518" i="1"/>
  <c r="AG519" i="1"/>
  <c r="AG520" i="1"/>
  <c r="AG521" i="1"/>
  <c r="AG522" i="1"/>
  <c r="AG523" i="1"/>
  <c r="AG524" i="1"/>
  <c r="AG525" i="1"/>
  <c r="AG526" i="1"/>
  <c r="AG527" i="1"/>
  <c r="AG528" i="1"/>
  <c r="AG529" i="1"/>
  <c r="AG530" i="1"/>
  <c r="AG531" i="1"/>
  <c r="AG532" i="1"/>
  <c r="AG533" i="1"/>
  <c r="AG534" i="1"/>
  <c r="AG535" i="1"/>
  <c r="AG536" i="1"/>
  <c r="AG537" i="1"/>
  <c r="AG538" i="1"/>
  <c r="AG539" i="1"/>
  <c r="AG540" i="1"/>
  <c r="AG541" i="1"/>
  <c r="AG542" i="1"/>
  <c r="AG543" i="1"/>
  <c r="AG544" i="1"/>
  <c r="AG545" i="1"/>
  <c r="AG546" i="1"/>
  <c r="AG547" i="1"/>
  <c r="AG548" i="1"/>
  <c r="AG549" i="1"/>
  <c r="AG550" i="1"/>
  <c r="AG551" i="1"/>
  <c r="AG552" i="1"/>
  <c r="AG553" i="1"/>
  <c r="AG554" i="1"/>
  <c r="AG555" i="1"/>
  <c r="AG556" i="1"/>
  <c r="AG557" i="1"/>
  <c r="AG558" i="1"/>
  <c r="AG559" i="1"/>
  <c r="AG560" i="1"/>
  <c r="AG561" i="1"/>
  <c r="AG562" i="1"/>
  <c r="AG563" i="1"/>
  <c r="AG564" i="1"/>
  <c r="AG565" i="1"/>
  <c r="AG566" i="1"/>
  <c r="AG567" i="1"/>
  <c r="AG568" i="1"/>
  <c r="AG569" i="1"/>
  <c r="AG570" i="1"/>
  <c r="AG571" i="1"/>
  <c r="AG572" i="1"/>
  <c r="AG573" i="1"/>
  <c r="AG574" i="1"/>
  <c r="AG575" i="1"/>
  <c r="AG576" i="1"/>
  <c r="AG577" i="1"/>
  <c r="AG578" i="1"/>
  <c r="AG579" i="1"/>
  <c r="AG580" i="1"/>
  <c r="AG581" i="1"/>
  <c r="AG582" i="1"/>
  <c r="AG583" i="1"/>
  <c r="AG584" i="1"/>
  <c r="AG585" i="1"/>
  <c r="AG586" i="1"/>
  <c r="AG587" i="1"/>
  <c r="AG588" i="1"/>
  <c r="AG589" i="1"/>
  <c r="AG590" i="1"/>
  <c r="AG591" i="1"/>
  <c r="AG592" i="1"/>
  <c r="AG593" i="1"/>
  <c r="AG594" i="1"/>
  <c r="AG595" i="1"/>
  <c r="AG596" i="1"/>
  <c r="AG597" i="1"/>
  <c r="AG598" i="1"/>
  <c r="AG599" i="1"/>
  <c r="AG600" i="1"/>
  <c r="AG601" i="1"/>
  <c r="AG602" i="1"/>
  <c r="AG603" i="1"/>
  <c r="AG604" i="1"/>
  <c r="AG605" i="1"/>
  <c r="AG606" i="1"/>
  <c r="AG607" i="1"/>
  <c r="AG608" i="1"/>
  <c r="AG609" i="1"/>
  <c r="AG610" i="1"/>
  <c r="AG611" i="1"/>
  <c r="AG612" i="1"/>
  <c r="AG613" i="1"/>
  <c r="AG614" i="1"/>
  <c r="AG615" i="1"/>
  <c r="AG616" i="1"/>
  <c r="AG617" i="1"/>
  <c r="AG618" i="1"/>
  <c r="AG619" i="1"/>
  <c r="AG620" i="1"/>
  <c r="AG621" i="1"/>
  <c r="AG622" i="1"/>
  <c r="AG623" i="1"/>
  <c r="AG624" i="1"/>
  <c r="AG625" i="1"/>
  <c r="AG626" i="1"/>
  <c r="AG627" i="1"/>
  <c r="AG628" i="1"/>
  <c r="AG629" i="1"/>
  <c r="AG630" i="1"/>
  <c r="AG631" i="1"/>
  <c r="AG632" i="1"/>
  <c r="AG633" i="1"/>
  <c r="AG634" i="1"/>
  <c r="AG635" i="1"/>
  <c r="AG636" i="1"/>
  <c r="AG637" i="1"/>
  <c r="AG638" i="1"/>
  <c r="AG639" i="1"/>
  <c r="AG640" i="1"/>
  <c r="AG641" i="1"/>
  <c r="AG642" i="1"/>
  <c r="AG643" i="1"/>
  <c r="AG644" i="1"/>
  <c r="AG645" i="1"/>
  <c r="AG646" i="1"/>
  <c r="AG647" i="1"/>
  <c r="AG648" i="1"/>
  <c r="AG649" i="1"/>
  <c r="AG650" i="1"/>
  <c r="AG651" i="1"/>
  <c r="AG652" i="1"/>
  <c r="AG653" i="1"/>
  <c r="AG654" i="1"/>
  <c r="AG655" i="1"/>
  <c r="AG656" i="1"/>
  <c r="AG657" i="1"/>
  <c r="AG658" i="1"/>
  <c r="AG659" i="1"/>
  <c r="AG660" i="1"/>
  <c r="AG661" i="1"/>
  <c r="AG662" i="1"/>
  <c r="AG663" i="1"/>
  <c r="AG664" i="1"/>
  <c r="AG665" i="1"/>
  <c r="AG666" i="1"/>
  <c r="AG667" i="1"/>
  <c r="AG668" i="1"/>
  <c r="AG669" i="1"/>
  <c r="AG670" i="1"/>
  <c r="AG671" i="1"/>
  <c r="AG672" i="1"/>
  <c r="AG673" i="1"/>
  <c r="AG674" i="1"/>
  <c r="AG675" i="1"/>
  <c r="AG676" i="1"/>
  <c r="AG677" i="1"/>
  <c r="AG678" i="1"/>
  <c r="AG679" i="1"/>
  <c r="AG680" i="1"/>
  <c r="AG681" i="1"/>
  <c r="AG682" i="1"/>
  <c r="AG683" i="1"/>
  <c r="AG684" i="1"/>
  <c r="AG685" i="1"/>
  <c r="AG686" i="1"/>
  <c r="AG687" i="1"/>
  <c r="AG688" i="1"/>
  <c r="AG689" i="1"/>
  <c r="AG690" i="1"/>
  <c r="AG691" i="1"/>
  <c r="AG692" i="1"/>
  <c r="AG693" i="1"/>
  <c r="AG694" i="1"/>
  <c r="AG695" i="1"/>
  <c r="AG696" i="1"/>
  <c r="AG697" i="1"/>
  <c r="AG698" i="1"/>
  <c r="AG699" i="1"/>
  <c r="AG700" i="1"/>
  <c r="AG701" i="1"/>
  <c r="AG702" i="1"/>
  <c r="AG703" i="1"/>
  <c r="AG704" i="1"/>
  <c r="AG705" i="1"/>
  <c r="AG706" i="1"/>
  <c r="AG707" i="1"/>
  <c r="AG708" i="1"/>
  <c r="AG709" i="1"/>
  <c r="AG710" i="1"/>
  <c r="AG711" i="1"/>
  <c r="AG712" i="1"/>
  <c r="AG713" i="1"/>
  <c r="AG714" i="1"/>
  <c r="AG715" i="1"/>
  <c r="AG716" i="1"/>
  <c r="AG717" i="1"/>
  <c r="AG718" i="1"/>
  <c r="AG719" i="1"/>
  <c r="AG720" i="1"/>
  <c r="AG721" i="1"/>
  <c r="AG722" i="1"/>
  <c r="AG723" i="1"/>
  <c r="AG724" i="1"/>
  <c r="AG725" i="1"/>
  <c r="AG726" i="1"/>
  <c r="AG727" i="1"/>
  <c r="AG728" i="1"/>
  <c r="AG729" i="1"/>
  <c r="AG730" i="1"/>
  <c r="AG731" i="1"/>
  <c r="AG732" i="1"/>
  <c r="AG733" i="1"/>
  <c r="AG734" i="1"/>
  <c r="AG735" i="1"/>
  <c r="AG736" i="1"/>
  <c r="AG737" i="1"/>
  <c r="AG738" i="1"/>
  <c r="AG739" i="1"/>
  <c r="AG740" i="1"/>
  <c r="AG741" i="1"/>
  <c r="AG742" i="1"/>
  <c r="AG743" i="1"/>
  <c r="AG744" i="1"/>
  <c r="AG745" i="1"/>
  <c r="AG746" i="1"/>
  <c r="AG747" i="1"/>
  <c r="AG748" i="1"/>
  <c r="AG749" i="1"/>
  <c r="AG750" i="1"/>
  <c r="AG751" i="1"/>
  <c r="AG752" i="1"/>
  <c r="AG753" i="1"/>
  <c r="AG754" i="1"/>
  <c r="AG755" i="1"/>
  <c r="AG756" i="1"/>
  <c r="AG757" i="1"/>
  <c r="AG758" i="1"/>
  <c r="AG759" i="1"/>
  <c r="AG760" i="1"/>
  <c r="AG761" i="1"/>
  <c r="AG762" i="1"/>
  <c r="AG763" i="1"/>
  <c r="AG764" i="1"/>
  <c r="AG765" i="1"/>
  <c r="AG766" i="1"/>
  <c r="AG767" i="1"/>
  <c r="AG768" i="1"/>
  <c r="AG769" i="1"/>
  <c r="AG770" i="1"/>
  <c r="AG771" i="1"/>
  <c r="AG772" i="1"/>
  <c r="AG773" i="1"/>
  <c r="AG774" i="1"/>
  <c r="AG775" i="1"/>
  <c r="AG776" i="1"/>
  <c r="AG777" i="1"/>
  <c r="AG778" i="1"/>
  <c r="AG779" i="1"/>
  <c r="AG780" i="1"/>
  <c r="AG781" i="1"/>
  <c r="AG782" i="1"/>
  <c r="AG783" i="1"/>
  <c r="AG784" i="1"/>
  <c r="AG785" i="1"/>
  <c r="AG786" i="1"/>
  <c r="AG787" i="1"/>
  <c r="AG788" i="1"/>
  <c r="AG789" i="1"/>
  <c r="AG790" i="1"/>
  <c r="AG791" i="1"/>
  <c r="AG792" i="1"/>
  <c r="AG793" i="1"/>
  <c r="AG794" i="1"/>
  <c r="AG795" i="1"/>
  <c r="AG796" i="1"/>
  <c r="AG797" i="1"/>
  <c r="AG798" i="1"/>
  <c r="AG799" i="1"/>
  <c r="AG800" i="1"/>
  <c r="AG801" i="1"/>
  <c r="AG802" i="1"/>
  <c r="AG803" i="1"/>
  <c r="AG804" i="1"/>
  <c r="AG805" i="1"/>
  <c r="AG806" i="1"/>
  <c r="AG807" i="1"/>
  <c r="AG808" i="1"/>
  <c r="AG809" i="1"/>
  <c r="AG810" i="1"/>
  <c r="AG811" i="1"/>
  <c r="AG812" i="1"/>
  <c r="AG813" i="1"/>
  <c r="AG814" i="1"/>
  <c r="AG815" i="1"/>
  <c r="AG816" i="1"/>
  <c r="AG817" i="1"/>
  <c r="AG818" i="1"/>
  <c r="AG819" i="1"/>
  <c r="AG820" i="1"/>
  <c r="AG821" i="1"/>
  <c r="AG822" i="1"/>
  <c r="AG823" i="1"/>
  <c r="AG824" i="1"/>
  <c r="AG825" i="1"/>
  <c r="AG826" i="1"/>
  <c r="AG827" i="1"/>
  <c r="AG828" i="1"/>
  <c r="AG829" i="1"/>
  <c r="AG830" i="1"/>
  <c r="AG831" i="1"/>
  <c r="AG832" i="1"/>
  <c r="AG833" i="1"/>
  <c r="AG834" i="1"/>
  <c r="AG835" i="1"/>
  <c r="AG836" i="1"/>
  <c r="AG837" i="1"/>
  <c r="AG838" i="1"/>
  <c r="AG839" i="1"/>
  <c r="AG840" i="1"/>
  <c r="AG841" i="1"/>
  <c r="AG842" i="1"/>
  <c r="AG843" i="1"/>
  <c r="AG844" i="1"/>
  <c r="AG845" i="1"/>
  <c r="AG846" i="1"/>
  <c r="AG847" i="1"/>
  <c r="AG848" i="1"/>
  <c r="AG849" i="1"/>
  <c r="AG850" i="1"/>
  <c r="AG851" i="1"/>
  <c r="AG852" i="1"/>
  <c r="AG853" i="1"/>
  <c r="AG854" i="1"/>
  <c r="AG855" i="1"/>
  <c r="AG856" i="1"/>
  <c r="AG857" i="1"/>
  <c r="AG858" i="1"/>
  <c r="AG859" i="1"/>
  <c r="AG860" i="1"/>
  <c r="AG861" i="1"/>
  <c r="AG862" i="1"/>
  <c r="AG863" i="1"/>
  <c r="AG864" i="1"/>
  <c r="AG865" i="1"/>
  <c r="AG866" i="1"/>
  <c r="AG867" i="1"/>
  <c r="AG868" i="1"/>
  <c r="AG869" i="1"/>
  <c r="AG870" i="1"/>
  <c r="AG871" i="1"/>
  <c r="AG872" i="1"/>
  <c r="AG873" i="1"/>
  <c r="AG874" i="1"/>
  <c r="AG875" i="1"/>
  <c r="AG876" i="1"/>
  <c r="AG877" i="1"/>
  <c r="AG878" i="1"/>
  <c r="AG879" i="1"/>
  <c r="AG880" i="1"/>
  <c r="AG881" i="1"/>
  <c r="AG882" i="1"/>
  <c r="AG883" i="1"/>
  <c r="AG884" i="1"/>
  <c r="AG885" i="1"/>
  <c r="AG886" i="1"/>
  <c r="AG887" i="1"/>
  <c r="AG888" i="1"/>
  <c r="AG889" i="1"/>
  <c r="AG890" i="1"/>
  <c r="AG891" i="1"/>
  <c r="AG892" i="1"/>
  <c r="AG893" i="1"/>
  <c r="AG894" i="1"/>
  <c r="AG895" i="1"/>
  <c r="AG896" i="1"/>
  <c r="AG897" i="1"/>
  <c r="AG898" i="1"/>
  <c r="AG899" i="1"/>
  <c r="AG900" i="1"/>
  <c r="AG901" i="1"/>
  <c r="AG902" i="1"/>
  <c r="AG903" i="1"/>
  <c r="AG904" i="1"/>
  <c r="AG905" i="1"/>
  <c r="AG906" i="1"/>
  <c r="AG907" i="1"/>
  <c r="AG908" i="1"/>
  <c r="AG909" i="1"/>
  <c r="AG910" i="1"/>
  <c r="AG911" i="1"/>
  <c r="AG912" i="1"/>
  <c r="AG913" i="1"/>
  <c r="AG914" i="1"/>
  <c r="AG915" i="1"/>
  <c r="AG916" i="1"/>
  <c r="AG917" i="1"/>
  <c r="AG918" i="1"/>
  <c r="AG919" i="1"/>
  <c r="AG920" i="1"/>
  <c r="AG921" i="1"/>
  <c r="AG922" i="1"/>
  <c r="AG923" i="1"/>
  <c r="AG924" i="1"/>
  <c r="AG925" i="1"/>
  <c r="AG926" i="1"/>
  <c r="AG927" i="1"/>
  <c r="AG928" i="1"/>
  <c r="AG929" i="1"/>
  <c r="AG930" i="1"/>
  <c r="AG931" i="1"/>
  <c r="AG932" i="1"/>
  <c r="AG933" i="1"/>
  <c r="AG934" i="1"/>
  <c r="AG935" i="1"/>
  <c r="AG936" i="1"/>
  <c r="AG937" i="1"/>
  <c r="AG938" i="1"/>
  <c r="AG939" i="1"/>
  <c r="AG940" i="1"/>
  <c r="AG941" i="1"/>
  <c r="AG942" i="1"/>
  <c r="AG943" i="1"/>
  <c r="AG944" i="1"/>
  <c r="AG945" i="1"/>
  <c r="AG946" i="1"/>
  <c r="AG947" i="1"/>
  <c r="AG948" i="1"/>
  <c r="AG949" i="1"/>
  <c r="AG950" i="1"/>
  <c r="AG951" i="1"/>
  <c r="AG952" i="1"/>
  <c r="AG953" i="1"/>
  <c r="AG954" i="1"/>
  <c r="AG955" i="1"/>
  <c r="AG956" i="1"/>
  <c r="AG957" i="1"/>
  <c r="AG958" i="1"/>
  <c r="AG959" i="1"/>
  <c r="AG960" i="1"/>
  <c r="AG961" i="1"/>
  <c r="AG962" i="1"/>
  <c r="AG963" i="1"/>
  <c r="AG964" i="1"/>
  <c r="AG965" i="1"/>
  <c r="AG966" i="1"/>
  <c r="AG967" i="1"/>
  <c r="AG968" i="1"/>
  <c r="AG969" i="1"/>
  <c r="AG970" i="1"/>
  <c r="AG971" i="1"/>
  <c r="AG972" i="1"/>
  <c r="AG973" i="1"/>
  <c r="AG974" i="1"/>
  <c r="AG975" i="1"/>
  <c r="AG976" i="1"/>
  <c r="AG977" i="1"/>
  <c r="AG978" i="1"/>
  <c r="AG979" i="1"/>
  <c r="AG980" i="1"/>
  <c r="AG981" i="1"/>
  <c r="AG982" i="1"/>
  <c r="AG983" i="1"/>
  <c r="AG984" i="1"/>
  <c r="AG985" i="1"/>
  <c r="AG986" i="1"/>
  <c r="AG987" i="1"/>
  <c r="AG988" i="1"/>
  <c r="AG989" i="1"/>
  <c r="AG990" i="1"/>
  <c r="AG991" i="1"/>
  <c r="AG992" i="1"/>
  <c r="AG993" i="1"/>
  <c r="AG994" i="1"/>
  <c r="AG995" i="1"/>
  <c r="AG996" i="1"/>
  <c r="AG997" i="1"/>
  <c r="AG998" i="1"/>
  <c r="AG999" i="1"/>
  <c r="AG1000" i="1"/>
  <c r="AI51" i="1"/>
  <c r="AI52" i="1"/>
  <c r="AI53" i="1"/>
  <c r="AI54" i="1"/>
  <c r="AI55"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84" i="1"/>
  <c r="AI85" i="1"/>
  <c r="AI86" i="1"/>
  <c r="AI87" i="1"/>
  <c r="AI88" i="1"/>
  <c r="AI89" i="1"/>
  <c r="AI90" i="1"/>
  <c r="AI91" i="1"/>
  <c r="AI92" i="1"/>
  <c r="AI93" i="1"/>
  <c r="AI94" i="1"/>
  <c r="AI95" i="1"/>
  <c r="AI96" i="1"/>
  <c r="AI97" i="1"/>
  <c r="AI98" i="1"/>
  <c r="AI99" i="1"/>
  <c r="AI100" i="1"/>
  <c r="AI101" i="1"/>
  <c r="AI102" i="1"/>
  <c r="AI103" i="1"/>
  <c r="AI104" i="1"/>
  <c r="AI105" i="1"/>
  <c r="AI106" i="1"/>
  <c r="AI107" i="1"/>
  <c r="AI108" i="1"/>
  <c r="AI109" i="1"/>
  <c r="AI110" i="1"/>
  <c r="AI111" i="1"/>
  <c r="AI112" i="1"/>
  <c r="AI113" i="1"/>
  <c r="AI114" i="1"/>
  <c r="AI115" i="1"/>
  <c r="AI116" i="1"/>
  <c r="AI117" i="1"/>
  <c r="AI118" i="1"/>
  <c r="AI119" i="1"/>
  <c r="AI120" i="1"/>
  <c r="AI121" i="1"/>
  <c r="AI122" i="1"/>
  <c r="AI123" i="1"/>
  <c r="AI124" i="1"/>
  <c r="AI125" i="1"/>
  <c r="AI126" i="1"/>
  <c r="AI127" i="1"/>
  <c r="AI128" i="1"/>
  <c r="AI129" i="1"/>
  <c r="AI130" i="1"/>
  <c r="AI131" i="1"/>
  <c r="AI132" i="1"/>
  <c r="AI133" i="1"/>
  <c r="AI134" i="1"/>
  <c r="AI135" i="1"/>
  <c r="AI136" i="1"/>
  <c r="AI137" i="1"/>
  <c r="AI138" i="1"/>
  <c r="AI139" i="1"/>
  <c r="AI140" i="1"/>
  <c r="AI141" i="1"/>
  <c r="AI142" i="1"/>
  <c r="AI143" i="1"/>
  <c r="AI144" i="1"/>
  <c r="AI145" i="1"/>
  <c r="AI146" i="1"/>
  <c r="AI147" i="1"/>
  <c r="AI148" i="1"/>
  <c r="AI149" i="1"/>
  <c r="AI150" i="1"/>
  <c r="AI151" i="1"/>
  <c r="AI152" i="1"/>
  <c r="AI153" i="1"/>
  <c r="AI154" i="1"/>
  <c r="AI155" i="1"/>
  <c r="AI156" i="1"/>
  <c r="AI157" i="1"/>
  <c r="AI158" i="1"/>
  <c r="AI159" i="1"/>
  <c r="AI160" i="1"/>
  <c r="AI161" i="1"/>
  <c r="AI162" i="1"/>
  <c r="AI163" i="1"/>
  <c r="AI164" i="1"/>
  <c r="AI165" i="1"/>
  <c r="AI166" i="1"/>
  <c r="AI167" i="1"/>
  <c r="AI168" i="1"/>
  <c r="AI169" i="1"/>
  <c r="AI170" i="1"/>
  <c r="AI171" i="1"/>
  <c r="AI172" i="1"/>
  <c r="AI173" i="1"/>
  <c r="AI174" i="1"/>
  <c r="AI175" i="1"/>
  <c r="AI176" i="1"/>
  <c r="AI177" i="1"/>
  <c r="AI178" i="1"/>
  <c r="AI179" i="1"/>
  <c r="AI180" i="1"/>
  <c r="AI181" i="1"/>
  <c r="AI182" i="1"/>
  <c r="AI183" i="1"/>
  <c r="AI184" i="1"/>
  <c r="AI185" i="1"/>
  <c r="AI186" i="1"/>
  <c r="AI187" i="1"/>
  <c r="AI188" i="1"/>
  <c r="AI189" i="1"/>
  <c r="AI190" i="1"/>
  <c r="AI191" i="1"/>
  <c r="AI192" i="1"/>
  <c r="AI193" i="1"/>
  <c r="AI194" i="1"/>
  <c r="AI195" i="1"/>
  <c r="AI196" i="1"/>
  <c r="AI197" i="1"/>
  <c r="AI198" i="1"/>
  <c r="AI199" i="1"/>
  <c r="AI200" i="1"/>
  <c r="AI201" i="1"/>
  <c r="AI202" i="1"/>
  <c r="AI203" i="1"/>
  <c r="AI204" i="1"/>
  <c r="AI205" i="1"/>
  <c r="AI206" i="1"/>
  <c r="AI207" i="1"/>
  <c r="AI208" i="1"/>
  <c r="AI209" i="1"/>
  <c r="AI210" i="1"/>
  <c r="AI211" i="1"/>
  <c r="AI212" i="1"/>
  <c r="AI213" i="1"/>
  <c r="AI214" i="1"/>
  <c r="AI215" i="1"/>
  <c r="AI216" i="1"/>
  <c r="AI217" i="1"/>
  <c r="AI218" i="1"/>
  <c r="AI219" i="1"/>
  <c r="AI220" i="1"/>
  <c r="AI221" i="1"/>
  <c r="AI222" i="1"/>
  <c r="AI223" i="1"/>
  <c r="AI224" i="1"/>
  <c r="AI225" i="1"/>
  <c r="AI226" i="1"/>
  <c r="AI227" i="1"/>
  <c r="AI228" i="1"/>
  <c r="AI229" i="1"/>
  <c r="AI230" i="1"/>
  <c r="AI231" i="1"/>
  <c r="AI232" i="1"/>
  <c r="AI233" i="1"/>
  <c r="AI234" i="1"/>
  <c r="AI235" i="1"/>
  <c r="AI236" i="1"/>
  <c r="AI237" i="1"/>
  <c r="AI238" i="1"/>
  <c r="AI239" i="1"/>
  <c r="AI240" i="1"/>
  <c r="AI241" i="1"/>
  <c r="AI242" i="1"/>
  <c r="AI243" i="1"/>
  <c r="AI244" i="1"/>
  <c r="AI245" i="1"/>
  <c r="AI246" i="1"/>
  <c r="AI247" i="1"/>
  <c r="AI248" i="1"/>
  <c r="AI249" i="1"/>
  <c r="AI250" i="1"/>
  <c r="AI251" i="1"/>
  <c r="AI252" i="1"/>
  <c r="AI253" i="1"/>
  <c r="AI254" i="1"/>
  <c r="AI255" i="1"/>
  <c r="AI256" i="1"/>
  <c r="AI257" i="1"/>
  <c r="AI258" i="1"/>
  <c r="AI259" i="1"/>
  <c r="AI260" i="1"/>
  <c r="AI261" i="1"/>
  <c r="AI262" i="1"/>
  <c r="AI263" i="1"/>
  <c r="AI264" i="1"/>
  <c r="AI265" i="1"/>
  <c r="AI266" i="1"/>
  <c r="AI267" i="1"/>
  <c r="AI268" i="1"/>
  <c r="AI269" i="1"/>
  <c r="AI270" i="1"/>
  <c r="AI271" i="1"/>
  <c r="AI272" i="1"/>
  <c r="AI273" i="1"/>
  <c r="AI274" i="1"/>
  <c r="AI275" i="1"/>
  <c r="AI276" i="1"/>
  <c r="AI277" i="1"/>
  <c r="AI278" i="1"/>
  <c r="AI279" i="1"/>
  <c r="AI280" i="1"/>
  <c r="AI281" i="1"/>
  <c r="AI282" i="1"/>
  <c r="AI283" i="1"/>
  <c r="AI284" i="1"/>
  <c r="AI285" i="1"/>
  <c r="AI286" i="1"/>
  <c r="AI287" i="1"/>
  <c r="AI288" i="1"/>
  <c r="AI289" i="1"/>
  <c r="AI290" i="1"/>
  <c r="AI291" i="1"/>
  <c r="AI292" i="1"/>
  <c r="AI293" i="1"/>
  <c r="AI294" i="1"/>
  <c r="AI295" i="1"/>
  <c r="AI296" i="1"/>
  <c r="AI297" i="1"/>
  <c r="AI298" i="1"/>
  <c r="AI299" i="1"/>
  <c r="AI300" i="1"/>
  <c r="AI301" i="1"/>
  <c r="AI302" i="1"/>
  <c r="AI303" i="1"/>
  <c r="AI304" i="1"/>
  <c r="AI305" i="1"/>
  <c r="AI306" i="1"/>
  <c r="AI307" i="1"/>
  <c r="AI308" i="1"/>
  <c r="AI309" i="1"/>
  <c r="AI310" i="1"/>
  <c r="AI311" i="1"/>
  <c r="AI312" i="1"/>
  <c r="AI313" i="1"/>
  <c r="AI314" i="1"/>
  <c r="AI315" i="1"/>
  <c r="AI316" i="1"/>
  <c r="AI317" i="1"/>
  <c r="AI318" i="1"/>
  <c r="AI319" i="1"/>
  <c r="AI320" i="1"/>
  <c r="AI321" i="1"/>
  <c r="AI322" i="1"/>
  <c r="AI323" i="1"/>
  <c r="AI324" i="1"/>
  <c r="AI325" i="1"/>
  <c r="AI326" i="1"/>
  <c r="AI327" i="1"/>
  <c r="AI328" i="1"/>
  <c r="AI329" i="1"/>
  <c r="AI330" i="1"/>
  <c r="AI331" i="1"/>
  <c r="AI332" i="1"/>
  <c r="AI333" i="1"/>
  <c r="AI334" i="1"/>
  <c r="AI335" i="1"/>
  <c r="AI336" i="1"/>
  <c r="AI337" i="1"/>
  <c r="AI338" i="1"/>
  <c r="AI339" i="1"/>
  <c r="AI340" i="1"/>
  <c r="AI341" i="1"/>
  <c r="AI342" i="1"/>
  <c r="AI343" i="1"/>
  <c r="AI344" i="1"/>
  <c r="AI345" i="1"/>
  <c r="AI346" i="1"/>
  <c r="AI347" i="1"/>
  <c r="AI348" i="1"/>
  <c r="AI349" i="1"/>
  <c r="AI350" i="1"/>
  <c r="AI351" i="1"/>
  <c r="AI352" i="1"/>
  <c r="AI353" i="1"/>
  <c r="AI354" i="1"/>
  <c r="AI355" i="1"/>
  <c r="AI356" i="1"/>
  <c r="AI357" i="1"/>
  <c r="AI358" i="1"/>
  <c r="AI359" i="1"/>
  <c r="AI360" i="1"/>
  <c r="AI361" i="1"/>
  <c r="AI362" i="1"/>
  <c r="AI363" i="1"/>
  <c r="AI364" i="1"/>
  <c r="AI365" i="1"/>
  <c r="AI366" i="1"/>
  <c r="AI367" i="1"/>
  <c r="AI368" i="1"/>
  <c r="AI369" i="1"/>
  <c r="AI370" i="1"/>
  <c r="AI371" i="1"/>
  <c r="AI372" i="1"/>
  <c r="AI373" i="1"/>
  <c r="AI374" i="1"/>
  <c r="AI375" i="1"/>
  <c r="AI376" i="1"/>
  <c r="AI377" i="1"/>
  <c r="AI378" i="1"/>
  <c r="AI379" i="1"/>
  <c r="AI380" i="1"/>
  <c r="AI381" i="1"/>
  <c r="AI382" i="1"/>
  <c r="AI383" i="1"/>
  <c r="AI384" i="1"/>
  <c r="AI385" i="1"/>
  <c r="AI386" i="1"/>
  <c r="AI387" i="1"/>
  <c r="AI388" i="1"/>
  <c r="AI389" i="1"/>
  <c r="AI390" i="1"/>
  <c r="AI391" i="1"/>
  <c r="AI392" i="1"/>
  <c r="AI393" i="1"/>
  <c r="AI394" i="1"/>
  <c r="AI395" i="1"/>
  <c r="AI396" i="1"/>
  <c r="AI397" i="1"/>
  <c r="AI398" i="1"/>
  <c r="AI399" i="1"/>
  <c r="AI400" i="1"/>
  <c r="AI401" i="1"/>
  <c r="AI402" i="1"/>
  <c r="AI403" i="1"/>
  <c r="AI404" i="1"/>
  <c r="AI405" i="1"/>
  <c r="AI406" i="1"/>
  <c r="AI407" i="1"/>
  <c r="AI408" i="1"/>
  <c r="AI409" i="1"/>
  <c r="AI410" i="1"/>
  <c r="AI411" i="1"/>
  <c r="AI412" i="1"/>
  <c r="AI413" i="1"/>
  <c r="AI414" i="1"/>
  <c r="AI415" i="1"/>
  <c r="AI416" i="1"/>
  <c r="AI417" i="1"/>
  <c r="AI418" i="1"/>
  <c r="AI419" i="1"/>
  <c r="AI420" i="1"/>
  <c r="AI421" i="1"/>
  <c r="AI422" i="1"/>
  <c r="AI423" i="1"/>
  <c r="AI424" i="1"/>
  <c r="AI425" i="1"/>
  <c r="AI426" i="1"/>
  <c r="AI427" i="1"/>
  <c r="AI428" i="1"/>
  <c r="AI429" i="1"/>
  <c r="AI430" i="1"/>
  <c r="AI431" i="1"/>
  <c r="AI432" i="1"/>
  <c r="AI433" i="1"/>
  <c r="AI434" i="1"/>
  <c r="AI435" i="1"/>
  <c r="AI436" i="1"/>
  <c r="AI437" i="1"/>
  <c r="AI438" i="1"/>
  <c r="AI439" i="1"/>
  <c r="AI440" i="1"/>
  <c r="AI441" i="1"/>
  <c r="AI442" i="1"/>
  <c r="AI443" i="1"/>
  <c r="AI444" i="1"/>
  <c r="AI445" i="1"/>
  <c r="AI446" i="1"/>
  <c r="AI447" i="1"/>
  <c r="AI448" i="1"/>
  <c r="AI449" i="1"/>
  <c r="AI450" i="1"/>
  <c r="AI451" i="1"/>
  <c r="AI452" i="1"/>
  <c r="AI453" i="1"/>
  <c r="AI454" i="1"/>
  <c r="AI455" i="1"/>
  <c r="AI456" i="1"/>
  <c r="AI457" i="1"/>
  <c r="AI458" i="1"/>
  <c r="AI459" i="1"/>
  <c r="AI460" i="1"/>
  <c r="AI461" i="1"/>
  <c r="AI462" i="1"/>
  <c r="AI463" i="1"/>
  <c r="AI464" i="1"/>
  <c r="AI465" i="1"/>
  <c r="AI466" i="1"/>
  <c r="AI467" i="1"/>
  <c r="AI468" i="1"/>
  <c r="AI469" i="1"/>
  <c r="AI470" i="1"/>
  <c r="AI471" i="1"/>
  <c r="AI472" i="1"/>
  <c r="AI473" i="1"/>
  <c r="AI474" i="1"/>
  <c r="AI475" i="1"/>
  <c r="AI476" i="1"/>
  <c r="AI477" i="1"/>
  <c r="AI478" i="1"/>
  <c r="AI479" i="1"/>
  <c r="AI480" i="1"/>
  <c r="AI481" i="1"/>
  <c r="AI482" i="1"/>
  <c r="AI483" i="1"/>
  <c r="AI484" i="1"/>
  <c r="AI485" i="1"/>
  <c r="AI486" i="1"/>
  <c r="AI487" i="1"/>
  <c r="AI488" i="1"/>
  <c r="AI489" i="1"/>
  <c r="AI490" i="1"/>
  <c r="AI491" i="1"/>
  <c r="AI492" i="1"/>
  <c r="AI493" i="1"/>
  <c r="AI494" i="1"/>
  <c r="AI495" i="1"/>
  <c r="AI496" i="1"/>
  <c r="AI497" i="1"/>
  <c r="AI498" i="1"/>
  <c r="AI499" i="1"/>
  <c r="AI500" i="1"/>
  <c r="AI501" i="1"/>
  <c r="AI502" i="1"/>
  <c r="AI503" i="1"/>
  <c r="AI504" i="1"/>
  <c r="AI505" i="1"/>
  <c r="AI506" i="1"/>
  <c r="AI507" i="1"/>
  <c r="AI508" i="1"/>
  <c r="AI509" i="1"/>
  <c r="AI510" i="1"/>
  <c r="AI511" i="1"/>
  <c r="AI512" i="1"/>
  <c r="AI513" i="1"/>
  <c r="AI514" i="1"/>
  <c r="AI515" i="1"/>
  <c r="AI516" i="1"/>
  <c r="AI517" i="1"/>
  <c r="AI518" i="1"/>
  <c r="AI519" i="1"/>
  <c r="AI520" i="1"/>
  <c r="AI521" i="1"/>
  <c r="AI522" i="1"/>
  <c r="AI523" i="1"/>
  <c r="AI524" i="1"/>
  <c r="AI525" i="1"/>
  <c r="AI526" i="1"/>
  <c r="AI527" i="1"/>
  <c r="AI528" i="1"/>
  <c r="AI529" i="1"/>
  <c r="AI530" i="1"/>
  <c r="AI531" i="1"/>
  <c r="AI532" i="1"/>
  <c r="AI533" i="1"/>
  <c r="AI534" i="1"/>
  <c r="AI535" i="1"/>
  <c r="AI536" i="1"/>
  <c r="AI537" i="1"/>
  <c r="AI538" i="1"/>
  <c r="AI539" i="1"/>
  <c r="AI540" i="1"/>
  <c r="AI541" i="1"/>
  <c r="AI542" i="1"/>
  <c r="AI543" i="1"/>
  <c r="AI544" i="1"/>
  <c r="AI545" i="1"/>
  <c r="AI546" i="1"/>
  <c r="AI547" i="1"/>
  <c r="AI548" i="1"/>
  <c r="AI549" i="1"/>
  <c r="AI550" i="1"/>
  <c r="AI551" i="1"/>
  <c r="AI552" i="1"/>
  <c r="AI553" i="1"/>
  <c r="AI554" i="1"/>
  <c r="AI555" i="1"/>
  <c r="AI556" i="1"/>
  <c r="AI557" i="1"/>
  <c r="AI558" i="1"/>
  <c r="AI559" i="1"/>
  <c r="AI560" i="1"/>
  <c r="AI561" i="1"/>
  <c r="AI562" i="1"/>
  <c r="AI563" i="1"/>
  <c r="AI564" i="1"/>
  <c r="AI565" i="1"/>
  <c r="AI566" i="1"/>
  <c r="AI567" i="1"/>
  <c r="AI568" i="1"/>
  <c r="AI569" i="1"/>
  <c r="AI570" i="1"/>
  <c r="AI571" i="1"/>
  <c r="AI572" i="1"/>
  <c r="AI573" i="1"/>
  <c r="AI574" i="1"/>
  <c r="AI575" i="1"/>
  <c r="AI576" i="1"/>
  <c r="AI577" i="1"/>
  <c r="AI578" i="1"/>
  <c r="AI579" i="1"/>
  <c r="AI580" i="1"/>
  <c r="AI581" i="1"/>
  <c r="AI582" i="1"/>
  <c r="AI583" i="1"/>
  <c r="AI584" i="1"/>
  <c r="AI585" i="1"/>
  <c r="AI586" i="1"/>
  <c r="AI587" i="1"/>
  <c r="AI588" i="1"/>
  <c r="AI589" i="1"/>
  <c r="AI590" i="1"/>
  <c r="AI591" i="1"/>
  <c r="AI592" i="1"/>
  <c r="AI593" i="1"/>
  <c r="AI594" i="1"/>
  <c r="AI595" i="1"/>
  <c r="AI596" i="1"/>
  <c r="AI597" i="1"/>
  <c r="AI598" i="1"/>
  <c r="AI599" i="1"/>
  <c r="AI600" i="1"/>
  <c r="AI601" i="1"/>
  <c r="AI602" i="1"/>
  <c r="AI603" i="1"/>
  <c r="AI604" i="1"/>
  <c r="AI605" i="1"/>
  <c r="AI606" i="1"/>
  <c r="AI607" i="1"/>
  <c r="AI608" i="1"/>
  <c r="AI609" i="1"/>
  <c r="AI610" i="1"/>
  <c r="AI611" i="1"/>
  <c r="AI612" i="1"/>
  <c r="AI613" i="1"/>
  <c r="AI614" i="1"/>
  <c r="AI615" i="1"/>
  <c r="AI616" i="1"/>
  <c r="AI617" i="1"/>
  <c r="AI618" i="1"/>
  <c r="AI619" i="1"/>
  <c r="AI620" i="1"/>
  <c r="AI621" i="1"/>
  <c r="AI622" i="1"/>
  <c r="AI623" i="1"/>
  <c r="AI624" i="1"/>
  <c r="AI625" i="1"/>
  <c r="AI626" i="1"/>
  <c r="AI627" i="1"/>
  <c r="AI628" i="1"/>
  <c r="AI629" i="1"/>
  <c r="AI630" i="1"/>
  <c r="AI631" i="1"/>
  <c r="AI632" i="1"/>
  <c r="AI633" i="1"/>
  <c r="AI634" i="1"/>
  <c r="AI635" i="1"/>
  <c r="AI636" i="1"/>
  <c r="AI637" i="1"/>
  <c r="AI638" i="1"/>
  <c r="AI639" i="1"/>
  <c r="AI640" i="1"/>
  <c r="AI641" i="1"/>
  <c r="AI642" i="1"/>
  <c r="AI643" i="1"/>
  <c r="AI644" i="1"/>
  <c r="AI645" i="1"/>
  <c r="AI646" i="1"/>
  <c r="AI647" i="1"/>
  <c r="AI648" i="1"/>
  <c r="AI649" i="1"/>
  <c r="AI650" i="1"/>
  <c r="AI651" i="1"/>
  <c r="AI652" i="1"/>
  <c r="AI653" i="1"/>
  <c r="AI654" i="1"/>
  <c r="AI655" i="1"/>
  <c r="AI656" i="1"/>
  <c r="AI657" i="1"/>
  <c r="AI658" i="1"/>
  <c r="AI659" i="1"/>
  <c r="AI660" i="1"/>
  <c r="AI661" i="1"/>
  <c r="AI662" i="1"/>
  <c r="AI663" i="1"/>
  <c r="AI664" i="1"/>
  <c r="AI665" i="1"/>
  <c r="AI666" i="1"/>
  <c r="AI667" i="1"/>
  <c r="AI668" i="1"/>
  <c r="AI669" i="1"/>
  <c r="AI670" i="1"/>
  <c r="AI671" i="1"/>
  <c r="AI672" i="1"/>
  <c r="AI673" i="1"/>
  <c r="AI674" i="1"/>
  <c r="AI675" i="1"/>
  <c r="AI676" i="1"/>
  <c r="AI677" i="1"/>
  <c r="AI678" i="1"/>
  <c r="AI679" i="1"/>
  <c r="AI680" i="1"/>
  <c r="AI681" i="1"/>
  <c r="AI682" i="1"/>
  <c r="AI683" i="1"/>
  <c r="AI684" i="1"/>
  <c r="AI685" i="1"/>
  <c r="AI686" i="1"/>
  <c r="AI687" i="1"/>
  <c r="AI688" i="1"/>
  <c r="AI689" i="1"/>
  <c r="AI690" i="1"/>
  <c r="AI691" i="1"/>
  <c r="AI692" i="1"/>
  <c r="AI693" i="1"/>
  <c r="AI694" i="1"/>
  <c r="AI695" i="1"/>
  <c r="AI696" i="1"/>
  <c r="AI697" i="1"/>
  <c r="AI698" i="1"/>
  <c r="AI699" i="1"/>
  <c r="AI700" i="1"/>
  <c r="AI701" i="1"/>
  <c r="AI702" i="1"/>
  <c r="AI703" i="1"/>
  <c r="AI704" i="1"/>
  <c r="AI705" i="1"/>
  <c r="AI706" i="1"/>
  <c r="AI707" i="1"/>
  <c r="AI708" i="1"/>
  <c r="AI709" i="1"/>
  <c r="AI710" i="1"/>
  <c r="AI711" i="1"/>
  <c r="AI712" i="1"/>
  <c r="AI713" i="1"/>
  <c r="AI714" i="1"/>
  <c r="AI715" i="1"/>
  <c r="AI716" i="1"/>
  <c r="AI717" i="1"/>
  <c r="AI718" i="1"/>
  <c r="AI719" i="1"/>
  <c r="AI720" i="1"/>
  <c r="AI721" i="1"/>
  <c r="AI722" i="1"/>
  <c r="AI723" i="1"/>
  <c r="AI724" i="1"/>
  <c r="AI725" i="1"/>
  <c r="AI726" i="1"/>
  <c r="AI727" i="1"/>
  <c r="AI728" i="1"/>
  <c r="AI729" i="1"/>
  <c r="AI730" i="1"/>
  <c r="AI731" i="1"/>
  <c r="AI732" i="1"/>
  <c r="AI733" i="1"/>
  <c r="AI734" i="1"/>
  <c r="AI735" i="1"/>
  <c r="AI736" i="1"/>
  <c r="AI737" i="1"/>
  <c r="AI738" i="1"/>
  <c r="AI739" i="1"/>
  <c r="AI740" i="1"/>
  <c r="AI741" i="1"/>
  <c r="AI742" i="1"/>
  <c r="AI743" i="1"/>
  <c r="AI744" i="1"/>
  <c r="AI745" i="1"/>
  <c r="AI746" i="1"/>
  <c r="AI747" i="1"/>
  <c r="AI748" i="1"/>
  <c r="AI749" i="1"/>
  <c r="AI750" i="1"/>
  <c r="AI751" i="1"/>
  <c r="AI752" i="1"/>
  <c r="AI753" i="1"/>
  <c r="AI754" i="1"/>
  <c r="AI755" i="1"/>
  <c r="AI756" i="1"/>
  <c r="AI757" i="1"/>
  <c r="AI758" i="1"/>
  <c r="AI759" i="1"/>
  <c r="AI760" i="1"/>
  <c r="AI761" i="1"/>
  <c r="AI762" i="1"/>
  <c r="AI763" i="1"/>
  <c r="AI764" i="1"/>
  <c r="AI765" i="1"/>
  <c r="AI766" i="1"/>
  <c r="AI767" i="1"/>
  <c r="AI768" i="1"/>
  <c r="AI769" i="1"/>
  <c r="AI770" i="1"/>
  <c r="AI771" i="1"/>
  <c r="AI772" i="1"/>
  <c r="AI773" i="1"/>
  <c r="AI774" i="1"/>
  <c r="AI775" i="1"/>
  <c r="AI776" i="1"/>
  <c r="AI777" i="1"/>
  <c r="AI778" i="1"/>
  <c r="AI779" i="1"/>
  <c r="AI780" i="1"/>
  <c r="AI781" i="1"/>
  <c r="AI782" i="1"/>
  <c r="AI783" i="1"/>
  <c r="AI784" i="1"/>
  <c r="AI785" i="1"/>
  <c r="AI786" i="1"/>
  <c r="AI787" i="1"/>
  <c r="AI788" i="1"/>
  <c r="AI789" i="1"/>
  <c r="AI790" i="1"/>
  <c r="AI791" i="1"/>
  <c r="AI792" i="1"/>
  <c r="AI793" i="1"/>
  <c r="AI794" i="1"/>
  <c r="AI795" i="1"/>
  <c r="AI796" i="1"/>
  <c r="AI797" i="1"/>
  <c r="AI798" i="1"/>
  <c r="AI799" i="1"/>
  <c r="AI800" i="1"/>
  <c r="AI801" i="1"/>
  <c r="AI802" i="1"/>
  <c r="AI803" i="1"/>
  <c r="AI804" i="1"/>
  <c r="AI805" i="1"/>
  <c r="AI806" i="1"/>
  <c r="AI807" i="1"/>
  <c r="AI808" i="1"/>
  <c r="AI809" i="1"/>
  <c r="AI810" i="1"/>
  <c r="AI811" i="1"/>
  <c r="AI812" i="1"/>
  <c r="AI813" i="1"/>
  <c r="AI814" i="1"/>
  <c r="AI815" i="1"/>
  <c r="AI816" i="1"/>
  <c r="AI817" i="1"/>
  <c r="AI818" i="1"/>
  <c r="AI819" i="1"/>
  <c r="AI820" i="1"/>
  <c r="AI821" i="1"/>
  <c r="AI822" i="1"/>
  <c r="AI823" i="1"/>
  <c r="AI824" i="1"/>
  <c r="AI825" i="1"/>
  <c r="AI826" i="1"/>
  <c r="AI827" i="1"/>
  <c r="AI828" i="1"/>
  <c r="AI829" i="1"/>
  <c r="AI830" i="1"/>
  <c r="AI831" i="1"/>
  <c r="AI832" i="1"/>
  <c r="AI833" i="1"/>
  <c r="AI834" i="1"/>
  <c r="AI835" i="1"/>
  <c r="AI836" i="1"/>
  <c r="AI837" i="1"/>
  <c r="AI838" i="1"/>
  <c r="AI839" i="1"/>
  <c r="AI840" i="1"/>
  <c r="AI841" i="1"/>
  <c r="AI842" i="1"/>
  <c r="AI843" i="1"/>
  <c r="AI844" i="1"/>
  <c r="AI845" i="1"/>
  <c r="AI846" i="1"/>
  <c r="AI847" i="1"/>
  <c r="AI848" i="1"/>
  <c r="AI849" i="1"/>
  <c r="AI850" i="1"/>
  <c r="AI851" i="1"/>
  <c r="AI852" i="1"/>
  <c r="AI853" i="1"/>
  <c r="AI854" i="1"/>
  <c r="AI855" i="1"/>
  <c r="AI856" i="1"/>
  <c r="AI857" i="1"/>
  <c r="AI858" i="1"/>
  <c r="AI859" i="1"/>
  <c r="AI860" i="1"/>
  <c r="AI861" i="1"/>
  <c r="AI862" i="1"/>
  <c r="AI863" i="1"/>
  <c r="AI864" i="1"/>
  <c r="AI865" i="1"/>
  <c r="AI866" i="1"/>
  <c r="AI867" i="1"/>
  <c r="AI868" i="1"/>
  <c r="AI869" i="1"/>
  <c r="AI870" i="1"/>
  <c r="AI871" i="1"/>
  <c r="AI872" i="1"/>
  <c r="AI873" i="1"/>
  <c r="AI874" i="1"/>
  <c r="AI875" i="1"/>
  <c r="AI876" i="1"/>
  <c r="AI877" i="1"/>
  <c r="AI878" i="1"/>
  <c r="AI879" i="1"/>
  <c r="AI880" i="1"/>
  <c r="AI881" i="1"/>
  <c r="AI882" i="1"/>
  <c r="AI883" i="1"/>
  <c r="AI884" i="1"/>
  <c r="AI885" i="1"/>
  <c r="AI886" i="1"/>
  <c r="AI887" i="1"/>
  <c r="AI888" i="1"/>
  <c r="AI889" i="1"/>
  <c r="AI890" i="1"/>
  <c r="AI891" i="1"/>
  <c r="AI892" i="1"/>
  <c r="AI893" i="1"/>
  <c r="AI894" i="1"/>
  <c r="AI895" i="1"/>
  <c r="AI896" i="1"/>
  <c r="AI897" i="1"/>
  <c r="AI898" i="1"/>
  <c r="AI899" i="1"/>
  <c r="AI900" i="1"/>
  <c r="AI901" i="1"/>
  <c r="AI902" i="1"/>
  <c r="AI903" i="1"/>
  <c r="AI904" i="1"/>
  <c r="AI905" i="1"/>
  <c r="AI906" i="1"/>
  <c r="AI907" i="1"/>
  <c r="AI908" i="1"/>
  <c r="AI909" i="1"/>
  <c r="AI910" i="1"/>
  <c r="AI911" i="1"/>
  <c r="AI912" i="1"/>
  <c r="AI913" i="1"/>
  <c r="AI914" i="1"/>
  <c r="AI915" i="1"/>
  <c r="AI916" i="1"/>
  <c r="AI917" i="1"/>
  <c r="AI918" i="1"/>
  <c r="AI919" i="1"/>
  <c r="AI920" i="1"/>
  <c r="AI921" i="1"/>
  <c r="AI922" i="1"/>
  <c r="AI923" i="1"/>
  <c r="AI924" i="1"/>
  <c r="AI925" i="1"/>
  <c r="AI926" i="1"/>
  <c r="AI927" i="1"/>
  <c r="AI928" i="1"/>
  <c r="AI929" i="1"/>
  <c r="AI930" i="1"/>
  <c r="AI931" i="1"/>
  <c r="AI932" i="1"/>
  <c r="AI933" i="1"/>
  <c r="AI934" i="1"/>
  <c r="AI935" i="1"/>
  <c r="AI936" i="1"/>
  <c r="AI937" i="1"/>
  <c r="AI938" i="1"/>
  <c r="AI939" i="1"/>
  <c r="AI940" i="1"/>
  <c r="AI941" i="1"/>
  <c r="AI942" i="1"/>
  <c r="AI943" i="1"/>
  <c r="AI944" i="1"/>
  <c r="AI945" i="1"/>
  <c r="AI946" i="1"/>
  <c r="AI947" i="1"/>
  <c r="AI948" i="1"/>
  <c r="AI949" i="1"/>
  <c r="AI950" i="1"/>
  <c r="AI951" i="1"/>
  <c r="AI952" i="1"/>
  <c r="AI953" i="1"/>
  <c r="AI954" i="1"/>
  <c r="AI955" i="1"/>
  <c r="AI956" i="1"/>
  <c r="AI957" i="1"/>
  <c r="AI958" i="1"/>
  <c r="AI959" i="1"/>
  <c r="AI960" i="1"/>
  <c r="AI961" i="1"/>
  <c r="AI962" i="1"/>
  <c r="AI963" i="1"/>
  <c r="AI964" i="1"/>
  <c r="AI965" i="1"/>
  <c r="AI966" i="1"/>
  <c r="AI967" i="1"/>
  <c r="AI968" i="1"/>
  <c r="AI969" i="1"/>
  <c r="AI970" i="1"/>
  <c r="AI971" i="1"/>
  <c r="AI972" i="1"/>
  <c r="AI973" i="1"/>
  <c r="AI974" i="1"/>
  <c r="AI975" i="1"/>
  <c r="AI976" i="1"/>
  <c r="AI977" i="1"/>
  <c r="AI978" i="1"/>
  <c r="AI979" i="1"/>
  <c r="AI980" i="1"/>
  <c r="AI981" i="1"/>
  <c r="AI982" i="1"/>
  <c r="AI983" i="1"/>
  <c r="AI984" i="1"/>
  <c r="AI985" i="1"/>
  <c r="AI986" i="1"/>
  <c r="AI987" i="1"/>
  <c r="AI988" i="1"/>
  <c r="AI989" i="1"/>
  <c r="AI990" i="1"/>
  <c r="AI991" i="1"/>
  <c r="AI992" i="1"/>
  <c r="AI993" i="1"/>
  <c r="AI994" i="1"/>
  <c r="AI995" i="1"/>
  <c r="AI996" i="1"/>
  <c r="AI997" i="1"/>
  <c r="AI998" i="1"/>
  <c r="AI999" i="1"/>
  <c r="AI1000" i="1"/>
  <c r="AH358" i="1"/>
  <c r="AH817" i="1"/>
  <c r="AH881" i="1"/>
  <c r="AH593" i="1"/>
  <c r="AH903" i="1"/>
  <c r="AH732" i="1"/>
  <c r="AH444" i="1"/>
  <c r="AH753" i="1"/>
  <c r="AH486" i="1"/>
  <c r="AH274" i="1"/>
  <c r="AH380" i="1"/>
  <c r="AH860" i="1"/>
  <c r="AH988" i="1"/>
  <c r="AH676" i="1"/>
  <c r="AH967" i="1"/>
  <c r="AH839" i="1"/>
  <c r="AH775" i="1"/>
  <c r="AH796" i="1"/>
  <c r="AH644" i="1"/>
  <c r="AH422" i="1"/>
  <c r="AH508" i="1"/>
  <c r="AH502" i="1"/>
  <c r="AH708" i="1"/>
  <c r="AH336" i="1"/>
  <c r="AH945" i="1"/>
  <c r="AH401" i="1"/>
  <c r="AH924" i="1"/>
  <c r="AH465" i="1"/>
  <c r="AH998" i="1"/>
  <c r="AH994" i="1"/>
  <c r="AH990" i="1"/>
  <c r="AH986" i="1"/>
  <c r="AH750" i="1"/>
  <c r="AH746" i="1"/>
  <c r="AH742" i="1"/>
  <c r="AH738" i="1"/>
  <c r="AH550" i="1"/>
  <c r="AH625" i="1"/>
  <c r="AH498" i="1"/>
  <c r="AH494" i="1"/>
  <c r="AH490" i="1"/>
  <c r="AH470" i="1"/>
  <c r="AH454" i="1"/>
  <c r="AH438" i="1"/>
  <c r="AH406" i="1"/>
  <c r="AH390" i="1"/>
  <c r="AH374" i="1"/>
  <c r="AH342" i="1"/>
  <c r="AH322" i="1"/>
  <c r="AH306" i="1"/>
  <c r="AH290" i="1"/>
  <c r="AH258" i="1"/>
  <c r="AH970" i="1"/>
  <c r="AH954" i="1"/>
  <c r="AH938" i="1"/>
  <c r="AH922" i="1"/>
  <c r="AH906" i="1"/>
  <c r="AH890" i="1"/>
  <c r="AH874" i="1"/>
  <c r="AH858" i="1"/>
  <c r="AH842" i="1"/>
  <c r="AH826" i="1"/>
  <c r="AH814" i="1"/>
  <c r="AH798" i="1"/>
  <c r="AH782" i="1"/>
  <c r="AH766" i="1"/>
  <c r="AH730" i="1"/>
  <c r="AH714" i="1"/>
  <c r="AH702" i="1"/>
  <c r="AH690" i="1"/>
  <c r="AH678" i="1"/>
  <c r="AH662" i="1"/>
  <c r="AH650" i="1"/>
  <c r="AH638" i="1"/>
  <c r="AH626" i="1"/>
  <c r="AH614" i="1"/>
  <c r="AH602" i="1"/>
  <c r="AH590" i="1"/>
  <c r="AH574" i="1"/>
  <c r="AH566" i="1"/>
  <c r="AH554" i="1"/>
  <c r="AH538" i="1"/>
  <c r="AH518" i="1"/>
  <c r="AH982" i="1"/>
  <c r="AH966" i="1"/>
  <c r="AH950" i="1"/>
  <c r="AH934" i="1"/>
  <c r="AH918" i="1"/>
  <c r="AH902" i="1"/>
  <c r="AH886" i="1"/>
  <c r="AH870" i="1"/>
  <c r="AH854" i="1"/>
  <c r="AH838" i="1"/>
  <c r="AH822" i="1"/>
  <c r="AH806" i="1"/>
  <c r="AH790" i="1"/>
  <c r="AH774" i="1"/>
  <c r="AH734" i="1"/>
  <c r="AH718" i="1"/>
  <c r="AH706" i="1"/>
  <c r="AH694" i="1"/>
  <c r="AH682" i="1"/>
  <c r="AH670" i="1"/>
  <c r="AH658" i="1"/>
  <c r="AH642" i="1"/>
  <c r="AH630" i="1"/>
  <c r="AH618" i="1"/>
  <c r="AH606" i="1"/>
  <c r="AH594" i="1"/>
  <c r="AH582" i="1"/>
  <c r="AH570" i="1"/>
  <c r="AH558" i="1"/>
  <c r="AH542" i="1"/>
  <c r="AH530" i="1"/>
  <c r="AH978" i="1"/>
  <c r="AH962" i="1"/>
  <c r="AH946" i="1"/>
  <c r="AH930" i="1"/>
  <c r="AH914" i="1"/>
  <c r="AH898" i="1"/>
  <c r="AH882" i="1"/>
  <c r="AH866" i="1"/>
  <c r="AH850" i="1"/>
  <c r="AH834" i="1"/>
  <c r="AH818" i="1"/>
  <c r="AH802" i="1"/>
  <c r="AH786" i="1"/>
  <c r="AH770" i="1"/>
  <c r="AH758" i="1"/>
  <c r="AH754" i="1"/>
  <c r="AH755" i="1"/>
  <c r="AH760" i="1"/>
  <c r="AH765" i="1"/>
  <c r="AH771" i="1"/>
  <c r="AH776" i="1"/>
  <c r="AH781" i="1"/>
  <c r="AH787" i="1"/>
  <c r="AH792" i="1"/>
  <c r="AH797" i="1"/>
  <c r="AH803" i="1"/>
  <c r="AH808" i="1"/>
  <c r="AH813" i="1"/>
  <c r="AH819" i="1"/>
  <c r="AH824" i="1"/>
  <c r="AH829" i="1"/>
  <c r="AH835" i="1"/>
  <c r="AH840" i="1"/>
  <c r="AH845" i="1"/>
  <c r="AH851" i="1"/>
  <c r="AH856" i="1"/>
  <c r="AH861" i="1"/>
  <c r="AH867" i="1"/>
  <c r="AH872" i="1"/>
  <c r="AH877" i="1"/>
  <c r="AH883" i="1"/>
  <c r="AH888" i="1"/>
  <c r="AH893" i="1"/>
  <c r="AH899" i="1"/>
  <c r="AH904" i="1"/>
  <c r="AH909" i="1"/>
  <c r="AH915" i="1"/>
  <c r="AH920" i="1"/>
  <c r="AH925" i="1"/>
  <c r="AH931" i="1"/>
  <c r="AH936" i="1"/>
  <c r="AH941" i="1"/>
  <c r="AH947" i="1"/>
  <c r="AH952" i="1"/>
  <c r="AH957" i="1"/>
  <c r="AH963" i="1"/>
  <c r="AH968" i="1"/>
  <c r="AH973" i="1"/>
  <c r="AH979" i="1"/>
  <c r="AH984" i="1"/>
  <c r="AH989" i="1"/>
  <c r="AH995" i="1"/>
  <c r="AH1000" i="1"/>
  <c r="AH987" i="1"/>
  <c r="AH756" i="1"/>
  <c r="AH761" i="1"/>
  <c r="AH767" i="1"/>
  <c r="AH772" i="1"/>
  <c r="AH777" i="1"/>
  <c r="AH783" i="1"/>
  <c r="AH788" i="1"/>
  <c r="AH793" i="1"/>
  <c r="AH799" i="1"/>
  <c r="AH804" i="1"/>
  <c r="AH809" i="1"/>
  <c r="AH815" i="1"/>
  <c r="AH820" i="1"/>
  <c r="AH825" i="1"/>
  <c r="AH831" i="1"/>
  <c r="AH836" i="1"/>
  <c r="AH841" i="1"/>
  <c r="AH847" i="1"/>
  <c r="AH852" i="1"/>
  <c r="AH857" i="1"/>
  <c r="AH863" i="1"/>
  <c r="AH868" i="1"/>
  <c r="AH873" i="1"/>
  <c r="AH879" i="1"/>
  <c r="AH884" i="1"/>
  <c r="AH889" i="1"/>
  <c r="AH895" i="1"/>
  <c r="AH900" i="1"/>
  <c r="AH905" i="1"/>
  <c r="AH911" i="1"/>
  <c r="AH916" i="1"/>
  <c r="AH921" i="1"/>
  <c r="AH927" i="1"/>
  <c r="AH932" i="1"/>
  <c r="AH937" i="1"/>
  <c r="AH943" i="1"/>
  <c r="AH948" i="1"/>
  <c r="AH953" i="1"/>
  <c r="AH959" i="1"/>
  <c r="AH964" i="1"/>
  <c r="AH969" i="1"/>
  <c r="AH975" i="1"/>
  <c r="AH980" i="1"/>
  <c r="AH985" i="1"/>
  <c r="AH991" i="1"/>
  <c r="AH996" i="1"/>
  <c r="AH992" i="1"/>
  <c r="AH757" i="1"/>
  <c r="AH763" i="1"/>
  <c r="AH768" i="1"/>
  <c r="AH773" i="1"/>
  <c r="AH779" i="1"/>
  <c r="AH784" i="1"/>
  <c r="AH789" i="1"/>
  <c r="AH795" i="1"/>
  <c r="AH800" i="1"/>
  <c r="AH805" i="1"/>
  <c r="AH811" i="1"/>
  <c r="AH816" i="1"/>
  <c r="AH821" i="1"/>
  <c r="AH827" i="1"/>
  <c r="AH832" i="1"/>
  <c r="AH837" i="1"/>
  <c r="AH843" i="1"/>
  <c r="AH848" i="1"/>
  <c r="AH853" i="1"/>
  <c r="AH859" i="1"/>
  <c r="AH864" i="1"/>
  <c r="AH869" i="1"/>
  <c r="AH875" i="1"/>
  <c r="AH880" i="1"/>
  <c r="AH885" i="1"/>
  <c r="AH891" i="1"/>
  <c r="AH896" i="1"/>
  <c r="AH901" i="1"/>
  <c r="AH907" i="1"/>
  <c r="AH912" i="1"/>
  <c r="AH917" i="1"/>
  <c r="AH923" i="1"/>
  <c r="AH928" i="1"/>
  <c r="AH933" i="1"/>
  <c r="AH939" i="1"/>
  <c r="AH944" i="1"/>
  <c r="AH949" i="1"/>
  <c r="AH955" i="1"/>
  <c r="AH960" i="1"/>
  <c r="AH965" i="1"/>
  <c r="AH971" i="1"/>
  <c r="AH976" i="1"/>
  <c r="AH981" i="1"/>
  <c r="AH997" i="1"/>
  <c r="AH726" i="1"/>
  <c r="AH961" i="1"/>
  <c r="AH919" i="1"/>
  <c r="AH876" i="1"/>
  <c r="AH833" i="1"/>
  <c r="AH791" i="1"/>
  <c r="AH748" i="1"/>
  <c r="AH700" i="1"/>
  <c r="AH636" i="1"/>
  <c r="AH572" i="1"/>
  <c r="AH977" i="1"/>
  <c r="AH956" i="1"/>
  <c r="AH935" i="1"/>
  <c r="AH913" i="1"/>
  <c r="AH892" i="1"/>
  <c r="AH871" i="1"/>
  <c r="AH849" i="1"/>
  <c r="AH828" i="1"/>
  <c r="AH807" i="1"/>
  <c r="AH785" i="1"/>
  <c r="AH764" i="1"/>
  <c r="AH743" i="1"/>
  <c r="AH721" i="1"/>
  <c r="AH692" i="1"/>
  <c r="AH660" i="1"/>
  <c r="AH974" i="1"/>
  <c r="AH958" i="1"/>
  <c r="AH942" i="1"/>
  <c r="AH926" i="1"/>
  <c r="AH910" i="1"/>
  <c r="AH894" i="1"/>
  <c r="AH878" i="1"/>
  <c r="AH862" i="1"/>
  <c r="AH846" i="1"/>
  <c r="AH830" i="1"/>
  <c r="AH810" i="1"/>
  <c r="AH794" i="1"/>
  <c r="AH778" i="1"/>
  <c r="AH762" i="1"/>
  <c r="AH722" i="1"/>
  <c r="AH710" i="1"/>
  <c r="AH698" i="1"/>
  <c r="AH686" i="1"/>
  <c r="AH674" i="1"/>
  <c r="AH666" i="1"/>
  <c r="AH654" i="1"/>
  <c r="AH646" i="1"/>
  <c r="AH634" i="1"/>
  <c r="AH622" i="1"/>
  <c r="AH610" i="1"/>
  <c r="AH598" i="1"/>
  <c r="AH586" i="1"/>
  <c r="AH578" i="1"/>
  <c r="AH562" i="1"/>
  <c r="AH546" i="1"/>
  <c r="AH534" i="1"/>
  <c r="AH526" i="1"/>
  <c r="AH524" i="1"/>
  <c r="AH983" i="1"/>
  <c r="AH940" i="1"/>
  <c r="AH897" i="1"/>
  <c r="AH855" i="1"/>
  <c r="AH812" i="1"/>
  <c r="AH769" i="1"/>
  <c r="AH727" i="1"/>
  <c r="AH668" i="1"/>
  <c r="AH999" i="1"/>
  <c r="AH993" i="1"/>
  <c r="AH972" i="1"/>
  <c r="AH951" i="1"/>
  <c r="AH929" i="1"/>
  <c r="AH908" i="1"/>
  <c r="AH887" i="1"/>
  <c r="AH865" i="1"/>
  <c r="AH844" i="1"/>
  <c r="AH823" i="1"/>
  <c r="AH801" i="1"/>
  <c r="AH780" i="1"/>
  <c r="AH759" i="1"/>
  <c r="AH737" i="1"/>
  <c r="AH716" i="1"/>
  <c r="AH684" i="1"/>
  <c r="AH652" i="1"/>
  <c r="AH609" i="1"/>
  <c r="AH529" i="1"/>
  <c r="AH474" i="1"/>
  <c r="AH450" i="1"/>
  <c r="AH446" i="1"/>
  <c r="AH442" i="1"/>
  <c r="AH434" i="1"/>
  <c r="AH430" i="1"/>
  <c r="AH426" i="1"/>
  <c r="AH418" i="1"/>
  <c r="AH414" i="1"/>
  <c r="AH410" i="1"/>
  <c r="AH402" i="1"/>
  <c r="AH398" i="1"/>
  <c r="AH394" i="1"/>
  <c r="AH386" i="1"/>
  <c r="AH382" i="1"/>
  <c r="AH378" i="1"/>
  <c r="AH370" i="1"/>
  <c r="AH366" i="1"/>
  <c r="AH362" i="1"/>
  <c r="AH354" i="1"/>
  <c r="AH350" i="1"/>
  <c r="AH346" i="1"/>
  <c r="AH338" i="1"/>
  <c r="AH334" i="1"/>
  <c r="AH330" i="1"/>
  <c r="AH326" i="1"/>
  <c r="AH318" i="1"/>
  <c r="AH314" i="1"/>
  <c r="AH310" i="1"/>
  <c r="AH302" i="1"/>
  <c r="AH298" i="1"/>
  <c r="AH294" i="1"/>
  <c r="AH286" i="1"/>
  <c r="AH282" i="1"/>
  <c r="AH278" i="1"/>
  <c r="AH270" i="1"/>
  <c r="AH266" i="1"/>
  <c r="AH262" i="1"/>
  <c r="AH264" i="1"/>
  <c r="AH268" i="1"/>
  <c r="AH272" i="1"/>
  <c r="AH276" i="1"/>
  <c r="AH280" i="1"/>
  <c r="AH284" i="1"/>
  <c r="AH288" i="1"/>
  <c r="AH292" i="1"/>
  <c r="AH296" i="1"/>
  <c r="AH300" i="1"/>
  <c r="AH304" i="1"/>
  <c r="AH308" i="1"/>
  <c r="AH312" i="1"/>
  <c r="AH316" i="1"/>
  <c r="AH320" i="1"/>
  <c r="AH324" i="1"/>
  <c r="AH328" i="1"/>
  <c r="AH332" i="1"/>
  <c r="AH253" i="1"/>
  <c r="AH257" i="1"/>
  <c r="AH261" i="1"/>
  <c r="AH265" i="1"/>
  <c r="AH269" i="1"/>
  <c r="AH273" i="1"/>
  <c r="AH277" i="1"/>
  <c r="AH281" i="1"/>
  <c r="AH285" i="1"/>
  <c r="AH289" i="1"/>
  <c r="AH293" i="1"/>
  <c r="AH297" i="1"/>
  <c r="AH301" i="1"/>
  <c r="AH305" i="1"/>
  <c r="AH309" i="1"/>
  <c r="AH313" i="1"/>
  <c r="AH317" i="1"/>
  <c r="AH321" i="1"/>
  <c r="AH325" i="1"/>
  <c r="AH329" i="1"/>
  <c r="AH333" i="1"/>
  <c r="AH337" i="1"/>
  <c r="AH344" i="1"/>
  <c r="AH349" i="1"/>
  <c r="AH360" i="1"/>
  <c r="AH365" i="1"/>
  <c r="AH376" i="1"/>
  <c r="AH381" i="1"/>
  <c r="AH392" i="1"/>
  <c r="AH397" i="1"/>
  <c r="AH408" i="1"/>
  <c r="AH413" i="1"/>
  <c r="AH424" i="1"/>
  <c r="AH429" i="1"/>
  <c r="AH440" i="1"/>
  <c r="AH445" i="1"/>
  <c r="AH456" i="1"/>
  <c r="AH461" i="1"/>
  <c r="AH472" i="1"/>
  <c r="AH477" i="1"/>
  <c r="AH488" i="1"/>
  <c r="AH493" i="1"/>
  <c r="AH340" i="1"/>
  <c r="AH345" i="1"/>
  <c r="AH356" i="1"/>
  <c r="AH361" i="1"/>
  <c r="AH372" i="1"/>
  <c r="AH377" i="1"/>
  <c r="AH388" i="1"/>
  <c r="AH393" i="1"/>
  <c r="AH404" i="1"/>
  <c r="AH409" i="1"/>
  <c r="AH420" i="1"/>
  <c r="AH425" i="1"/>
  <c r="AH436" i="1"/>
  <c r="AH441" i="1"/>
  <c r="AH452" i="1"/>
  <c r="AH457" i="1"/>
  <c r="AH468" i="1"/>
  <c r="AH473" i="1"/>
  <c r="AH484" i="1"/>
  <c r="AH489" i="1"/>
  <c r="AH500" i="1"/>
  <c r="AH254" i="1"/>
  <c r="AH341" i="1"/>
  <c r="AH352" i="1"/>
  <c r="AH357" i="1"/>
  <c r="AH368" i="1"/>
  <c r="AH373" i="1"/>
  <c r="AH384" i="1"/>
  <c r="AH389" i="1"/>
  <c r="AH400" i="1"/>
  <c r="AH405" i="1"/>
  <c r="AH416" i="1"/>
  <c r="AH421" i="1"/>
  <c r="AH432" i="1"/>
  <c r="AH437" i="1"/>
  <c r="AH448" i="1"/>
  <c r="AH453" i="1"/>
  <c r="AH464" i="1"/>
  <c r="AH469" i="1"/>
  <c r="AH480" i="1"/>
  <c r="AH485" i="1"/>
  <c r="AH496" i="1"/>
  <c r="AH501" i="1"/>
  <c r="AH466" i="1"/>
  <c r="AH752" i="1"/>
  <c r="AH747" i="1"/>
  <c r="AH741" i="1"/>
  <c r="AH736" i="1"/>
  <c r="AH731" i="1"/>
  <c r="AH725" i="1"/>
  <c r="AH720" i="1"/>
  <c r="AH713" i="1"/>
  <c r="AH705" i="1"/>
  <c r="AH697" i="1"/>
  <c r="AH689" i="1"/>
  <c r="AH681" i="1"/>
  <c r="AH673" i="1"/>
  <c r="AH665" i="1"/>
  <c r="AH657" i="1"/>
  <c r="AH649" i="1"/>
  <c r="AH641" i="1"/>
  <c r="AH633" i="1"/>
  <c r="AH621" i="1"/>
  <c r="AH605" i="1"/>
  <c r="AH588" i="1"/>
  <c r="AH545" i="1"/>
  <c r="AH481" i="1"/>
  <c r="AH460" i="1"/>
  <c r="AH417" i="1"/>
  <c r="AH396" i="1"/>
  <c r="AH353" i="1"/>
  <c r="AH522" i="1"/>
  <c r="AH514" i="1"/>
  <c r="AH510" i="1"/>
  <c r="AH547" i="1"/>
  <c r="AH551" i="1"/>
  <c r="AH555" i="1"/>
  <c r="AH559" i="1"/>
  <c r="AH563" i="1"/>
  <c r="AH567" i="1"/>
  <c r="AH571" i="1"/>
  <c r="AH575" i="1"/>
  <c r="AH579" i="1"/>
  <c r="AH583" i="1"/>
  <c r="AH587" i="1"/>
  <c r="AH591" i="1"/>
  <c r="AH504" i="1"/>
  <c r="AH509" i="1"/>
  <c r="AH520" i="1"/>
  <c r="AH525" i="1"/>
  <c r="AH536" i="1"/>
  <c r="AH541" i="1"/>
  <c r="AH552" i="1"/>
  <c r="AH557" i="1"/>
  <c r="AH568" i="1"/>
  <c r="AH573" i="1"/>
  <c r="AH584" i="1"/>
  <c r="AH589" i="1"/>
  <c r="AH599" i="1"/>
  <c r="AH607" i="1"/>
  <c r="AH615" i="1"/>
  <c r="AH623" i="1"/>
  <c r="AH631" i="1"/>
  <c r="AH639" i="1"/>
  <c r="AH647" i="1"/>
  <c r="AH655" i="1"/>
  <c r="AH663" i="1"/>
  <c r="AH671" i="1"/>
  <c r="AH679" i="1"/>
  <c r="AH687" i="1"/>
  <c r="AH695" i="1"/>
  <c r="AH703" i="1"/>
  <c r="AH711" i="1"/>
  <c r="AH505" i="1"/>
  <c r="AH516" i="1"/>
  <c r="AH521" i="1"/>
  <c r="AH532" i="1"/>
  <c r="AH537" i="1"/>
  <c r="AH548" i="1"/>
  <c r="AH553" i="1"/>
  <c r="AH564" i="1"/>
  <c r="AH569" i="1"/>
  <c r="AH580" i="1"/>
  <c r="AH585" i="1"/>
  <c r="AH595" i="1"/>
  <c r="AH603" i="1"/>
  <c r="AH611" i="1"/>
  <c r="AH619" i="1"/>
  <c r="AH627" i="1"/>
  <c r="AH635" i="1"/>
  <c r="AH643" i="1"/>
  <c r="AH651" i="1"/>
  <c r="AH659" i="1"/>
  <c r="AH667" i="1"/>
  <c r="AH675" i="1"/>
  <c r="AH683" i="1"/>
  <c r="AH691" i="1"/>
  <c r="AH699" i="1"/>
  <c r="AH707" i="1"/>
  <c r="AH715" i="1"/>
  <c r="AH506" i="1"/>
  <c r="AH512" i="1"/>
  <c r="AH517" i="1"/>
  <c r="AH528" i="1"/>
  <c r="AH533" i="1"/>
  <c r="AH544" i="1"/>
  <c r="AH549" i="1"/>
  <c r="AH560" i="1"/>
  <c r="AH565" i="1"/>
  <c r="AH576" i="1"/>
  <c r="AH581" i="1"/>
  <c r="AH592" i="1"/>
  <c r="AH596" i="1"/>
  <c r="AH600" i="1"/>
  <c r="AH604" i="1"/>
  <c r="AH608" i="1"/>
  <c r="AH612" i="1"/>
  <c r="AH616" i="1"/>
  <c r="AH620" i="1"/>
  <c r="AH624" i="1"/>
  <c r="AH628" i="1"/>
  <c r="AH482" i="1"/>
  <c r="AH462" i="1"/>
  <c r="AH751" i="1"/>
  <c r="AH745" i="1"/>
  <c r="AH740" i="1"/>
  <c r="AH735" i="1"/>
  <c r="AH729" i="1"/>
  <c r="AH724" i="1"/>
  <c r="AH719" i="1"/>
  <c r="AH712" i="1"/>
  <c r="AH704" i="1"/>
  <c r="AH696" i="1"/>
  <c r="AH688" i="1"/>
  <c r="AH680" i="1"/>
  <c r="AH672" i="1"/>
  <c r="AH664" i="1"/>
  <c r="AH656" i="1"/>
  <c r="AH648" i="1"/>
  <c r="AH640" i="1"/>
  <c r="AH632" i="1"/>
  <c r="AH617" i="1"/>
  <c r="AH601" i="1"/>
  <c r="AH561" i="1"/>
  <c r="AH540" i="1"/>
  <c r="AH497" i="1"/>
  <c r="AH476" i="1"/>
  <c r="AH433" i="1"/>
  <c r="AH412" i="1"/>
  <c r="AH369" i="1"/>
  <c r="AH348" i="1"/>
  <c r="AH478" i="1"/>
  <c r="AH458" i="1"/>
  <c r="AH749" i="1"/>
  <c r="AH744" i="1"/>
  <c r="AH739" i="1"/>
  <c r="AH733" i="1"/>
  <c r="AH728" i="1"/>
  <c r="AH723" i="1"/>
  <c r="AH717" i="1"/>
  <c r="AH709" i="1"/>
  <c r="AH701" i="1"/>
  <c r="AH693" i="1"/>
  <c r="AH685" i="1"/>
  <c r="AH677" i="1"/>
  <c r="AH669" i="1"/>
  <c r="AH661" i="1"/>
  <c r="AH653" i="1"/>
  <c r="AH645" i="1"/>
  <c r="AH637" i="1"/>
  <c r="AH629" i="1"/>
  <c r="AH613" i="1"/>
  <c r="AH597" i="1"/>
  <c r="AH577" i="1"/>
  <c r="AH556" i="1"/>
  <c r="AH513" i="1"/>
  <c r="AH492" i="1"/>
  <c r="AH449" i="1"/>
  <c r="AH428" i="1"/>
  <c r="AH385" i="1"/>
  <c r="AH364" i="1"/>
  <c r="AH531" i="1"/>
  <c r="AH255" i="1"/>
  <c r="AH503" i="1"/>
  <c r="AH260" i="1"/>
  <c r="AH256" i="1"/>
  <c r="AH543" i="1"/>
  <c r="AH539" i="1"/>
  <c r="AH535" i="1"/>
  <c r="AH527" i="1"/>
  <c r="AH523" i="1"/>
  <c r="AH519" i="1"/>
  <c r="AH515" i="1"/>
  <c r="AH511" i="1"/>
  <c r="AH507" i="1"/>
  <c r="AH499" i="1"/>
  <c r="AH495" i="1"/>
  <c r="AH491" i="1"/>
  <c r="AH487" i="1"/>
  <c r="AH483" i="1"/>
  <c r="AH479" i="1"/>
  <c r="AH475" i="1"/>
  <c r="AH471" i="1"/>
  <c r="AH467" i="1"/>
  <c r="AH463" i="1"/>
  <c r="AH459" i="1"/>
  <c r="AH455" i="1"/>
  <c r="AH451" i="1"/>
  <c r="AH447" i="1"/>
  <c r="AH443" i="1"/>
  <c r="AH439" i="1"/>
  <c r="AH435" i="1"/>
  <c r="AH431" i="1"/>
  <c r="AH427" i="1"/>
  <c r="AH423" i="1"/>
  <c r="AH419" i="1"/>
  <c r="AH415" i="1"/>
  <c r="AH411" i="1"/>
  <c r="AH407" i="1"/>
  <c r="AH403" i="1"/>
  <c r="AH399" i="1"/>
  <c r="AH395" i="1"/>
  <c r="AH391" i="1"/>
  <c r="AH387" i="1"/>
  <c r="AH383" i="1"/>
  <c r="AH379" i="1"/>
  <c r="AH375" i="1"/>
  <c r="AH371" i="1"/>
  <c r="AH367" i="1"/>
  <c r="AH363" i="1"/>
  <c r="AH359" i="1"/>
  <c r="AH355" i="1"/>
  <c r="AH351" i="1"/>
  <c r="AH347" i="1"/>
  <c r="AH343" i="1"/>
  <c r="AH339" i="1"/>
  <c r="AH335" i="1"/>
  <c r="AH331" i="1"/>
  <c r="AH327" i="1"/>
  <c r="AH323" i="1"/>
  <c r="AH319" i="1"/>
  <c r="AH315" i="1"/>
  <c r="AH311" i="1"/>
  <c r="AH307" i="1"/>
  <c r="AH303" i="1"/>
  <c r="AH299" i="1"/>
  <c r="AH295" i="1"/>
  <c r="AH291" i="1"/>
  <c r="AH287" i="1"/>
  <c r="AH283" i="1"/>
  <c r="AH279" i="1"/>
  <c r="AH275" i="1"/>
  <c r="AH271" i="1"/>
  <c r="AH267" i="1"/>
  <c r="AH263" i="1"/>
  <c r="AH259" i="1"/>
  <c r="J3" i="3"/>
  <c r="I3" i="3" a="1"/>
  <c r="I3" i="3"/>
  <c r="F3" i="3"/>
  <c r="H3" i="3"/>
  <c r="G3" i="3"/>
  <c r="J14" i="5"/>
  <c r="J15" i="5"/>
  <c r="J16" i="5"/>
  <c r="J17" i="5"/>
  <c r="J18" i="5"/>
  <c r="J19" i="5"/>
  <c r="J20" i="5"/>
  <c r="J21" i="5"/>
  <c r="AD7" i="1"/>
  <c r="AD8" i="1"/>
  <c r="AD9" i="1"/>
  <c r="AD10" i="1"/>
  <c r="AD11" i="1"/>
  <c r="E83" i="15" a="1"/>
  <c r="E83" i="15"/>
  <c r="C83" i="15" a="1"/>
  <c r="C83" i="15"/>
  <c r="F83" i="15" a="1"/>
  <c r="F83" i="15"/>
  <c r="E88" i="15" a="1"/>
  <c r="E88" i="15"/>
  <c r="C88" i="15" a="1"/>
  <c r="C88" i="15"/>
  <c r="E84" i="15" a="1"/>
  <c r="E84" i="15"/>
  <c r="C84" i="15" a="1"/>
  <c r="C84" i="15"/>
  <c r="E82" i="15" a="1"/>
  <c r="E82" i="15"/>
  <c r="C82" i="15" a="1"/>
  <c r="C82" i="15"/>
  <c r="E85" i="15" a="1"/>
  <c r="E85" i="15"/>
  <c r="E86" i="15" a="1"/>
  <c r="E86" i="15"/>
  <c r="E81" i="15" a="1"/>
  <c r="E81" i="15"/>
  <c r="C81" i="15" a="1"/>
  <c r="C81" i="15"/>
  <c r="I50" i="3" a="1"/>
  <c r="I50" i="3"/>
  <c r="I49" i="3" a="1"/>
  <c r="I49" i="3"/>
  <c r="I48" i="3" a="1"/>
  <c r="I48" i="3"/>
  <c r="I47" i="3" a="1"/>
  <c r="I47" i="3"/>
  <c r="I46" i="3" a="1"/>
  <c r="I46" i="3"/>
  <c r="I45" i="3" a="1"/>
  <c r="I45" i="3"/>
  <c r="I44" i="3" a="1"/>
  <c r="I44" i="3"/>
  <c r="I43" i="3" a="1"/>
  <c r="I43" i="3"/>
  <c r="I42" i="3" a="1"/>
  <c r="I42" i="3"/>
  <c r="I41" i="3" a="1"/>
  <c r="I41" i="3"/>
  <c r="I40" i="3" a="1"/>
  <c r="I40" i="3"/>
  <c r="I39" i="3" a="1"/>
  <c r="I39" i="3"/>
  <c r="I38" i="3" a="1"/>
  <c r="I38" i="3"/>
  <c r="I37" i="3" a="1"/>
  <c r="I37" i="3"/>
  <c r="I36" i="3" a="1"/>
  <c r="I36" i="3"/>
  <c r="I35" i="3" a="1"/>
  <c r="I35" i="3"/>
  <c r="I34" i="3" a="1"/>
  <c r="I34" i="3"/>
  <c r="I33" i="3" a="1"/>
  <c r="I33" i="3"/>
  <c r="I32" i="3" a="1"/>
  <c r="I32" i="3"/>
  <c r="I31" i="3" a="1"/>
  <c r="I31" i="3"/>
  <c r="I30" i="3" a="1"/>
  <c r="I30" i="3"/>
  <c r="I29" i="3" a="1"/>
  <c r="I29" i="3"/>
  <c r="I28" i="3" a="1"/>
  <c r="I28" i="3"/>
  <c r="I27" i="3" a="1"/>
  <c r="I27" i="3"/>
  <c r="I26" i="3" a="1"/>
  <c r="I26" i="3"/>
  <c r="I25" i="3" a="1"/>
  <c r="I25" i="3"/>
  <c r="I24" i="3" a="1"/>
  <c r="I24" i="3"/>
  <c r="I23" i="3" a="1"/>
  <c r="I23" i="3"/>
  <c r="I22" i="3" a="1"/>
  <c r="I22" i="3"/>
  <c r="I21" i="3" a="1"/>
  <c r="I21" i="3"/>
  <c r="I20" i="3" a="1"/>
  <c r="I20" i="3"/>
  <c r="I19" i="3" a="1"/>
  <c r="I19" i="3"/>
  <c r="I18" i="3" a="1"/>
  <c r="I18" i="3"/>
  <c r="I17" i="3" a="1"/>
  <c r="I17" i="3"/>
  <c r="I16" i="3" a="1"/>
  <c r="I16" i="3"/>
  <c r="I15" i="3" a="1"/>
  <c r="I15" i="3"/>
  <c r="I14" i="3" a="1"/>
  <c r="I14" i="3"/>
  <c r="I13" i="3" a="1"/>
  <c r="I13" i="3"/>
  <c r="I12" i="3" a="1"/>
  <c r="I12" i="3"/>
  <c r="I11" i="3" a="1"/>
  <c r="I11" i="3"/>
  <c r="I10" i="3" a="1"/>
  <c r="I10" i="3"/>
  <c r="I9" i="3" a="1"/>
  <c r="I9" i="3"/>
  <c r="I8" i="3" a="1"/>
  <c r="I8" i="3"/>
  <c r="I7" i="3" a="1"/>
  <c r="I7" i="3"/>
  <c r="I6" i="3" a="1"/>
  <c r="I6" i="3"/>
  <c r="I5" i="3" a="1"/>
  <c r="I5" i="3"/>
  <c r="I4" i="3" a="1"/>
  <c r="I4" i="3"/>
  <c r="E90" i="15" a="1"/>
  <c r="E90" i="15"/>
  <c r="C90" i="15" a="1"/>
  <c r="C90" i="15"/>
  <c r="C86" i="15" a="1"/>
  <c r="C86" i="15"/>
  <c r="E47" i="15" a="1"/>
  <c r="E47" i="15"/>
  <c r="C47" i="15" a="1"/>
  <c r="C47" i="15"/>
  <c r="H4" i="3"/>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F86" i="15" a="1"/>
  <c r="F90" i="15" a="1"/>
  <c r="F81" i="15"/>
  <c r="F88" i="15" a="1"/>
  <c r="F84" i="15" a="1"/>
  <c r="F82" i="15" a="1"/>
  <c r="F84" i="15"/>
  <c r="F82" i="15"/>
  <c r="F88" i="15"/>
  <c r="C87" i="15" a="1"/>
  <c r="C87" i="15"/>
  <c r="C91" i="15" a="1"/>
  <c r="C91" i="15"/>
  <c r="E87" i="15" a="1"/>
  <c r="E87" i="15"/>
  <c r="E91" i="15" a="1"/>
  <c r="E91" i="15"/>
  <c r="F90" i="15"/>
  <c r="F86" i="15"/>
  <c r="Q12" i="5"/>
  <c r="Q13" i="5"/>
  <c r="Q14" i="5"/>
  <c r="Q15" i="5"/>
  <c r="E67" i="15" a="1"/>
  <c r="E67" i="15"/>
  <c r="C67" i="15" a="1"/>
  <c r="C67" i="15"/>
  <c r="E66" i="15" a="1"/>
  <c r="E66" i="15"/>
  <c r="C66" i="15" a="1"/>
  <c r="C66" i="15"/>
  <c r="E65" i="15" a="1"/>
  <c r="E65" i="15"/>
  <c r="E64" i="15" a="1"/>
  <c r="E64" i="15"/>
  <c r="C65" i="15" a="1"/>
  <c r="C65" i="15"/>
  <c r="C64" i="15" a="1"/>
  <c r="C64" i="15"/>
  <c r="C56" i="15" a="1"/>
  <c r="C56" i="15"/>
  <c r="C62" i="15" a="1"/>
  <c r="C62" i="15"/>
  <c r="C60" i="15" a="1"/>
  <c r="C60" i="15"/>
  <c r="E63" i="15" a="1"/>
  <c r="E63" i="15"/>
  <c r="E62" i="15" a="1"/>
  <c r="E62" i="15"/>
  <c r="C63" i="15" a="1"/>
  <c r="C63" i="15"/>
  <c r="E61" i="15" a="1"/>
  <c r="E61" i="15"/>
  <c r="E60" i="15" a="1"/>
  <c r="E60" i="15"/>
  <c r="C61" i="15" a="1"/>
  <c r="C61" i="15"/>
  <c r="E59" i="15" a="1"/>
  <c r="E59" i="15"/>
  <c r="C59" i="15" a="1"/>
  <c r="C59" i="15"/>
  <c r="E58" i="15" a="1"/>
  <c r="E58" i="15"/>
  <c r="C58" i="15" a="1"/>
  <c r="C58" i="15"/>
  <c r="C8" i="15" a="1"/>
  <c r="C8" i="15"/>
  <c r="E89" i="15" a="1"/>
  <c r="E89" i="15"/>
  <c r="F89" i="15"/>
  <c r="C89" i="15" a="1"/>
  <c r="C89" i="15"/>
  <c r="C85" i="15" a="1"/>
  <c r="C85" i="15"/>
  <c r="C40" i="15" a="1"/>
  <c r="C40" i="15"/>
  <c r="O4" i="5"/>
  <c r="L6" i="5"/>
  <c r="K3" i="5" a="1"/>
  <c r="K3" i="5"/>
  <c r="K4" i="5" a="1"/>
  <c r="K4" i="5"/>
  <c r="K5" i="5" a="1"/>
  <c r="K5" i="5"/>
  <c r="K6" i="5" a="1"/>
  <c r="K6" i="5"/>
  <c r="K7" i="5" a="1"/>
  <c r="K7" i="5"/>
  <c r="K8" i="5" a="1"/>
  <c r="K8" i="5"/>
  <c r="K9" i="5" a="1"/>
  <c r="K9" i="5"/>
  <c r="K10" i="5" a="1"/>
  <c r="K10" i="5"/>
  <c r="K11" i="5" a="1"/>
  <c r="K11" i="5"/>
  <c r="K12" i="5" a="1"/>
  <c r="K12" i="5"/>
  <c r="K13" i="5" a="1"/>
  <c r="K13" i="5"/>
  <c r="K14" i="5" a="1"/>
  <c r="K14" i="5"/>
  <c r="K15" i="5" a="1"/>
  <c r="K15" i="5"/>
  <c r="K16" i="5" a="1"/>
  <c r="K16" i="5"/>
  <c r="K17" i="5" a="1"/>
  <c r="K17" i="5"/>
  <c r="K18" i="5" a="1"/>
  <c r="K18" i="5"/>
  <c r="K19" i="5" a="1"/>
  <c r="K19" i="5"/>
  <c r="K20" i="5" a="1"/>
  <c r="K20" i="5"/>
  <c r="K21" i="5" a="1"/>
  <c r="K21" i="5"/>
  <c r="K22" i="5" a="1"/>
  <c r="K22" i="5"/>
  <c r="K23" i="5" a="1"/>
  <c r="K23" i="5"/>
  <c r="K24" i="5" a="1"/>
  <c r="K24" i="5"/>
  <c r="K25" i="5" a="1"/>
  <c r="K25" i="5"/>
  <c r="K26" i="5" a="1"/>
  <c r="K26" i="5"/>
  <c r="K27" i="5" a="1"/>
  <c r="K27" i="5"/>
  <c r="K28" i="5" a="1"/>
  <c r="K28" i="5"/>
  <c r="K29" i="5" a="1"/>
  <c r="K29" i="5"/>
  <c r="K30" i="5" a="1"/>
  <c r="K30" i="5"/>
  <c r="K31" i="5" a="1"/>
  <c r="K31" i="5"/>
  <c r="K32" i="5" a="1"/>
  <c r="K32" i="5"/>
  <c r="K33" i="5" a="1"/>
  <c r="K33" i="5"/>
  <c r="K34" i="5" a="1"/>
  <c r="K34" i="5"/>
  <c r="K35" i="5" a="1"/>
  <c r="K35" i="5"/>
  <c r="K36" i="5" a="1"/>
  <c r="K36" i="5"/>
  <c r="K37" i="5" a="1"/>
  <c r="K37" i="5"/>
  <c r="K38" i="5" a="1"/>
  <c r="K38" i="5"/>
  <c r="K39" i="5" a="1"/>
  <c r="K39" i="5"/>
  <c r="K40" i="5" a="1"/>
  <c r="K40" i="5"/>
  <c r="K41" i="5" a="1"/>
  <c r="K41" i="5"/>
  <c r="K42" i="5" a="1"/>
  <c r="K42" i="5"/>
  <c r="K43" i="5" a="1"/>
  <c r="K43" i="5"/>
  <c r="K44" i="5" a="1"/>
  <c r="K44" i="5"/>
  <c r="K45" i="5" a="1"/>
  <c r="K45" i="5"/>
  <c r="K46" i="5" a="1"/>
  <c r="K46" i="5"/>
  <c r="K47" i="5" a="1"/>
  <c r="K47" i="5"/>
  <c r="K48" i="5" a="1"/>
  <c r="K48" i="5"/>
  <c r="K49" i="5" a="1"/>
  <c r="K49" i="5"/>
  <c r="K50" i="5" a="1"/>
  <c r="K50" i="5"/>
  <c r="J3" i="5"/>
  <c r="E56" i="15" a="1"/>
  <c r="E56" i="15"/>
  <c r="C53" i="15"/>
  <c r="E28" i="15" a="1"/>
  <c r="E28" i="15"/>
  <c r="F28" i="15" a="1"/>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J4" i="5"/>
  <c r="J5" i="5"/>
  <c r="J6" i="5"/>
  <c r="J7" i="5"/>
  <c r="J8" i="5"/>
  <c r="J9" i="5"/>
  <c r="J10" i="5"/>
  <c r="J11" i="5"/>
  <c r="J12" i="5"/>
  <c r="J13"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AE3" i="1"/>
  <c r="AE4" i="1"/>
  <c r="AE5" i="1"/>
  <c r="AE6" i="1"/>
  <c r="AE7" i="1"/>
  <c r="AE8" i="1"/>
  <c r="AE9" i="1"/>
  <c r="AE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D3" i="1"/>
  <c r="AD4" i="1"/>
  <c r="AD5" i="1"/>
  <c r="AD6"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F23" i="1"/>
  <c r="F85" i="15"/>
  <c r="F63" i="15"/>
  <c r="F87" i="15" a="1"/>
  <c r="F65" i="15" a="1"/>
  <c r="F62" i="15" a="1"/>
  <c r="F61" i="15" a="1"/>
  <c r="F67" i="15" a="1"/>
  <c r="F66" i="15" a="1"/>
  <c r="F59" i="15"/>
  <c r="F64" i="15" a="1"/>
  <c r="F60" i="15" a="1"/>
  <c r="F56" i="15" a="1"/>
  <c r="F91" i="15" a="1"/>
  <c r="F58" i="15" a="1"/>
  <c r="C55" i="15" a="1"/>
  <c r="C55" i="15"/>
  <c r="C80" i="15" a="1"/>
  <c r="C80" i="15"/>
  <c r="C57" i="15" a="1"/>
  <c r="C57" i="15"/>
  <c r="E80" i="15" a="1"/>
  <c r="E80" i="15"/>
  <c r="F91" i="15"/>
  <c r="F87" i="15"/>
  <c r="F62" i="15"/>
  <c r="F64" i="15"/>
  <c r="F60" i="15"/>
  <c r="F61" i="15"/>
  <c r="F65" i="15"/>
  <c r="F66" i="15"/>
  <c r="F67" i="15"/>
  <c r="F58" i="15"/>
  <c r="F56" i="15"/>
  <c r="E57" i="15" a="1"/>
  <c r="E57" i="15"/>
  <c r="C54" i="15"/>
  <c r="E55" i="15" a="1"/>
  <c r="E55" i="15"/>
  <c r="E54" i="15"/>
  <c r="F28" i="15"/>
  <c r="R7" i="5"/>
  <c r="F57" i="15"/>
  <c r="F54" i="15"/>
  <c r="F80" i="15" a="1"/>
  <c r="F55" i="15"/>
  <c r="F80" i="15"/>
  <c r="E49" i="15" a="1"/>
  <c r="E49" i="15"/>
  <c r="C49" i="15" a="1"/>
  <c r="C49" i="15"/>
  <c r="E48" i="15" a="1"/>
  <c r="E48" i="15"/>
  <c r="C48" i="15" a="1"/>
  <c r="C48" i="15"/>
  <c r="E46" i="15" a="1"/>
  <c r="E46" i="15"/>
  <c r="C46" i="15" a="1"/>
  <c r="C46" i="15"/>
  <c r="E45" i="15" a="1"/>
  <c r="E45" i="15"/>
  <c r="C45" i="15" a="1"/>
  <c r="C45" i="15"/>
  <c r="E44" i="15" a="1"/>
  <c r="E44" i="15"/>
  <c r="C44" i="15" a="1"/>
  <c r="C44" i="15"/>
  <c r="E43" i="15" a="1"/>
  <c r="E43" i="15"/>
  <c r="C43" i="15" a="1"/>
  <c r="C43" i="15"/>
  <c r="C42" i="15" a="1"/>
  <c r="C42" i="15"/>
  <c r="E41" i="15" a="1"/>
  <c r="E41" i="15"/>
  <c r="E42" i="15" a="1"/>
  <c r="E42" i="15"/>
  <c r="C41" i="15"/>
  <c r="E40" i="15" a="1"/>
  <c r="E40" i="15"/>
  <c r="E39" i="15" a="1"/>
  <c r="E39" i="15"/>
  <c r="C39" i="15" a="1"/>
  <c r="C39" i="15"/>
  <c r="E33" i="15" a="1"/>
  <c r="E33" i="15"/>
  <c r="C33" i="15" a="1"/>
  <c r="C33" i="15"/>
  <c r="E32" i="15" a="1"/>
  <c r="E32" i="15"/>
  <c r="C32" i="15" a="1"/>
  <c r="C32" i="15"/>
  <c r="E31" i="15" a="1"/>
  <c r="E31" i="15"/>
  <c r="C31" i="15" a="1"/>
  <c r="C31" i="15"/>
  <c r="E30" i="15" a="1"/>
  <c r="E30" i="15"/>
  <c r="C30" i="15" a="1"/>
  <c r="C30" i="15"/>
  <c r="E29" i="15" a="1"/>
  <c r="E29" i="15"/>
  <c r="C29" i="15" a="1"/>
  <c r="C29" i="15"/>
  <c r="C28" i="15" a="1"/>
  <c r="C28" i="15"/>
  <c r="E27" i="15"/>
  <c r="C27" i="15" a="1"/>
  <c r="C27" i="15"/>
  <c r="E26" i="15" a="1"/>
  <c r="E26" i="15"/>
  <c r="C26" i="15" a="1"/>
  <c r="C26" i="15"/>
  <c r="E25" i="15" a="1"/>
  <c r="E25" i="15"/>
  <c r="C25" i="15" a="1"/>
  <c r="C25" i="15"/>
  <c r="E24" i="15" a="1"/>
  <c r="E24" i="15"/>
  <c r="C24" i="15" a="1"/>
  <c r="C24" i="15"/>
  <c r="F31" i="15" a="1"/>
  <c r="F24" i="15" a="1"/>
  <c r="F27" i="15" a="1"/>
  <c r="F47" i="15" a="1"/>
  <c r="F42" i="15" a="1"/>
  <c r="F41" i="15" a="1"/>
  <c r="F33" i="15" a="1"/>
  <c r="F45" i="15" a="1"/>
  <c r="F49" i="15" a="1"/>
  <c r="F40" i="15"/>
  <c r="F49" i="15"/>
  <c r="F45" i="15"/>
  <c r="F47" i="15"/>
  <c r="F42" i="15"/>
  <c r="F41" i="15"/>
  <c r="F33" i="15"/>
  <c r="F24" i="15"/>
  <c r="F31" i="15"/>
  <c r="F27" i="15"/>
  <c r="C20" i="15" a="1"/>
  <c r="C20" i="15"/>
  <c r="E23" i="15" a="1"/>
  <c r="E23" i="15"/>
  <c r="C23" i="15" a="1"/>
  <c r="C23" i="15"/>
  <c r="C22" i="15" a="1"/>
  <c r="C22" i="15"/>
  <c r="E22" i="15" a="1"/>
  <c r="E22" i="15"/>
  <c r="E21" i="15" a="1"/>
  <c r="E21" i="15"/>
  <c r="C21" i="15" a="1"/>
  <c r="C21" i="15"/>
  <c r="E20" i="15" a="1"/>
  <c r="E20" i="15"/>
  <c r="F20" i="15" a="1"/>
  <c r="E19" i="15" a="1"/>
  <c r="E19" i="15"/>
  <c r="C19" i="15" a="1"/>
  <c r="C19" i="15"/>
  <c r="E18" i="15" a="1"/>
  <c r="E18" i="15"/>
  <c r="C18" i="15" a="1"/>
  <c r="C18" i="15"/>
  <c r="E17" i="15" a="1"/>
  <c r="E17" i="15"/>
  <c r="C17" i="15" a="1"/>
  <c r="C17" i="15"/>
  <c r="E15" i="15" a="1"/>
  <c r="E15" i="15"/>
  <c r="C15" i="15" a="1"/>
  <c r="C15" i="15"/>
  <c r="E13" i="15" a="1"/>
  <c r="E13" i="15"/>
  <c r="C13" i="15" a="1"/>
  <c r="C13" i="15"/>
  <c r="E11" i="15" a="1"/>
  <c r="E11" i="15"/>
  <c r="E10" i="15" a="1"/>
  <c r="E10" i="15"/>
  <c r="C11" i="15" a="1"/>
  <c r="C11" i="15"/>
  <c r="E12" i="15" a="1"/>
  <c r="E12" i="15"/>
  <c r="C12" i="15" a="1"/>
  <c r="C12" i="15"/>
  <c r="E9" i="15" a="1"/>
  <c r="E9" i="15"/>
  <c r="C10" i="15" a="1"/>
  <c r="C10" i="15"/>
  <c r="C9" i="15" a="1"/>
  <c r="C9" i="15"/>
  <c r="F30" i="15" a="1"/>
  <c r="F26" i="15" a="1"/>
  <c r="F39" i="15" a="1"/>
  <c r="F19" i="15" a="1"/>
  <c r="F43" i="15" a="1"/>
  <c r="F21" i="15" a="1"/>
  <c r="F12" i="15" a="1"/>
  <c r="F15" i="15" a="1"/>
  <c r="F11" i="15" a="1"/>
  <c r="F29" i="15" a="1"/>
  <c r="F13" i="15" a="1"/>
  <c r="F48" i="15" a="1"/>
  <c r="F25" i="15" a="1"/>
  <c r="F9" i="15" a="1"/>
  <c r="F22" i="15" a="1"/>
  <c r="F23" i="15" a="1"/>
  <c r="F18" i="15" a="1"/>
  <c r="F17" i="15" a="1"/>
  <c r="F10" i="15" a="1"/>
  <c r="F32" i="15" a="1"/>
  <c r="F44" i="15" a="1"/>
  <c r="F46" i="15" a="1"/>
  <c r="F20" i="15"/>
  <c r="F18" i="15"/>
  <c r="F12" i="15"/>
  <c r="F13" i="15"/>
  <c r="F19" i="15"/>
  <c r="F10" i="15"/>
  <c r="F15" i="15"/>
  <c r="F48" i="15"/>
  <c r="F46" i="15"/>
  <c r="F44" i="15"/>
  <c r="F43" i="15"/>
  <c r="F39" i="15"/>
  <c r="F32" i="15"/>
  <c r="F30" i="15"/>
  <c r="F29" i="15"/>
  <c r="F26" i="15"/>
  <c r="F25" i="15"/>
  <c r="F22" i="15"/>
  <c r="F23" i="15"/>
  <c r="F21" i="15"/>
  <c r="F17" i="15"/>
  <c r="F11" i="15"/>
  <c r="F9" i="15"/>
  <c r="C96" i="15"/>
  <c r="C94" i="15"/>
  <c r="C92" i="15"/>
  <c r="C72" i="15"/>
  <c r="C71" i="15"/>
  <c r="C70" i="15"/>
  <c r="C69" i="15"/>
  <c r="C68" i="15"/>
  <c r="C95" i="15"/>
  <c r="M4" i="5"/>
  <c r="M5" i="5"/>
  <c r="M6" i="5"/>
  <c r="M7" i="5"/>
  <c r="M8" i="5"/>
  <c r="M9" i="5"/>
  <c r="M10" i="5"/>
  <c r="M11" i="5"/>
  <c r="M12" i="5"/>
  <c r="M13" i="5"/>
  <c r="M14" i="5"/>
  <c r="M15" i="5"/>
  <c r="M16" i="5"/>
  <c r="M17" i="5"/>
  <c r="M18" i="5"/>
  <c r="M19" i="5"/>
  <c r="M20" i="5"/>
  <c r="M21" i="5"/>
  <c r="M22" i="5"/>
  <c r="M23" i="5"/>
  <c r="M24" i="5"/>
  <c r="M25" i="5"/>
  <c r="M26" i="5"/>
  <c r="M27" i="5"/>
  <c r="M28" i="5"/>
  <c r="M29" i="5"/>
  <c r="M30" i="5"/>
  <c r="M31" i="5"/>
  <c r="M32" i="5"/>
  <c r="M33" i="5"/>
  <c r="M34" i="5"/>
  <c r="M35" i="5"/>
  <c r="M36" i="5"/>
  <c r="M37" i="5"/>
  <c r="M38" i="5"/>
  <c r="M39" i="5"/>
  <c r="M40" i="5"/>
  <c r="M41" i="5"/>
  <c r="M42" i="5"/>
  <c r="M43" i="5"/>
  <c r="M44" i="5"/>
  <c r="M45" i="5"/>
  <c r="M46" i="5"/>
  <c r="M47" i="5"/>
  <c r="M48" i="5"/>
  <c r="M49" i="5"/>
  <c r="M50" i="5"/>
  <c r="M3" i="5"/>
  <c r="N3" i="5"/>
  <c r="N4" i="5"/>
  <c r="N5" i="5"/>
  <c r="N6" i="5"/>
  <c r="N7" i="5"/>
  <c r="N8" i="5"/>
  <c r="N9" i="5"/>
  <c r="N10" i="5"/>
  <c r="N11" i="5"/>
  <c r="N12" i="5"/>
  <c r="N13" i="5"/>
  <c r="N14" i="5"/>
  <c r="N15" i="5"/>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R4" i="5"/>
  <c r="AG3" i="1"/>
  <c r="R3" i="5"/>
  <c r="L50" i="5"/>
  <c r="L49" i="5"/>
  <c r="L48" i="5"/>
  <c r="L47" i="5"/>
  <c r="L46" i="5"/>
  <c r="L45" i="5"/>
  <c r="L44" i="5"/>
  <c r="L43" i="5"/>
  <c r="L42" i="5"/>
  <c r="L41" i="5"/>
  <c r="L40" i="5"/>
  <c r="L39" i="5"/>
  <c r="L38" i="5"/>
  <c r="L37" i="5"/>
  <c r="L36" i="5"/>
  <c r="L35" i="5"/>
  <c r="L34" i="5"/>
  <c r="L33" i="5"/>
  <c r="L32" i="5"/>
  <c r="L31" i="5"/>
  <c r="L30" i="5"/>
  <c r="L29" i="5"/>
  <c r="L28" i="5"/>
  <c r="L27" i="5"/>
  <c r="L26" i="5"/>
  <c r="L25" i="5"/>
  <c r="L24" i="5"/>
  <c r="L23" i="5"/>
  <c r="L22" i="5"/>
  <c r="L21" i="5"/>
  <c r="L20" i="5"/>
  <c r="L19" i="5"/>
  <c r="L18" i="5"/>
  <c r="L17" i="5"/>
  <c r="L16" i="5"/>
  <c r="L15" i="5"/>
  <c r="L14" i="5"/>
  <c r="L13" i="5"/>
  <c r="L12" i="5"/>
  <c r="L11" i="5"/>
  <c r="L10" i="5"/>
  <c r="L9" i="5"/>
  <c r="L8" i="5"/>
  <c r="L7" i="5"/>
  <c r="L5" i="5"/>
  <c r="L4" i="5"/>
  <c r="L3" i="5"/>
  <c r="AF4" i="1"/>
  <c r="AF5" i="1"/>
  <c r="AF6" i="1"/>
  <c r="AF7" i="1"/>
  <c r="AF8" i="1"/>
  <c r="AF9" i="1"/>
  <c r="AF10" i="1"/>
  <c r="AF11" i="1"/>
  <c r="AF12" i="1"/>
  <c r="AF13" i="1"/>
  <c r="AF14" i="1"/>
  <c r="AF15" i="1"/>
  <c r="AF16" i="1"/>
  <c r="AF17" i="1"/>
  <c r="AF18" i="1"/>
  <c r="AF19" i="1"/>
  <c r="AF20" i="1"/>
  <c r="AF21" i="1"/>
  <c r="AF22"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3" i="1"/>
  <c r="C73" i="15"/>
  <c r="O21" i="5"/>
  <c r="P21" i="5"/>
  <c r="Q21" i="5"/>
  <c r="R21" i="5"/>
  <c r="AG4" i="1"/>
  <c r="AG5" i="1"/>
  <c r="AG6" i="1"/>
  <c r="AG7" i="1"/>
  <c r="AG8" i="1"/>
  <c r="AG9" i="1"/>
  <c r="AG10" i="1"/>
  <c r="AG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H5" i="1"/>
  <c r="AI4" i="1"/>
  <c r="AI5" i="1"/>
  <c r="AI6" i="1"/>
  <c r="AI7" i="1"/>
  <c r="AI8" i="1"/>
  <c r="AI9" i="1"/>
  <c r="AI10" i="1"/>
  <c r="AI11" i="1"/>
  <c r="AI12" i="1"/>
  <c r="AI13" i="1"/>
  <c r="AI14" i="1"/>
  <c r="AI15"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3" i="1"/>
  <c r="AH19" i="1"/>
  <c r="AH51" i="1"/>
  <c r="AH67" i="1"/>
  <c r="AH83" i="1"/>
  <c r="AH99" i="1"/>
  <c r="AH115" i="1"/>
  <c r="AH131" i="1"/>
  <c r="AH147" i="1"/>
  <c r="AH163" i="1"/>
  <c r="AH179" i="1"/>
  <c r="AH195" i="1"/>
  <c r="AH211" i="1"/>
  <c r="AH227" i="1"/>
  <c r="AH243" i="1"/>
  <c r="AH56" i="1"/>
  <c r="AH72" i="1"/>
  <c r="AH88" i="1"/>
  <c r="AH104" i="1"/>
  <c r="AH120" i="1"/>
  <c r="AH136" i="1"/>
  <c r="AH152" i="1"/>
  <c r="AH168" i="1"/>
  <c r="AH184" i="1"/>
  <c r="AH200" i="1"/>
  <c r="AH216" i="1"/>
  <c r="AH232" i="1"/>
  <c r="AH248" i="1"/>
  <c r="AH61" i="1"/>
  <c r="AH77" i="1"/>
  <c r="AH93" i="1"/>
  <c r="AH109" i="1"/>
  <c r="AH125" i="1"/>
  <c r="AH141" i="1"/>
  <c r="AH157" i="1"/>
  <c r="AH173" i="1"/>
  <c r="AH189" i="1"/>
  <c r="AH205" i="1"/>
  <c r="AH221" i="1"/>
  <c r="AH237" i="1"/>
  <c r="AH54" i="1"/>
  <c r="AH70" i="1"/>
  <c r="AH86" i="1"/>
  <c r="AH102" i="1"/>
  <c r="AH118" i="1"/>
  <c r="AH134" i="1"/>
  <c r="AH150" i="1"/>
  <c r="AH166" i="1"/>
  <c r="AH182" i="1"/>
  <c r="AH198" i="1"/>
  <c r="AH214" i="1"/>
  <c r="AH230" i="1"/>
  <c r="AH246" i="1"/>
  <c r="AH234" i="1"/>
  <c r="AH79" i="1"/>
  <c r="AH127" i="1"/>
  <c r="AH175" i="1"/>
  <c r="AH223" i="1"/>
  <c r="AH68" i="1"/>
  <c r="AH116" i="1"/>
  <c r="AH164" i="1"/>
  <c r="AH212" i="1"/>
  <c r="AH57" i="1"/>
  <c r="AH105" i="1"/>
  <c r="AH153" i="1"/>
  <c r="AH201" i="1"/>
  <c r="AH249" i="1"/>
  <c r="AH98" i="1"/>
  <c r="AH146" i="1"/>
  <c r="AH194" i="1"/>
  <c r="AH242" i="1"/>
  <c r="AH55" i="1"/>
  <c r="AH71" i="1"/>
  <c r="AH87" i="1"/>
  <c r="AH103" i="1"/>
  <c r="AH119" i="1"/>
  <c r="AH135" i="1"/>
  <c r="AH151" i="1"/>
  <c r="AH167" i="1"/>
  <c r="AH183" i="1"/>
  <c r="AH199" i="1"/>
  <c r="AH215" i="1"/>
  <c r="AH231" i="1"/>
  <c r="AH247" i="1"/>
  <c r="AH60" i="1"/>
  <c r="AH76" i="1"/>
  <c r="AH92" i="1"/>
  <c r="AH108" i="1"/>
  <c r="AH124" i="1"/>
  <c r="AH140" i="1"/>
  <c r="AH156" i="1"/>
  <c r="AH172" i="1"/>
  <c r="AH188" i="1"/>
  <c r="AH204" i="1"/>
  <c r="AH220" i="1"/>
  <c r="AH236" i="1"/>
  <c r="AH252" i="1"/>
  <c r="AH65" i="1"/>
  <c r="AH81" i="1"/>
  <c r="AH97" i="1"/>
  <c r="AH113" i="1"/>
  <c r="AH129" i="1"/>
  <c r="AH145" i="1"/>
  <c r="AH161" i="1"/>
  <c r="AH177" i="1"/>
  <c r="AH193" i="1"/>
  <c r="AH209" i="1"/>
  <c r="AH225" i="1"/>
  <c r="AH241" i="1"/>
  <c r="AH58" i="1"/>
  <c r="AH74" i="1"/>
  <c r="AH90" i="1"/>
  <c r="AH106" i="1"/>
  <c r="AH122" i="1"/>
  <c r="AH138" i="1"/>
  <c r="AH154" i="1"/>
  <c r="AH170" i="1"/>
  <c r="AH186" i="1"/>
  <c r="AH202" i="1"/>
  <c r="AH218" i="1"/>
  <c r="AH250" i="1"/>
  <c r="AH95" i="1"/>
  <c r="AH143" i="1"/>
  <c r="AH191" i="1"/>
  <c r="AH52" i="1"/>
  <c r="AH100" i="1"/>
  <c r="AH148" i="1"/>
  <c r="AH196" i="1"/>
  <c r="AH244" i="1"/>
  <c r="AH89" i="1"/>
  <c r="AH137" i="1"/>
  <c r="AH185" i="1"/>
  <c r="AH233" i="1"/>
  <c r="AH82" i="1"/>
  <c r="AH130" i="1"/>
  <c r="AH178" i="1"/>
  <c r="AH226" i="1"/>
  <c r="AH59" i="1"/>
  <c r="AH75" i="1"/>
  <c r="AH91" i="1"/>
  <c r="AH107" i="1"/>
  <c r="AH123" i="1"/>
  <c r="AH139" i="1"/>
  <c r="AH155" i="1"/>
  <c r="AH171" i="1"/>
  <c r="AH187" i="1"/>
  <c r="AH203" i="1"/>
  <c r="AH219" i="1"/>
  <c r="AH235" i="1"/>
  <c r="AH251" i="1"/>
  <c r="AH64" i="1"/>
  <c r="AH80" i="1"/>
  <c r="AH96" i="1"/>
  <c r="AH112" i="1"/>
  <c r="AH128" i="1"/>
  <c r="AH144" i="1"/>
  <c r="AH160" i="1"/>
  <c r="AH176" i="1"/>
  <c r="AH192" i="1"/>
  <c r="AH208" i="1"/>
  <c r="AH224" i="1"/>
  <c r="AH240" i="1"/>
  <c r="AH53" i="1"/>
  <c r="AH69" i="1"/>
  <c r="AH85" i="1"/>
  <c r="AH101" i="1"/>
  <c r="AH117" i="1"/>
  <c r="AH133" i="1"/>
  <c r="AH149" i="1"/>
  <c r="AH165" i="1"/>
  <c r="AH181" i="1"/>
  <c r="AH197" i="1"/>
  <c r="AH213" i="1"/>
  <c r="AH229" i="1"/>
  <c r="AH245" i="1"/>
  <c r="AH62" i="1"/>
  <c r="AH78" i="1"/>
  <c r="AH94" i="1"/>
  <c r="AH110" i="1"/>
  <c r="AH126" i="1"/>
  <c r="AH142" i="1"/>
  <c r="AH158" i="1"/>
  <c r="AH174" i="1"/>
  <c r="AH190" i="1"/>
  <c r="AH206" i="1"/>
  <c r="AH222" i="1"/>
  <c r="AH238" i="1"/>
  <c r="AH63" i="1"/>
  <c r="AH111" i="1"/>
  <c r="AH159" i="1"/>
  <c r="AH207" i="1"/>
  <c r="AH239" i="1"/>
  <c r="AH84" i="1"/>
  <c r="AH132" i="1"/>
  <c r="AH180" i="1"/>
  <c r="AH228" i="1"/>
  <c r="AH73" i="1"/>
  <c r="AH121" i="1"/>
  <c r="AH169" i="1"/>
  <c r="AH217" i="1"/>
  <c r="AH66" i="1"/>
  <c r="AH114" i="1"/>
  <c r="AH162" i="1"/>
  <c r="AH210" i="1"/>
  <c r="AH17" i="1"/>
  <c r="AH15" i="1"/>
  <c r="AH14" i="1"/>
  <c r="AH6" i="1"/>
  <c r="AH18" i="1"/>
  <c r="AH16" i="1"/>
  <c r="AH24" i="1"/>
  <c r="AH20" i="1"/>
  <c r="AH23" i="1"/>
  <c r="AH25" i="1"/>
  <c r="AH11" i="1"/>
  <c r="AH13" i="1"/>
  <c r="AH10" i="1"/>
  <c r="AH22" i="1"/>
  <c r="AH9" i="1"/>
  <c r="AH21" i="1"/>
  <c r="AH7" i="1"/>
  <c r="AH8" i="1"/>
  <c r="AH12" i="1"/>
  <c r="Q3" i="5"/>
  <c r="P4" i="5"/>
  <c r="P5" i="5"/>
  <c r="P6" i="5"/>
  <c r="P7" i="5"/>
  <c r="P8" i="5"/>
  <c r="P9" i="5"/>
  <c r="P10" i="5"/>
  <c r="P11" i="5"/>
  <c r="P12" i="5"/>
  <c r="P13" i="5"/>
  <c r="P14" i="5"/>
  <c r="P15" i="5"/>
  <c r="P16" i="5"/>
  <c r="P17" i="5"/>
  <c r="P18" i="5"/>
  <c r="P19" i="5"/>
  <c r="P20"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3" i="5"/>
  <c r="O5" i="5"/>
  <c r="O6" i="5"/>
  <c r="O7" i="5"/>
  <c r="O8" i="5"/>
  <c r="O9" i="5"/>
  <c r="O10" i="5"/>
  <c r="O11" i="5"/>
  <c r="O12" i="5"/>
  <c r="O13" i="5"/>
  <c r="O14" i="5"/>
  <c r="O15" i="5"/>
  <c r="O16" i="5"/>
  <c r="O17" i="5"/>
  <c r="O18" i="5"/>
  <c r="O19" i="5"/>
  <c r="O20" i="5"/>
  <c r="O22" i="5"/>
  <c r="O23" i="5"/>
  <c r="O24" i="5"/>
  <c r="O25" i="5"/>
  <c r="O26" i="5"/>
  <c r="O27" i="5"/>
  <c r="O28" i="5"/>
  <c r="O29" i="5"/>
  <c r="O30" i="5"/>
  <c r="O31" i="5"/>
  <c r="O32" i="5"/>
  <c r="O33" i="5"/>
  <c r="O34" i="5"/>
  <c r="O35" i="5"/>
  <c r="O36" i="5"/>
  <c r="O37" i="5"/>
  <c r="O38" i="5"/>
  <c r="O39" i="5"/>
  <c r="O40" i="5"/>
  <c r="O41" i="5"/>
  <c r="O42" i="5"/>
  <c r="O43" i="5"/>
  <c r="O44" i="5"/>
  <c r="O45" i="5"/>
  <c r="O46" i="5"/>
  <c r="O47" i="5"/>
  <c r="O48" i="5"/>
  <c r="O49" i="5"/>
  <c r="O50" i="5"/>
  <c r="O3" i="5"/>
  <c r="Q4" i="5"/>
  <c r="Q5" i="5"/>
  <c r="Q6" i="5"/>
  <c r="Q7" i="5"/>
  <c r="Q8" i="5"/>
  <c r="Q9" i="5"/>
  <c r="Q10" i="5"/>
  <c r="Q11" i="5"/>
  <c r="Q16" i="5"/>
  <c r="Q17" i="5"/>
  <c r="Q18" i="5"/>
  <c r="Q19" i="5"/>
  <c r="Q20" i="5"/>
  <c r="Q22" i="5"/>
  <c r="Q23" i="5"/>
  <c r="Q24" i="5"/>
  <c r="Q25" i="5"/>
  <c r="Q26" i="5"/>
  <c r="Q27" i="5"/>
  <c r="Q28" i="5"/>
  <c r="Q29" i="5"/>
  <c r="Q30" i="5"/>
  <c r="Q31" i="5"/>
  <c r="Q32" i="5"/>
  <c r="Q33" i="5"/>
  <c r="Q34" i="5"/>
  <c r="Q35" i="5"/>
  <c r="Q36" i="5"/>
  <c r="Q37" i="5"/>
  <c r="Q38" i="5"/>
  <c r="Q39" i="5"/>
  <c r="Q40" i="5"/>
  <c r="Q41" i="5"/>
  <c r="Q42" i="5"/>
  <c r="Q43" i="5"/>
  <c r="Q44" i="5"/>
  <c r="Q45" i="5"/>
  <c r="Q46" i="5"/>
  <c r="Q47" i="5"/>
  <c r="Q48" i="5"/>
  <c r="Q49" i="5"/>
  <c r="Q50" i="5"/>
  <c r="AH50" i="1"/>
  <c r="AH26" i="1"/>
  <c r="AH27" i="1"/>
  <c r="AH28" i="1"/>
  <c r="AH29" i="1"/>
  <c r="AH30" i="1"/>
  <c r="AH31" i="1"/>
  <c r="AH32" i="1"/>
  <c r="AH33" i="1"/>
  <c r="AH34" i="1"/>
  <c r="AH35" i="1"/>
  <c r="AH36" i="1"/>
  <c r="AH37" i="1"/>
  <c r="AH38" i="1"/>
  <c r="AH39" i="1"/>
  <c r="AH40" i="1"/>
  <c r="AH41" i="1"/>
  <c r="AH42" i="1"/>
  <c r="AH43" i="1"/>
  <c r="AH44" i="1"/>
  <c r="AH45" i="1"/>
  <c r="AH46" i="1"/>
  <c r="AH47" i="1"/>
  <c r="AH48" i="1"/>
  <c r="AH49" i="1"/>
  <c r="C75" i="15"/>
  <c r="C74" i="15"/>
  <c r="AH4" i="1"/>
  <c r="AH3" i="1"/>
  <c r="R8" i="5"/>
  <c r="R9" i="5"/>
  <c r="R10" i="5"/>
  <c r="R11" i="5"/>
  <c r="R12" i="5"/>
  <c r="R13" i="5"/>
  <c r="R14" i="5"/>
  <c r="R15" i="5"/>
  <c r="R16" i="5"/>
  <c r="R17" i="5"/>
  <c r="R18" i="5"/>
  <c r="R19" i="5"/>
  <c r="R20" i="5"/>
  <c r="R22" i="5"/>
  <c r="R23" i="5"/>
  <c r="R24" i="5"/>
  <c r="R25" i="5"/>
  <c r="R26" i="5"/>
  <c r="R27" i="5"/>
  <c r="R28" i="5"/>
  <c r="R29" i="5"/>
  <c r="R30" i="5"/>
  <c r="R31" i="5"/>
  <c r="R32" i="5"/>
  <c r="R33" i="5"/>
  <c r="R34" i="5"/>
  <c r="R35" i="5"/>
  <c r="R36" i="5"/>
  <c r="R37" i="5"/>
  <c r="R38" i="5"/>
  <c r="R39" i="5"/>
  <c r="R40" i="5"/>
  <c r="R41" i="5"/>
  <c r="R42" i="5"/>
  <c r="R43" i="5"/>
  <c r="R44" i="5"/>
  <c r="R45" i="5"/>
  <c r="R46" i="5"/>
  <c r="R47" i="5"/>
  <c r="R48" i="5"/>
  <c r="R49" i="5"/>
  <c r="R50" i="5"/>
  <c r="J4"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alcChain>
</file>

<file path=xl/sharedStrings.xml><?xml version="1.0" encoding="utf-8"?>
<sst xmlns="http://schemas.openxmlformats.org/spreadsheetml/2006/main" count="20449" uniqueCount="3654">
  <si>
    <t>Version 1.2</t>
  </si>
  <si>
    <t>SA-S-SD-14V1.2</t>
  </si>
  <si>
    <t>N/A</t>
  </si>
  <si>
    <t>SA-S-SD-14-V1.2</t>
  </si>
  <si>
    <t>4. Village*</t>
  </si>
  <si>
    <t>SUMMARY OF GROUP INFORMATION</t>
  </si>
  <si>
    <t>This tab provides a summary of the data as provided in the three green tabs: 1. Group member, 2. Certified crop and 3. Farm unit.</t>
  </si>
  <si>
    <t>First, add all information on tabs 1. Group Member, 2. Certified crop and 3.Farm Unit, then check for Red cells on column C below. 
The cell where the error is located can be found on column E.</t>
  </si>
  <si>
    <t>Completeness of sheet 1. Group Member</t>
  </si>
  <si>
    <t>Completeness of Certified Crop information</t>
  </si>
  <si>
    <t>Completeness of Farm Unit information</t>
  </si>
  <si>
    <t>Translations</t>
  </si>
  <si>
    <t>This tab provides a table from which the phrases used in data validation formulas are obtained.</t>
  </si>
  <si>
    <t>By changing these values, the results of formulas will change without the need of editting (complicated) formulas</t>
  </si>
  <si>
    <t>Please only change the second column  "Translated phrase".</t>
  </si>
  <si>
    <t>Phrases</t>
  </si>
  <si>
    <t>(edit only this column)</t>
  </si>
  <si>
    <t>Original English phrase</t>
  </si>
  <si>
    <t>Translated phrase</t>
  </si>
  <si>
    <t xml:space="preserve">Not applicable. </t>
  </si>
  <si>
    <t xml:space="preserve">No duplicates present. </t>
  </si>
  <si>
    <t>Location of the first duplicate</t>
  </si>
  <si>
    <t>Location of the first blank cell</t>
  </si>
  <si>
    <t>No blank cells present.</t>
  </si>
  <si>
    <t>All cells are numbers</t>
  </si>
  <si>
    <t>Location of the first non-number cell</t>
  </si>
  <si>
    <t>All cells are either "Small farm" or "Large farm".</t>
  </si>
  <si>
    <t>All years are correct.</t>
  </si>
  <si>
    <t>Location of the invalid year.</t>
  </si>
  <si>
    <t>Location of the invalid size.</t>
  </si>
  <si>
    <t>All sizes are correct.</t>
  </si>
  <si>
    <t>All values are correct.</t>
  </si>
  <si>
    <t>Location of the invalid value.</t>
  </si>
  <si>
    <t>Every Internal Group Member ID is present.</t>
  </si>
  <si>
    <t>Location of the missing Internal Group Member ID.</t>
  </si>
  <si>
    <t>All combinations of crops and variety are valid.</t>
  </si>
  <si>
    <t>Location of the invalid crop and variety combination.</t>
  </si>
  <si>
    <t>All coordinates have at least 4 decimals.</t>
  </si>
  <si>
    <t>Açaí</t>
  </si>
  <si>
    <t>RA</t>
  </si>
  <si>
    <t>UEBT/RA</t>
  </si>
  <si>
    <t>Ajwain</t>
  </si>
  <si>
    <t>Aloe vera</t>
  </si>
  <si>
    <t>Aronia</t>
  </si>
  <si>
    <t>Arracacha</t>
  </si>
  <si>
    <t>Asafoetida</t>
  </si>
  <si>
    <t>Ashwagandha</t>
  </si>
  <si>
    <t>Cavendish</t>
  </si>
  <si>
    <t>Baobab</t>
  </si>
  <si>
    <t>Bluet</t>
  </si>
  <si>
    <t>Boldo</t>
  </si>
  <si>
    <t>Cassia</t>
  </si>
  <si>
    <t>Centella</t>
  </si>
  <si>
    <t>Chayote, chocho, christophine</t>
  </si>
  <si>
    <t>Citron</t>
  </si>
  <si>
    <t>Arabica</t>
  </si>
  <si>
    <t>Robusta</t>
  </si>
  <si>
    <t xml:space="preserve">Copoazú </t>
  </si>
  <si>
    <t>Cumin</t>
  </si>
  <si>
    <t xml:space="preserve">Cupuaçu </t>
  </si>
  <si>
    <t>Curcuma</t>
  </si>
  <si>
    <t>Endive</t>
  </si>
  <si>
    <t>Erica</t>
  </si>
  <si>
    <t>Eucalyptus</t>
  </si>
  <si>
    <t>Ginkgo</t>
  </si>
  <si>
    <t>Ginseng</t>
  </si>
  <si>
    <t>Guarana</t>
  </si>
  <si>
    <t>Helichrysum</t>
  </si>
  <si>
    <t>Hibiscus</t>
  </si>
  <si>
    <t>Honeybush</t>
  </si>
  <si>
    <t>Kiwi</t>
  </si>
  <si>
    <t>Lapacho</t>
  </si>
  <si>
    <t>Loquat</t>
  </si>
  <si>
    <t>Lotus</t>
  </si>
  <si>
    <t>Macadamia</t>
  </si>
  <si>
    <t>Mizuna</t>
  </si>
  <si>
    <t>Moringa</t>
  </si>
  <si>
    <t>Nasturtium</t>
  </si>
  <si>
    <t>Nectarine</t>
  </si>
  <si>
    <t>Olive</t>
  </si>
  <si>
    <t>Paprika</t>
  </si>
  <si>
    <t>Patchouli</t>
  </si>
  <si>
    <t>Pawpaw</t>
  </si>
  <si>
    <t>Plantain</t>
  </si>
  <si>
    <t>Psyllium</t>
  </si>
  <si>
    <t>Radicchio</t>
  </si>
  <si>
    <t>Rooibos</t>
  </si>
  <si>
    <t>Rose</t>
  </si>
  <si>
    <t>Sassafras</t>
  </si>
  <si>
    <t>Stevia</t>
  </si>
  <si>
    <t>Tamarillo</t>
  </si>
  <si>
    <t>Tangerine</t>
  </si>
  <si>
    <t>Terminalia</t>
  </si>
  <si>
    <t>Tulsi</t>
  </si>
  <si>
    <t>Vasaka</t>
  </si>
  <si>
    <t>Wasabi</t>
  </si>
  <si>
    <t>Yam</t>
  </si>
  <si>
    <t>* </t>
  </si>
  <si>
    <t>** </t>
  </si>
  <si>
    <t>Exploitation agricole ou membre du groupe</t>
  </si>
  <si>
    <t>1. Identifiant interne d’exploitation agricole*</t>
  </si>
  <si>
    <t>2. Identifiant national d’exploitation agricole**</t>
  </si>
  <si>
    <t>3. Identifiant interne d’exploitation agricole*</t>
  </si>
  <si>
    <t>5. Ville</t>
  </si>
  <si>
    <t>6. District/État/Province*</t>
  </si>
  <si>
    <t>7. Région d’inspection interne</t>
  </si>
  <si>
    <t>8. Superficie totale de l’exploitation agricole (ha)*</t>
  </si>
  <si>
    <t>9. Type d’exploitation agricole*</t>
  </si>
  <si>
    <t>10. Nombre d’unités agricoles*</t>
  </si>
  <si>
    <t>11. Première année de certification RA*</t>
  </si>
  <si>
    <t>EXPLOITATION AGRICOLE</t>
  </si>
  <si>
    <t>12. Prénom*</t>
  </si>
  <si>
    <t>13. Nom*</t>
  </si>
  <si>
    <t>14. Numéro de téléphone**</t>
  </si>
  <si>
    <t>15. Numéro d’identification national**</t>
  </si>
  <si>
    <t>16. Genre*</t>
  </si>
  <si>
    <t>17. Année de naissance*</t>
  </si>
  <si>
    <t>18. Taille du ménage*</t>
  </si>
  <si>
    <t>OPÉRATEUR DE L’EXPLOITATION AGRICOLE</t>
  </si>
  <si>
    <t>19. Nom</t>
  </si>
  <si>
    <t>20. Nom</t>
  </si>
  <si>
    <t>21. Numéro de téléphone</t>
  </si>
  <si>
    <t>22. Numéro d’identification national</t>
  </si>
  <si>
    <t>23. Genre</t>
  </si>
  <si>
    <t>PROPRIÉTAIRE DE L’EXPLOITATION AGRICOLE (si différent de l’OPÉRATEUR DE L’EXPLOITATION AGRICOLE) S’il y a plusieurs propriétaires, mentionner le propriétaire principal **</t>
  </si>
  <si>
    <t>24. Nombre de travailleurs permanents*</t>
  </si>
  <si>
    <t>25. Estimation du nombre de travailleurs temporaires par an*</t>
  </si>
  <si>
    <t>TRAVAILLEURS PAR MEMBRE DU GROUPE</t>
  </si>
  <si>
    <t>26. Nom de l’inspecteur interne*</t>
  </si>
  <si>
    <t>27. Année de l’inspection interne*</t>
  </si>
  <si>
    <t>28. Mois de l’inspection interne*</t>
  </si>
  <si>
    <t>29. Jour de l’inspection interne*</t>
  </si>
  <si>
    <t>DONNÉES D’INSPECTION INTERNE</t>
  </si>
  <si>
    <t>1. Identifiant interne de membre du groupe présent sur la feuille 2. Produit agricole certifié</t>
  </si>
  <si>
    <t>1. Identifiant interne de membre du groupe présent sur la feuille 3. Unité agricole</t>
  </si>
  <si>
    <t>Nom des membres du groupe</t>
  </si>
  <si>
    <t>Date d’inspection interne</t>
  </si>
  <si>
    <t>Nbre d’inspections internes effectuées ce jour-là par cet inspecteur</t>
  </si>
  <si>
    <t>Nbre total de travailleurs (si temporaire = 1 mois)</t>
  </si>
  <si>
    <t>Validation automatique des</t>
  </si>
  <si>
    <t xml:space="preserve"> données,</t>
  </si>
  <si>
    <t xml:space="preserve"> ne pas compléter</t>
  </si>
  <si>
    <t>Si vous souhaitez ajouter d’autres colonnes, veuillez les ajouter après AH</t>
  </si>
  <si>
    <t>2. Produit agricole certifié*</t>
  </si>
  <si>
    <t>3. Variété**</t>
  </si>
  <si>
    <t>4. Superficie des produits agricoles certifiés * 
(ha)</t>
  </si>
  <si>
    <t>5. Estimation totale de la récolte de l’année en cours* 
(en kg ou en tiges de fleurs)</t>
  </si>
  <si>
    <t>6. Récolte totale de l’année précédente* 
(en kg ou en tiges de fleurs)</t>
  </si>
  <si>
    <t>7. Volume vendu/livré au groupe l’année précédente *
(en kg ou en tiges de fleurs)</t>
  </si>
  <si>
    <t>8. Volume vendu/livré au groupe les 2 années précédentes **
(en kg ou en tiges de fleurs)</t>
  </si>
  <si>
    <t>9. Volume vendu/livré au groupe les 3 années précédentes **
(en kg ou en tiges de fleurs)</t>
  </si>
  <si>
    <t>CULTURE CERTIFIÉE ET DONNÉES DE VOLUME</t>
  </si>
  <si>
    <t>1. Identifiant interne de l’exploitation agricole présent sur la feuille 1. Membre du groupe</t>
  </si>
  <si>
    <t>2. Produit agricole certifié et 3. La combinaison de variétés est présente sur la liste des produits agricoles de la feuille.</t>
  </si>
  <si>
    <t>Le volume vendu est supérieur à la récolte totale</t>
  </si>
  <si>
    <t>Croissance de la récolte</t>
  </si>
  <si>
    <t>Croissance du volume des ventes</t>
  </si>
  <si>
    <t>Rendement 
estimé/ha</t>
  </si>
  <si>
    <t>Rendement/ha
de l’année précédente</t>
  </si>
  <si>
    <t>Superficie certifiée moins la superficie totale de l’exploitation</t>
  </si>
  <si>
    <t>Membre du groupe</t>
  </si>
  <si>
    <t>Si vous souhaitez ajouter d’autres colonnes, veuillez les ajouter après Q</t>
  </si>
  <si>
    <t>2. Identifiant d’unité agricole*</t>
  </si>
  <si>
    <t>3. Superficie de l’unité agricole (ha)*</t>
  </si>
  <si>
    <t>4. Latitude (format DD)**</t>
  </si>
  <si>
    <t>5. Longitude (format DD)**</t>
  </si>
  <si>
    <t>INFORMATIONS SUR LES UNITÉS AGRICOLES DE CHAQUE EXPLOITATION AGRICOLE</t>
  </si>
  <si>
    <t>Vérification de la latitude</t>
  </si>
  <si>
    <t>Vérification de la longitude</t>
  </si>
  <si>
    <t>S’agit-il de la plus grande unité agricole</t>
  </si>
  <si>
    <t>Validation automatique des données, ne pas compléter</t>
  </si>
  <si>
    <t>Si vous souhaitez ajouter d’autres colonnes, veuillez les ajouter après J</t>
  </si>
  <si>
    <t>Non applicable.</t>
  </si>
  <si>
    <t>Il n’y a aucun doublon.</t>
  </si>
  <si>
    <t>Emplacement du premier doublon.</t>
  </si>
  <si>
    <t>Emplacement de la première cellule vide.</t>
  </si>
  <si>
    <t>Il n’y a aucune cellule vide.</t>
  </si>
  <si>
    <t>Toutes les cellules sont des nombres</t>
  </si>
  <si>
    <t>Emplacement de la première cellule non numérique</t>
  </si>
  <si>
    <t>Toutes les cellules sont soit « Petite exploitation agricole » soit « Grande exploitation agricole ».</t>
  </si>
  <si>
    <t>Toutes les années sont correctes.</t>
  </si>
  <si>
    <t>Emplacement de l’année invalide.</t>
  </si>
  <si>
    <t>Emplacement de la taille invalide.</t>
  </si>
  <si>
    <t>Toutes les tailles sont correctes.</t>
  </si>
  <si>
    <t>Toutes les valeurs sont correctes.</t>
  </si>
  <si>
    <t>Emplacement de la valeur invalide.</t>
  </si>
  <si>
    <t>Chaque identifiant interne de membre du groupe est présent.</t>
  </si>
  <si>
    <t>Emplacement de l’identifiant interne de membre de groupe manquant.</t>
  </si>
  <si>
    <t>Toutes les combinaisons de produits agricoles et de variétés sont valides.</t>
  </si>
  <si>
    <t>Emplacement de la combinaison de produits agricoles et de variétés invalide.</t>
  </si>
  <si>
    <t>Toutes les coordonnées ont au moins 4 décimales.</t>
  </si>
  <si>
    <t xml:space="preserve">Colonne ou validation </t>
  </si>
  <si>
    <t>Critères</t>
  </si>
  <si>
    <t>État</t>
  </si>
  <si>
    <t>Méthode de calcul</t>
  </si>
  <si>
    <t>Localisation de l’erreur</t>
  </si>
  <si>
    <t>Hyperlien (cliquable)</t>
  </si>
  <si>
    <t>1. Identifiant interne de membre du groupe*</t>
  </si>
  <si>
    <t>Doit correspondre au nombre de membres du groupe dans votre système de gestion interne demandant une certification.</t>
  </si>
  <si>
    <t>Chaque 1. Identifiant interne de membre du groupe doit être unique.</t>
  </si>
  <si>
    <t>Obligatoire, si disponible. Si l’exploitation agricole dispose d’un identifiant national d’exploitation agricole, présentez cette information comme une exigence obligatoire. Sinon, remplissez la case « Non disponible ». Chaque 2. Identifiant national d’exploitation agricole devrait également comporter un 1. Identifiant interne de membre du groupe</t>
  </si>
  <si>
    <t>Champ obligatoire, aucun champ vide n’est autorisé. Un 3. Identifiant interne d’exploitation agricole unique doit être présent pour chaque 1. Identifiant interne de membre du groupe.</t>
  </si>
  <si>
    <t>Chaque 3. Identifiant interne d’exploitation agricole doit être unique.</t>
  </si>
  <si>
    <t>Champ obligatoire, aucun champ vide n’est autorisé. Un 4.Village doit être présent pour chaque 1. Identifiant interne de membre du groupe.</t>
  </si>
  <si>
    <t>Aucune, les champs vides sont autorisés</t>
  </si>
  <si>
    <t>Champ obligatoire, aucun champ vide n’est autorisé. Un 6. District/État/Province doit être présent pour chaque 1. Identifiant interne de membre du groupe.</t>
  </si>
  <si>
    <t>Champ obligatoire, aucun champ vide n’est autorisé. La 8. Superficie totale de l’exploitation (ha) doit être indiquée pour chaque 1. Identifiant interne de membre du groupe.</t>
  </si>
  <si>
    <t>Chaque valeur doit être un nombre.</t>
  </si>
  <si>
    <t>Champ obligatoire, aucun champ vide n’est autorisé. Le 9. Type d’exploitation agricole doit être présent pour chaque 1. Identifiant interne de membre du groupe.</t>
  </si>
  <si>
    <t>Chaque valeur doit indiquer soit « Petite exploitation agricole » soit « Grande exploitation agricole »</t>
  </si>
  <si>
    <t>Champ obligatoire, aucun champ vide n’est autorisé. Le 10. Nombre d’unités agricoles* doit être présent pour chaque 1. Identifiant interne de membre du groupe.</t>
  </si>
  <si>
    <t>Champ obligatoire, aucun champ vide n’est autorisé. La 11. Première année de certification* RA doit être présente pour chaque 1. Identifiant interne de membre du groupe.</t>
  </si>
  <si>
    <t>Chaque valeur doit être un nombre, égal ou supérieur à 2021</t>
  </si>
  <si>
    <t>Champ obligatoire, aucun champ vide n’est autorisé. Un 12. Nom* doit être présent pour chaque 1. Identifiant interne de membre du groupe.</t>
  </si>
  <si>
    <t>Champ obligatoire, aucun champ vide n’est autorisé. Un 13. Nom de famille* doit être présent pour chaque 1. Identifiant interne de membre du groupe.</t>
  </si>
  <si>
    <t>Obligatoire si disponible, sinon, indiquez « Non disponible ». Les champs vides ne sont pas autorisés.</t>
  </si>
  <si>
    <t>Champ obligatoire, aucun champ vide n’est autorisé. Un 16. Sexe (masculin/féminin/autre) doit être présent pour chaque 1. Identifiant interne de membre du groupe.</t>
  </si>
  <si>
    <t>Champ obligatoire, aucun champ vide n’est autorisé. Une 17. Année de naissance* doit être présente pour chaque 1. Identifiant interne de membre du groupe.</t>
  </si>
  <si>
    <t>La valeur de 17. L’année de naissance* doit être comprise entre 1900 et 2021.</t>
  </si>
  <si>
    <t>Champ obligatoire, aucun champ vide n’est autorisé. Une 18. Taille du ménage* doit être présente pour chaque 1. Identifiant interne de membre du groupe.</t>
  </si>
  <si>
    <t>La valeur de 18. La taille du ménage* doit être d’au moins 1.</t>
  </si>
  <si>
    <t>Aucun, les champs vides sont autorisés</t>
  </si>
  <si>
    <t>Champ obligatoire, aucun champ vide n’est autorisé. Un 24. Nombre de travailleurs permanents* doit être présent pour chaque 1. Identifiant interne de membre du groupe.</t>
  </si>
  <si>
    <t>La valeur du 24. Nombre de travailleurs permanents* doit être d’au moins 0.</t>
  </si>
  <si>
    <t>Champ obligatoire, aucun champ vide n’est autorisé. Un 25. Nombre estimé de travailleurs temporaires par an* doit être présent pour chaque 1. Identifiant interne de membre du groupe.</t>
  </si>
  <si>
    <t>La valeur du 25. Nombre estimé de travailleurs temporaires par an* doit être d’au moins 0.</t>
  </si>
  <si>
    <t>Champ obligatoire, aucun champ vide n’est autorisé. Un 26. Nom d’inspecteur interne* doit être présent pour chaque 1. Identifiant interne de membre du groupe.</t>
  </si>
  <si>
    <t>Champ obligatoire, aucun champ vide n’est autorisé. Une 27. Année d’inspection interne* doit être présente pour chaque 1. Identifiant interne de membre du groupe.</t>
  </si>
  <si>
    <t>La valeur de 27. L’année d’inspection interne* doit être au moins 2021.</t>
  </si>
  <si>
    <t>Champ obligatoire, aucun champ vide n’est autorisé. Un 28. Mois d’inspection interne* doit être présent pour chaque 1. Identifiant interne de membre du groupe.</t>
  </si>
  <si>
    <t>La valeur du 28. Mois d’inspection interne* doit être compris entre 1 et 12</t>
  </si>
  <si>
    <t>Champ obligatoire, aucun champ vide n’est autorisé. Un 29. Jour de l’inspection interne* doit être présent pour chaque 1. Identifiant interne de membre du groupe.</t>
  </si>
  <si>
    <t>La valeur du 29. Jour de l’inspection interne* doit être comprise entre le 1 et le 31</t>
  </si>
  <si>
    <t xml:space="preserve">Comparez le nombre d’identifiants à votre propre compte. </t>
  </si>
  <si>
    <t xml:space="preserve">Le nombre d’identifiants uniques doit correspondre au nombre d’identifiants. </t>
  </si>
  <si>
    <t>Pour chaque 1. Identifiant de membre du groupe interne, cette cellule doit être remplie (ne peut être vide)</t>
  </si>
  <si>
    <t>Vérifiez si toutes les valeurs sont des nombres.</t>
  </si>
  <si>
    <t>Vérifiez si toutes les valeurs indiquent « Petite exploitation agricole » ou « Grande exploitation agricole ».</t>
  </si>
  <si>
    <t>Vérifiez si la valeur est &gt;2020.</t>
  </si>
  <si>
    <t>Vérifiez si 1899&lt;valeur&lt;2022.</t>
  </si>
  <si>
    <t>Vérifiez si la valeur est &gt; 0.</t>
  </si>
  <si>
    <t>Vérifiez si la valeur &gt;= 0.</t>
  </si>
  <si>
    <t>Vérifiez si la valeur est &gt; 2020.</t>
  </si>
  <si>
    <t>Vérifiez si 0 &lt; valeur &lt; 13</t>
  </si>
  <si>
    <t>Vérifiez si 0 &lt; valeur &lt; 32</t>
  </si>
  <si>
    <t>Colonne ou validation</t>
  </si>
  <si>
    <t>1. Identifiant interne de membre du groupe *
(à partir de l’onglet Membre du groupe)</t>
  </si>
  <si>
    <t>Nombre de récoltes estimées déclarées pour tous les produits agricoles</t>
  </si>
  <si>
    <t>Superficie totale des cultures certifiées</t>
  </si>
  <si>
    <t>Estimation de la récolte totale (tous produits agricoles confondus)</t>
  </si>
  <si>
    <t>Estimation de la récolte totale de l’année précédente (tous produits agricoles confondus)</t>
  </si>
  <si>
    <t>Volume total vendu/livré au groupe l’année précédente (tous produits agricoles confondus)</t>
  </si>
  <si>
    <t>Nombre d’erreurs dans le volume récolté par rapport au volume vendu</t>
  </si>
  <si>
    <t>Rendement moyen estimé/hectare (tous produits agricoles confondus)</t>
  </si>
  <si>
    <t>Rendement moyen/hectare de l’année précédente (tous produits agricoles confondus)</t>
  </si>
  <si>
    <t xml:space="preserve">Chaque 1. Identifiant interne de membre du groupe doit être présent sur la feuille 1. Membre du groupe. </t>
  </si>
  <si>
    <t>Chaque 1. Identifiant interne de membre du groupe de la feuille 1. Membre du groupe doit être présent au moins une fois sur la feuille 2. Produit agricole certifié.</t>
  </si>
  <si>
    <t>Champ obligatoire, aucun champ vide n’est autorisé. Un 2. Produit agricole certifié* doit être présent pour chaque 1. Identifiant interne de membre du groupe dans la liste.</t>
  </si>
  <si>
    <t>Chaque combinaison de 2. Produit agricole certifié et de 3. Variété doit être présente dans la feuille de la liste des produits agricoles.</t>
  </si>
  <si>
    <t>Champ obligatoire, aucun champ vide n’est autorisé. La 4. Superficie de produits agricoles certifiés doit être présente pour chaque 1. Identifiant interne de membre du groupe dans la liste.</t>
  </si>
  <si>
    <t>Champ obligatoire, aucun champ vide n’est autorisé. 5. L’estimation de la récolte totale de l’année en cours* doit être présente pour chaque 1. Identifiant interne de membre du groupe dans la liste.</t>
  </si>
  <si>
    <t>Champ obligatoire, aucun champ vide n’est autorisé. La 6. Récolte totale de l’année précédente doit être présente pour chaque 1. Identifiant interne de membre du groupe dans la liste.</t>
  </si>
  <si>
    <t>Champ obligatoire, aucun champ vide n’est autorisé. Le 7. Volume vendu/livré au groupe l’année précédente doit être présent pour chaque 1. Identifiant interne de membre du groupe dans la liste.</t>
  </si>
  <si>
    <t>Comparez avec vos propres notes.</t>
  </si>
  <si>
    <t>Vérifiez si la valeur est supérieure à 0.</t>
  </si>
  <si>
    <t>Les identifiants internes de membre du groupe de la feuille 2. Produit agricole certifié sont comparés à ceux de la feuille 1. Membre du groupe</t>
  </si>
  <si>
    <t>Les identifiants internes de membre du groupe de la feuille 1. Membre du groupe sont comparés à ceux de la feuille 2. Produit agricole certifié.</t>
  </si>
  <si>
    <t>Comparez la combinaison des produits agricoles et des variétés par rapport à la liste des produits agricoles.</t>
  </si>
  <si>
    <t>Décompte de 5. L’estimation totale de la récolte de l’année en cours</t>
  </si>
  <si>
    <t>Somme de la colonne 3. Superficie des cultures certifiées</t>
  </si>
  <si>
    <t>Somme de 5. L’estimation totale de la récolte de l’année en cours (en ou en tiges de fleurs)</t>
  </si>
  <si>
    <t>Somme de 6. La récolte totale de l’année précédente (en kg ou en tiges de fleurs)</t>
  </si>
  <si>
    <t>Somme du 7. Volume vendu/livré au groupe l’année précédente (en kg ou en tiges de fleurs)</t>
  </si>
  <si>
    <t>Décompte de « ! » en Volume vendu supérieur à la récolte totale</t>
  </si>
  <si>
    <t>Moyenne de la colonne M : rendement estimé par hectare</t>
  </si>
  <si>
    <t>Moyenne de la colonne N : rendement par hectare de l’année précédente</t>
  </si>
  <si>
    <t>Total des unités de terrain des membres du groupe déclarées</t>
  </si>
  <si>
    <t>Nombre de membres du groupe pour lesquels des unités agricoles ont été déclarées</t>
  </si>
  <si>
    <t>Superficie totale de l’unité agricole</t>
  </si>
  <si>
    <t>Nombre d’unités agricoles les plus grandes</t>
  </si>
  <si>
    <t>Nombre de coordonnées fournies</t>
  </si>
  <si>
    <t>Si une latitude est indiquée, elle doit comporter au moins 4 décimales.</t>
  </si>
  <si>
    <t>Si une latitude est indiquée, elle doit être comprise entre -180 et 180</t>
  </si>
  <si>
    <t>La latitude est indiquée pour toutes les plus grandes exploitations agricoles.</t>
  </si>
  <si>
    <t>Si une longitude est indiquée, elle doit comporter au moins 4 décimales.</t>
  </si>
  <si>
    <t>Si une longitude est indiquée, elle doit être comprise entre -90 et 90.</t>
  </si>
  <si>
    <t>Les identifiants internes de membre du groupe de la feuille 3. Les unités agricoles sont comparées à celles de la feuille 1. Membre du groupe</t>
  </si>
  <si>
    <t xml:space="preserve">Pour les entrées de nombres, le nombre de décimales est pris en compte. </t>
  </si>
  <si>
    <t>Si un nombre est présent, il doit être -180&lt;=valeur&lt;=180</t>
  </si>
  <si>
    <t>Si une exploitation agricole est la plus grande exploitation, la latitude doit être un nombre.</t>
  </si>
  <si>
    <t>Si un nombre est présent, il doit être -90&lt;=valeur&lt;=90</t>
  </si>
  <si>
    <t>Si une exploitation agricole est la plus grande exploitation, la longitude doit être un nombre.</t>
  </si>
  <si>
    <t>Décompte de 3. Superficie de l’unité agricole</t>
  </si>
  <si>
    <t>Calcul du nombre d’identifiants uniques des membres du groupe dans la colonne 1. Identifiant interne de membre du groupe</t>
  </si>
  <si>
    <t>Somme du 3. Superficie de l’unité agricole</t>
  </si>
  <si>
    <t>Décompte du nombre de plus grandes unités dans la colonne H. S’agit-il de la plus grande unité agricole ?</t>
  </si>
  <si>
    <t>Le décompte minimum entre la colonne 4. Latitude et le décompte de la colonne 5. Longitude</t>
  </si>
  <si>
    <t>Annexe S13</t>
  </si>
  <si>
    <t>Le registre des membres du groupe</t>
  </si>
  <si>
    <t>Décharge de responsabilité concernant la traduction </t>
  </si>
  <si>
    <t>Pour toute question liée à la signification précise des informations contenues dans la traduction, veuillez vous référer à la version officielle en anglais pour en obtenir la clarification. Toute divergence ou différence dans la signification engendrée par la traduction n’est pas contraignante et n’a pas d’effet sur la certification ou les audits.</t>
  </si>
  <si>
    <t>Plus d’informations ? </t>
  </si>
  <si>
    <r>
      <rPr>
        <sz val="10"/>
        <color theme="1"/>
        <rFont val="Century Gothic"/>
        <family val="2"/>
      </rPr>
      <t>Pour plus d’informations sur Rainforest Alliance, consultez le site </t>
    </r>
    <r>
      <rPr>
        <sz val="10"/>
        <color rgb="FF1A52C2"/>
        <rFont val="Century Gothic"/>
        <family val="2"/>
      </rPr>
      <t xml:space="preserve">www.rainforest-alliance.org, </t>
    </r>
    <r>
      <rPr>
        <sz val="10"/>
        <color theme="1"/>
        <rFont val="Century Gothic"/>
        <family val="2"/>
      </rPr>
      <t>contactez </t>
    </r>
    <r>
      <rPr>
        <sz val="10"/>
        <color rgb="FF1A52C2"/>
        <rFont val="Century Gothic"/>
        <family val="2"/>
      </rPr>
      <t xml:space="preserve">info@ra.org, </t>
    </r>
    <r>
      <rPr>
        <sz val="10"/>
        <color theme="1"/>
        <rFont val="Century Gothic"/>
        <family val="2"/>
      </rPr>
      <t>ou le bureau de Rainforest Alliance à Amsterdam, De Ruijterkade 6, 1013AA Amsterdam, Pays-Bas.</t>
    </r>
  </si>
  <si>
    <t>Nom du document :</t>
  </si>
  <si>
    <t>Code du document :</t>
  </si>
  <si>
    <t>Version :</t>
  </si>
  <si>
    <t>Annexe S13 : Le registre des membres du groupe</t>
  </si>
  <si>
    <t>Date de la première publication :</t>
  </si>
  <si>
    <t>Date de révision :</t>
  </si>
  <si>
    <t>Valable à partir du :</t>
  </si>
  <si>
    <t>Expire le :</t>
  </si>
  <si>
    <t>31 janvier 2020</t>
  </si>
  <si>
    <t>1er juillet 2021</t>
  </si>
  <si>
    <t>Jusqu’à nouvel ordre</t>
  </si>
  <si>
    <t xml:space="preserve">Élaboré par : </t>
  </si>
  <si>
    <t xml:space="preserve">Approuvé par : </t>
  </si>
  <si>
    <t>Département Standards and Assurance de Rainforest Alliance</t>
  </si>
  <si>
    <t xml:space="preserve">Directeur des Standards and Assurance </t>
  </si>
  <si>
    <t>Lié à :</t>
  </si>
  <si>
    <r>
      <rPr>
        <sz val="9"/>
        <color theme="1"/>
        <rFont val="Century Gothic"/>
        <family val="2"/>
      </rPr>
      <t>SA-S-SD-1-V1.1 Norme pour l’agriculture durable 2020 de Rainforest Alliance, Exigences pour les exploitations agricoles 
SA-G-SD-19-V1 Document d’orientation P :</t>
    </r>
    <r>
      <rPr>
        <sz val="9"/>
        <color theme="1"/>
        <rFont val="Century Gothic"/>
        <family val="2"/>
      </rPr>
      <t xml:space="preserve"> </t>
    </r>
    <r>
      <rPr>
        <sz val="9"/>
        <color theme="1"/>
        <rFont val="Century Gothic"/>
        <family val="2"/>
      </rPr>
      <t>Comment utiliser le Registre des membres du groupe</t>
    </r>
    <r>
      <rPr>
        <sz val="10"/>
        <color theme="1"/>
        <rFont val="Century Gothic"/>
        <family val="2"/>
      </rPr>
      <t xml:space="preserve">
		</t>
    </r>
  </si>
  <si>
    <t>Remplace :</t>
  </si>
  <si>
    <t xml:space="preserve">Applicable aux : </t>
  </si>
  <si>
    <t>Titulaires de certificats d’exploitations agricoles</t>
  </si>
  <si>
    <t>Pays/Région :</t>
  </si>
  <si>
    <t>Tous</t>
  </si>
  <si>
    <t>Produit agricole :</t>
  </si>
  <si>
    <t xml:space="preserve">Type de certification : </t>
  </si>
  <si>
    <t>Tous les produits agricoles du champ d’application du système de certification de Rainforest Alliance ; veuillez voir les Règles pour la certification.</t>
  </si>
  <si>
    <t>Certification de l’exploitation</t>
  </si>
  <si>
    <t>© 2021 Rainforest Alliance. Tous les droits sont réservés.</t>
  </si>
  <si>
    <r>
      <rPr>
        <sz val="10"/>
        <color theme="1"/>
        <rFont val="Century Gothic"/>
        <family val="2"/>
      </rPr>
      <t xml:space="preserve">Les annexes sont </t>
    </r>
    <r>
      <rPr>
        <u/>
        <sz val="10"/>
        <color theme="1"/>
        <rFont val="Century Gothic"/>
        <family val="2"/>
      </rPr>
      <t>contraignantes</t>
    </r>
    <r>
      <rPr>
        <sz val="10"/>
        <color theme="1"/>
        <rFont val="Century Gothic"/>
        <family val="2"/>
      </rPr>
      <t xml:space="preserve"> et doivent être respectées pour la certification.</t>
    </r>
    <r>
      <rPr>
        <sz val="10"/>
        <color theme="1"/>
        <rFont val="Century Gothic"/>
        <family val="2"/>
      </rPr>
      <t xml:space="preserve"> </t>
    </r>
  </si>
  <si>
    <t>Toute utilisation de ce contenu, y compris la reproduction, la modification, la distribution ou la republication, sans le consentement écrit préalable de Rainforest Alliance est strictement interdite.</t>
  </si>
  <si>
    <t>Nom final du produit agricole</t>
  </si>
  <si>
    <t>Variété finale</t>
  </si>
  <si>
    <t>Champ d’application de la certification (si aucun autre produit agricole RA)</t>
  </si>
  <si>
    <t>Catégorie</t>
  </si>
  <si>
    <t>Fruits</t>
  </si>
  <si>
    <t>Acérola</t>
  </si>
  <si>
    <t>Herbes et épices</t>
  </si>
  <si>
    <t>Feuilles d’acérola</t>
  </si>
  <si>
    <t>Luzerne</t>
  </si>
  <si>
    <t>Légumes</t>
  </si>
  <si>
    <t>Piment de la Jamaïque</t>
  </si>
  <si>
    <t>Amande</t>
  </si>
  <si>
    <t>Fruits à coques</t>
  </si>
  <si>
    <t>Angélique</t>
  </si>
  <si>
    <t>Anis</t>
  </si>
  <si>
    <t>Fleurs de pommier</t>
  </si>
  <si>
    <t>Pomme</t>
  </si>
  <si>
    <t>Feuilles de pommier</t>
  </si>
  <si>
    <t>Fleurs d’abricotier</t>
  </si>
  <si>
    <t>Abricot</t>
  </si>
  <si>
    <t>Feuilles d’abricotier</t>
  </si>
  <si>
    <t>Artichaut</t>
  </si>
  <si>
    <t>Roquette</t>
  </si>
  <si>
    <t>Frêne</t>
  </si>
  <si>
    <t>Asperge</t>
  </si>
  <si>
    <t>Avocat</t>
  </si>
  <si>
    <t>Aubépine</t>
  </si>
  <si>
    <t>Banane</t>
  </si>
  <si>
    <t>Bananes latundan</t>
  </si>
  <si>
    <t>Bananes Lady Finger</t>
  </si>
  <si>
    <t>Bananes rouges</t>
  </si>
  <si>
    <t>Berbéris</t>
  </si>
  <si>
    <t>Basilic</t>
  </si>
  <si>
    <t>Laurier</t>
  </si>
  <si>
    <t>Haricot</t>
  </si>
  <si>
    <t>Betterave, betterave rouge</t>
  </si>
  <si>
    <t>Poivrons</t>
  </si>
  <si>
    <t>Bergamote</t>
  </si>
  <si>
    <t>Pimpinelle</t>
  </si>
  <si>
    <t>Myrtille</t>
  </si>
  <si>
    <t>Courge amère</t>
  </si>
  <si>
    <t>Cassis</t>
  </si>
  <si>
    <t>Feuilles de cassissier</t>
  </si>
  <si>
    <t>Poivre noir</t>
  </si>
  <si>
    <t>UEBT/RA ou RA</t>
  </si>
  <si>
    <t>Mûre</t>
  </si>
  <si>
    <t>Feuilles de mûrier</t>
  </si>
  <si>
    <t>Chardon bénit</t>
  </si>
  <si>
    <t>Feuilles de myrtillier</t>
  </si>
  <si>
    <t>Bourrache</t>
  </si>
  <si>
    <t>Mûre de Boysen</t>
  </si>
  <si>
    <t>Feuilles de mûrier de Boysen</t>
  </si>
  <si>
    <t>Brocoli</t>
  </si>
  <si>
    <t>Chou de Bruxelles</t>
  </si>
  <si>
    <t>Pimprenelle</t>
  </si>
  <si>
    <t>Courge Buttercup</t>
  </si>
  <si>
    <t>Chou</t>
  </si>
  <si>
    <t>Calebasse</t>
  </si>
  <si>
    <t>Souci</t>
  </si>
  <si>
    <t>Carvi</t>
  </si>
  <si>
    <t>Cardamome</t>
  </si>
  <si>
    <t>Œillet</t>
  </si>
  <si>
    <t>Caroube</t>
  </si>
  <si>
    <t>Carotte</t>
  </si>
  <si>
    <t>Noix de cajou</t>
  </si>
  <si>
    <t>Manioc</t>
  </si>
  <si>
    <t>Cataire</t>
  </si>
  <si>
    <t>Chou-fleur</t>
  </si>
  <si>
    <t>Poivre de Cayenne</t>
  </si>
  <si>
    <t>Céleri</t>
  </si>
  <si>
    <t>Camomille</t>
  </si>
  <si>
    <t>Blette</t>
  </si>
  <si>
    <t>Grande mauve</t>
  </si>
  <si>
    <t>Fleurs de cerisier</t>
  </si>
  <si>
    <t>Cerise</t>
  </si>
  <si>
    <t>Feuilles de cerisier</t>
  </si>
  <si>
    <t>Cerfeuil</t>
  </si>
  <si>
    <t>Chicorée</t>
  </si>
  <si>
    <t>Courge de Siam</t>
  </si>
  <si>
    <t>Piment fort</t>
  </si>
  <si>
    <t>Piment</t>
  </si>
  <si>
    <t>Piment habanero</t>
  </si>
  <si>
    <t>Piment jalapeno</t>
  </si>
  <si>
    <t>Piment poblano</t>
  </si>
  <si>
    <t>Piment serrano</t>
  </si>
  <si>
    <t>Ciboulette</t>
  </si>
  <si>
    <t>Cerfeuil musqué</t>
  </si>
  <si>
    <t>Coriandre</t>
  </si>
  <si>
    <t>Cannelle</t>
  </si>
  <si>
    <t>Cédrat</t>
  </si>
  <si>
    <t>Citronnelle</t>
  </si>
  <si>
    <t>Fleurs d’agrumes</t>
  </si>
  <si>
    <t>Agrume</t>
  </si>
  <si>
    <t>Feuilles d’agrumes</t>
  </si>
  <si>
    <t>Clémentine</t>
  </si>
  <si>
    <t>Clou de girofle</t>
  </si>
  <si>
    <t>Cacao</t>
  </si>
  <si>
    <t>Noix de coco</t>
  </si>
  <si>
    <t>Café</t>
  </si>
  <si>
    <t>Colatier</t>
  </si>
  <si>
    <t>Molène commune</t>
  </si>
  <si>
    <t>Échinacée</t>
  </si>
  <si>
    <t>Maïs</t>
  </si>
  <si>
    <t>Bleuet</t>
  </si>
  <si>
    <t>Menthe-coq</t>
  </si>
  <si>
    <t>Primevère</t>
  </si>
  <si>
    <t>Fleurs de pommier sauvage</t>
  </si>
  <si>
    <t>Pomme sauvage</t>
  </si>
  <si>
    <t>Feuilles de pommier sauvage</t>
  </si>
  <si>
    <t>Canneberge</t>
  </si>
  <si>
    <t>Feuilles de canneberge</t>
  </si>
  <si>
    <t>Menthe poivrée</t>
  </si>
  <si>
    <t>Concombre</t>
  </si>
  <si>
    <t>Curuba</t>
  </si>
  <si>
    <t>Menthe frisée</t>
  </si>
  <si>
    <t>Feuille de curry</t>
  </si>
  <si>
    <t>Marguerite</t>
  </si>
  <si>
    <t>Pissenlit</t>
  </si>
  <si>
    <t>Sureau hièble</t>
  </si>
  <si>
    <t>Fleurs de dattier</t>
  </si>
  <si>
    <t>Datte</t>
  </si>
  <si>
    <t>Feuilles de dattier</t>
  </si>
  <si>
    <t>Aneth</t>
  </si>
  <si>
    <t>Feuilles de fruit du dragon</t>
  </si>
  <si>
    <t>Aubergine</t>
  </si>
  <si>
    <t>Sureau</t>
  </si>
  <si>
    <t>Fleur de sureau</t>
  </si>
  <si>
    <t>Fenouil</t>
  </si>
  <si>
    <t>Fenugrec</t>
  </si>
  <si>
    <t>Herbes &amp; épices</t>
  </si>
  <si>
    <t>Fougères</t>
  </si>
  <si>
    <t>Fleurs</t>
  </si>
  <si>
    <t>Grande camomille</t>
  </si>
  <si>
    <t>Figue</t>
  </si>
  <si>
    <t>Gumbo filé/Sassafras</t>
  </si>
  <si>
    <t>Galanga</t>
  </si>
  <si>
    <t>Ail</t>
  </si>
  <si>
    <t>Gingembre</t>
  </si>
  <si>
    <t>Rhubarbe dorée</t>
  </si>
  <si>
    <t>Groseille à maquereau</t>
  </si>
  <si>
    <t>Feuilles de groseillier à maquereau</t>
  </si>
  <si>
    <t>Graines de paradis</t>
  </si>
  <si>
    <t>Grenadille</t>
  </si>
  <si>
    <t>Fleurs de pamplemoussier</t>
  </si>
  <si>
    <t>Pamplemousse</t>
  </si>
  <si>
    <t>Feuilles de pamplemoussier</t>
  </si>
  <si>
    <t>Raisins</t>
  </si>
  <si>
    <t>Haricot vert</t>
  </si>
  <si>
    <t>Goyave</t>
  </si>
  <si>
    <t>Feuilles de goyavier</t>
  </si>
  <si>
    <t>Noisette</t>
  </si>
  <si>
    <t>Cœur de palmier</t>
  </si>
  <si>
    <t>Bruyère</t>
  </si>
  <si>
    <t>Chanvre</t>
  </si>
  <si>
    <t>Houblon</t>
  </si>
  <si>
    <t>Marrube</t>
  </si>
  <si>
    <t>Raifort</t>
  </si>
  <si>
    <t>Hysope</t>
  </si>
  <si>
    <t>Groseille à maquereau indienne</t>
  </si>
  <si>
    <t>Jacquier</t>
  </si>
  <si>
    <t>Jasmin</t>
  </si>
  <si>
    <t>Cirouelle/Mombin</t>
  </si>
  <si>
    <t>Baie de genévrier</t>
  </si>
  <si>
    <t>Chou frisé</t>
  </si>
  <si>
    <t>Alchémille</t>
  </si>
  <si>
    <t>Lavande</t>
  </si>
  <si>
    <t>Fougère à feuilles de cuir</t>
  </si>
  <si>
    <t>Poireau</t>
  </si>
  <si>
    <t>Mélisse</t>
  </si>
  <si>
    <t>Fleurs de citronnier</t>
  </si>
  <si>
    <t>Feuilles de citronnier</t>
  </si>
  <si>
    <t>Myrte citronnée</t>
  </si>
  <si>
    <t>Verveine citronnée</t>
  </si>
  <si>
    <t>Laitue</t>
  </si>
  <si>
    <t>Réglisse</t>
  </si>
  <si>
    <t>Fleurs de citronnier vert</t>
  </si>
  <si>
    <t>Citron vert</t>
  </si>
  <si>
    <t>Feuilles de citronnier vert</t>
  </si>
  <si>
    <t>Tilleul</t>
  </si>
  <si>
    <t>Livèche</t>
  </si>
  <si>
    <t>Fleurs de litchi</t>
  </si>
  <si>
    <t>Litchi</t>
  </si>
  <si>
    <t>Feuilles de litchi</t>
  </si>
  <si>
    <t>Muscadier</t>
  </si>
  <si>
    <t>Mauve</t>
  </si>
  <si>
    <t>Fleurs de mandarinier</t>
  </si>
  <si>
    <t>Mandarine</t>
  </si>
  <si>
    <t>Feuilles de mandarinier</t>
  </si>
  <si>
    <t>Mangue</t>
  </si>
  <si>
    <t>Feuilles de manguier</t>
  </si>
  <si>
    <t>Mangoustan</t>
  </si>
  <si>
    <t>Marjolaine</t>
  </si>
  <si>
    <t>Guimauve</t>
  </si>
  <si>
    <t>Reine des prés</t>
  </si>
  <si>
    <t>Fleurs de melon</t>
  </si>
  <si>
    <t>Melon</t>
  </si>
  <si>
    <t>Cantaloup</t>
  </si>
  <si>
    <t>Melon Honeydrew</t>
  </si>
  <si>
    <t>Feuilles de melon</t>
  </si>
  <si>
    <t>Menthe</t>
  </si>
  <si>
    <t>Moutarde</t>
  </si>
  <si>
    <t>Feuilles de moutarde</t>
  </si>
  <si>
    <t>Neem</t>
  </si>
  <si>
    <t>Feuilles de neem</t>
  </si>
  <si>
    <t>Grande ortie</t>
  </si>
  <si>
    <t>Nigelle</t>
  </si>
  <si>
    <t>Noix de muscade</t>
  </si>
  <si>
    <t>Avoine</t>
  </si>
  <si>
    <t>Palmier à huile</t>
  </si>
  <si>
    <t>Oignon</t>
  </si>
  <si>
    <t>Fleurs d’oranger</t>
  </si>
  <si>
    <t>Orange</t>
  </si>
  <si>
    <t>Feuilles d’oranger</t>
  </si>
  <si>
    <t>Origan</t>
  </si>
  <si>
    <t>Autres bananes</t>
  </si>
  <si>
    <t>Spécifié par le TC</t>
  </si>
  <si>
    <t>Autres fruits frais</t>
  </si>
  <si>
    <t>Autres légumes frais</t>
  </si>
  <si>
    <t>Autres herbes et épices</t>
  </si>
  <si>
    <t>Autres noix et graines</t>
  </si>
  <si>
    <t>Autres plantes ornementales</t>
  </si>
  <si>
    <t>Orthosiphon</t>
  </si>
  <si>
    <t>Feuilles de palmier</t>
  </si>
  <si>
    <t>Papaye</t>
  </si>
  <si>
    <t>Persil</t>
  </si>
  <si>
    <t>Fleurs de fruit de la passion</t>
  </si>
  <si>
    <t>Feuilles de fruit de la passion</t>
  </si>
  <si>
    <t>Fruit de la passion/Gulupa</t>
  </si>
  <si>
    <t>Pois</t>
  </si>
  <si>
    <t>Pêche/Durazno</t>
  </si>
  <si>
    <t>Fleurs de pêcher</t>
  </si>
  <si>
    <t>Feuilles de pêcher</t>
  </si>
  <si>
    <t>Cacahuète</t>
  </si>
  <si>
    <t>Fleurs de poirier</t>
  </si>
  <si>
    <t>Poire</t>
  </si>
  <si>
    <t>Feuilles de poirier</t>
  </si>
  <si>
    <t>Noix de pécan</t>
  </si>
  <si>
    <t>Pivoine</t>
  </si>
  <si>
    <t>Physalis/Groseille du Cap</t>
  </si>
  <si>
    <t>Piment d’ornement</t>
  </si>
  <si>
    <t>Ananas</t>
  </si>
  <si>
    <t>Feuilles d’ananas</t>
  </si>
  <si>
    <t>Pistache</t>
  </si>
  <si>
    <t>Pitaya/Fruit du dragon</t>
  </si>
  <si>
    <t>Fleurs de prunier</t>
  </si>
  <si>
    <t>Prune</t>
  </si>
  <si>
    <t>Feuilles de prunier</t>
  </si>
  <si>
    <t>Grenade</t>
  </si>
  <si>
    <t>Feuilles de grenadier</t>
  </si>
  <si>
    <t>Pavot</t>
  </si>
  <si>
    <t>Pomme de terre</t>
  </si>
  <si>
    <t>Citrouille</t>
  </si>
  <si>
    <t>Radis</t>
  </si>
  <si>
    <t>Ramboutan</t>
  </si>
  <si>
    <t>Framboise</t>
  </si>
  <si>
    <t>Feuilles de framboisier</t>
  </si>
  <si>
    <t>Groseille</t>
  </si>
  <si>
    <t>Feuilles de groseillier</t>
  </si>
  <si>
    <t>Rhubarbe</t>
  </si>
  <si>
    <t>Cynorhodon</t>
  </si>
  <si>
    <t>Romarin</t>
  </si>
  <si>
    <t>Rue des jardins</t>
  </si>
  <si>
    <t>Carthame</t>
  </si>
  <si>
    <t>Safran</t>
  </si>
  <si>
    <t>Sauge</t>
  </si>
  <si>
    <t>Sauge salvia</t>
  </si>
  <si>
    <t>Sapote/Chikoo</t>
  </si>
  <si>
    <t>Salsepareille</t>
  </si>
  <si>
    <t>Sarriette</t>
  </si>
  <si>
    <t>Tilleul argenté</t>
  </si>
  <si>
    <t>Oseille</t>
  </si>
  <si>
    <t>Corossol</t>
  </si>
  <si>
    <t>Menthe verte</t>
  </si>
  <si>
    <t>Épices</t>
  </si>
  <si>
    <t>Épinard</t>
  </si>
  <si>
    <t>Courge</t>
  </si>
  <si>
    <t>Millepertuis</t>
  </si>
  <si>
    <t>Anis étoilé</t>
  </si>
  <si>
    <t>Ortie piquante</t>
  </si>
  <si>
    <t>Tilleur de roche</t>
  </si>
  <si>
    <t>Fleurs de fraisier</t>
  </si>
  <si>
    <t>Fraise</t>
  </si>
  <si>
    <t>Feuilles de fraisier</t>
  </si>
  <si>
    <t>Tournesol</t>
  </si>
  <si>
    <t>Mûre sucrée</t>
  </si>
  <si>
    <t>Fenouil doux</t>
  </si>
  <si>
    <t>Grenadille sucrée</t>
  </si>
  <si>
    <t>Oignon doux</t>
  </si>
  <si>
    <t>Patate douce</t>
  </si>
  <si>
    <t>Racine de taïga</t>
  </si>
  <si>
    <t>Fleurs de tangerine</t>
  </si>
  <si>
    <t>Feuilles de tangerine</t>
  </si>
  <si>
    <t>Taro/Kalo</t>
  </si>
  <si>
    <t>Estragon</t>
  </si>
  <si>
    <t>Théier</t>
  </si>
  <si>
    <t>Thé</t>
  </si>
  <si>
    <t>Thym</t>
  </si>
  <si>
    <t>Tomate</t>
  </si>
  <si>
    <t>Valériane</t>
  </si>
  <si>
    <t>Vanille</t>
  </si>
  <si>
    <t>Feuillages divers</t>
  </si>
  <si>
    <t>Verveine</t>
  </si>
  <si>
    <t>Cresson de fontaine</t>
  </si>
  <si>
    <t>Poivre blanc</t>
  </si>
  <si>
    <t>Fleurs de poirier sauvage</t>
  </si>
  <si>
    <t>Poire sauvage</t>
  </si>
  <si>
    <t>Feuilles de poirier sauvage</t>
  </si>
  <si>
    <t>Écorce de saule</t>
  </si>
  <si>
    <t>Épilobe</t>
  </si>
  <si>
    <t>Millefeuille</t>
  </si>
  <si>
    <t>Yerba maté</t>
  </si>
  <si>
    <t>Comment utiliser ce document</t>
  </si>
  <si>
    <t>1) Veuillez compléter les informations des onglets 1. Membre du groupe, 2. Produit agricole certifié et 3. Unité agricole. Les cellules dont les titres sont en gris foncé sont automatiquement calculées ;</t>
  </si>
  <si>
    <t>2) Des cellules formatées sont utilisées et de courtes explications/instructions peuvent s’afficher en cliquant sur l’en-tête des colonnes. Ces notes peuvent vous aider à remplir les cellules ;</t>
  </si>
  <si>
    <t>3) Lorsque vous remplissez le modèle, veuillez utiliser les « options de collage » lorsque vous copiez-collez des données de votre propre base de données. Si vous avez besoin de plus de lignes, le fichier les générera automatiquement ;</t>
  </si>
  <si>
    <t>4) Une colonne de validations vide (rubriques en vert foncé) signifie que les données sont correctes ;</t>
  </si>
  <si>
    <t>5) Après avoir rempli les onglets, veuillez vous rendre sur l’onglet Tableau de bord pour vérifier les erreurs ou les fautes de frappe ;</t>
  </si>
  <si>
    <t>6) En cas de doute, vous pouvez toujours contacter l’équipe Customer Success par courrier électronique à l’adresse cs@ra.org</t>
  </si>
  <si>
    <t>Merci et bonne chance !</t>
  </si>
  <si>
    <t>Symboles et abréviations utilisés</t>
  </si>
  <si>
    <t>TC : Titulaire de certificat</t>
  </si>
  <si>
    <t>OC : Organisme de certification</t>
  </si>
  <si>
    <t>PCRA : Plateforme de certification de Rainforest Alliance</t>
  </si>
  <si>
    <t>RMG : Registre des membres du groupe</t>
  </si>
  <si>
    <t>ID : Identifiant</t>
  </si>
  <si>
    <t>SGI : Système de Gestion Interne</t>
  </si>
  <si>
    <r>
      <rPr>
        <b/>
        <sz val="11"/>
        <color theme="1"/>
        <rFont val="Century Gothic"/>
        <family val="2"/>
      </rPr>
      <t>SYMBOLES UTILISÉS DANS LES COLONNES</t>
    </r>
    <r>
      <rPr>
        <b/>
        <sz val="11"/>
        <color rgb="FF000000"/>
        <rFont val="Calibri"/>
        <family val="2"/>
      </rPr>
      <t> </t>
    </r>
  </si>
  <si>
    <r>
      <rPr>
        <b/>
        <sz val="11"/>
        <color theme="1"/>
        <rFont val="Century Gothic"/>
        <family val="2"/>
      </rPr>
      <t>SIGNIFICATION</t>
    </r>
    <r>
      <rPr>
        <b/>
        <sz val="11"/>
        <color rgb="FF000000"/>
        <rFont val="Calibri"/>
        <family val="2"/>
      </rPr>
      <t> </t>
    </r>
  </si>
  <si>
    <r>
      <rPr>
        <b/>
        <sz val="11"/>
        <color theme="1"/>
        <rFont val="Century Gothic"/>
        <family val="2"/>
      </rPr>
      <t>VALIDATION</t>
    </r>
    <r>
      <rPr>
        <b/>
        <sz val="11"/>
        <color rgb="FF000000"/>
        <rFont val="Calibri"/>
        <family val="2"/>
      </rPr>
      <t> </t>
    </r>
  </si>
  <si>
    <t>Si applicable </t>
  </si>
  <si>
    <t>Les cellules vides sont autorisées </t>
  </si>
  <si>
    <t>Champ obligatoire  </t>
  </si>
  <si>
    <t>Aucune cellule vide n’est autorisée </t>
  </si>
  <si>
    <t>Champ obligatoire si disponible </t>
  </si>
  <si>
    <t>Les cellules vides ne sont pas autorisées, mais la mention « non disponible » peut être utilisée </t>
  </si>
  <si>
    <t>SGU-003</t>
  </si>
  <si>
    <t>NON DISPONIBLE</t>
  </si>
  <si>
    <t>GUEZAHI</t>
  </si>
  <si>
    <t>BLOLEQUIN</t>
  </si>
  <si>
    <t>COTE D'IVOIRE</t>
  </si>
  <si>
    <t>CAVALY</t>
  </si>
  <si>
    <t>Non disponible</t>
  </si>
  <si>
    <t>ZRANHIREU</t>
  </si>
  <si>
    <t xml:space="preserve"> BAGUI HONORE</t>
  </si>
  <si>
    <t>M</t>
  </si>
  <si>
    <t>KPAN ZLANGLOUSSEU FRANCK</t>
  </si>
  <si>
    <t>SGU-005</t>
  </si>
  <si>
    <t>DAIWA</t>
  </si>
  <si>
    <t xml:space="preserve"> ZOURH BILLY</t>
  </si>
  <si>
    <t>SGU-006</t>
  </si>
  <si>
    <t>SANGARE</t>
  </si>
  <si>
    <t xml:space="preserve"> TIEMOKO</t>
  </si>
  <si>
    <t>BF394002003001014658</t>
  </si>
  <si>
    <t>SGU-009</t>
  </si>
  <si>
    <t>DAMBRE</t>
  </si>
  <si>
    <t>PASCAL</t>
  </si>
  <si>
    <t>05 45 32 51 38</t>
  </si>
  <si>
    <t>BF384002004001009273</t>
  </si>
  <si>
    <t>SGU-010</t>
  </si>
  <si>
    <t>BEIPEUNAKEU</t>
  </si>
  <si>
    <t>JONAS 1</t>
  </si>
  <si>
    <t>SGU-016</t>
  </si>
  <si>
    <t>SANKANRA</t>
  </si>
  <si>
    <t xml:space="preserve"> MAMOUDOU</t>
  </si>
  <si>
    <t>SGU-018</t>
  </si>
  <si>
    <t>KAFANDO</t>
  </si>
  <si>
    <t xml:space="preserve"> JOACHAIN</t>
  </si>
  <si>
    <t>07 89 20 22 06</t>
  </si>
  <si>
    <t>SGU-019</t>
  </si>
  <si>
    <t>OUATTARA</t>
  </si>
  <si>
    <t>AMADOU</t>
  </si>
  <si>
    <t>SGU-020</t>
  </si>
  <si>
    <t>ADAMA 1</t>
  </si>
  <si>
    <t>C0045745269</t>
  </si>
  <si>
    <t>SGU-021</t>
  </si>
  <si>
    <t>OUEDRAOGO</t>
  </si>
  <si>
    <t xml:space="preserve"> KOMYABA SOUMAILA</t>
  </si>
  <si>
    <t>07 09 51 76 91</t>
  </si>
  <si>
    <t>SGU-022</t>
  </si>
  <si>
    <t>SAMAKE</t>
  </si>
  <si>
    <t xml:space="preserve"> SIAKA</t>
  </si>
  <si>
    <t>BF384002004003052189</t>
  </si>
  <si>
    <t>SGU-024</t>
  </si>
  <si>
    <t>TRAORE</t>
  </si>
  <si>
    <t xml:space="preserve"> KASSOUM</t>
  </si>
  <si>
    <t>07 48 70 48 11</t>
  </si>
  <si>
    <t>SGU-025</t>
  </si>
  <si>
    <t xml:space="preserve"> ISSA 1</t>
  </si>
  <si>
    <t>07 88 70 03 73</t>
  </si>
  <si>
    <t>SGU-026</t>
  </si>
  <si>
    <t>KAPIEU</t>
  </si>
  <si>
    <t xml:space="preserve"> PIERRE MONSOU</t>
  </si>
  <si>
    <t>07 77 88 67 46</t>
  </si>
  <si>
    <t>SGU-027</t>
  </si>
  <si>
    <t>SAHI</t>
  </si>
  <si>
    <t>ENOC</t>
  </si>
  <si>
    <t>SGU-028</t>
  </si>
  <si>
    <t>DOUMBIA</t>
  </si>
  <si>
    <t>DAOUDA</t>
  </si>
  <si>
    <t>07 09 15 18 14</t>
  </si>
  <si>
    <t>C0105645278</t>
  </si>
  <si>
    <t>SGU-029</t>
  </si>
  <si>
    <t>KPANGUEA</t>
  </si>
  <si>
    <t xml:space="preserve"> KOUIONGBE FELIX</t>
  </si>
  <si>
    <t>07 88 50 87 41</t>
  </si>
  <si>
    <t>SGU-030</t>
  </si>
  <si>
    <t>MESSOU</t>
  </si>
  <si>
    <t>TOMPIEU PIERRE</t>
  </si>
  <si>
    <t>07 57 81 48 89</t>
  </si>
  <si>
    <t>SGU-031</t>
  </si>
  <si>
    <t>SEUH</t>
  </si>
  <si>
    <t xml:space="preserve"> GUEU FLORENTIN</t>
  </si>
  <si>
    <t>07 88 83 92 98</t>
  </si>
  <si>
    <t>C0080411433</t>
  </si>
  <si>
    <t>SGU-032</t>
  </si>
  <si>
    <t>TOUALY</t>
  </si>
  <si>
    <t xml:space="preserve"> MANDO VIVIANE</t>
  </si>
  <si>
    <t>07 57 58 37 21</t>
  </si>
  <si>
    <t>C0076708132</t>
  </si>
  <si>
    <t>F</t>
  </si>
  <si>
    <t>SGU-033</t>
  </si>
  <si>
    <t>ADAMA</t>
  </si>
  <si>
    <t xml:space="preserve"> DIARRA</t>
  </si>
  <si>
    <t>07 89 08 31 98</t>
  </si>
  <si>
    <t>SGU-034</t>
  </si>
  <si>
    <t>KIENTEGA</t>
  </si>
  <si>
    <t>PIERRE</t>
  </si>
  <si>
    <t>SGU-035</t>
  </si>
  <si>
    <t>YERBANGA</t>
  </si>
  <si>
    <t>TOUSSAINT</t>
  </si>
  <si>
    <t>SGU-036</t>
  </si>
  <si>
    <t xml:space="preserve"> PINGUEDA</t>
  </si>
  <si>
    <t>SGU-037</t>
  </si>
  <si>
    <t>KONE</t>
  </si>
  <si>
    <t>SOULEYMANE 1</t>
  </si>
  <si>
    <t>SGU-038</t>
  </si>
  <si>
    <t>GUEI</t>
  </si>
  <si>
    <t>GOUET RICHARD</t>
  </si>
  <si>
    <t>07 59 26 58 39</t>
  </si>
  <si>
    <t>SGU-040</t>
  </si>
  <si>
    <t xml:space="preserve"> SOUMAHILA</t>
  </si>
  <si>
    <t>SGU-041</t>
  </si>
  <si>
    <t>BIRAMA</t>
  </si>
  <si>
    <t>SGU-042</t>
  </si>
  <si>
    <t>SAMA</t>
  </si>
  <si>
    <t xml:space="preserve"> ALBERT</t>
  </si>
  <si>
    <t>07 47 14 64 63</t>
  </si>
  <si>
    <t>BF384003001001082881</t>
  </si>
  <si>
    <t>SGU-043</t>
  </si>
  <si>
    <t>SOH</t>
  </si>
  <si>
    <t>MAHONTO   GUY MACOS</t>
  </si>
  <si>
    <t>07 88 14 46 23</t>
  </si>
  <si>
    <t>C0079543848</t>
  </si>
  <si>
    <t>SGU-044</t>
  </si>
  <si>
    <t>BIEU</t>
  </si>
  <si>
    <t xml:space="preserve"> TIEU PAUL</t>
  </si>
  <si>
    <t>07 59 46 80 19</t>
  </si>
  <si>
    <t>SGU-045</t>
  </si>
  <si>
    <t>KOYA</t>
  </si>
  <si>
    <t xml:space="preserve"> KPANNIEU ETIENNE</t>
  </si>
  <si>
    <t>07 49 82 72 98</t>
  </si>
  <si>
    <t>C0082293866</t>
  </si>
  <si>
    <t>SGU-046</t>
  </si>
  <si>
    <t>GOMPOU</t>
  </si>
  <si>
    <t>07 78 44 46 68</t>
  </si>
  <si>
    <t>C0079451882</t>
  </si>
  <si>
    <t>SGU-047</t>
  </si>
  <si>
    <t>OMEPIEU</t>
  </si>
  <si>
    <t xml:space="preserve"> K.S. PIERRE</t>
  </si>
  <si>
    <t>C0064584209</t>
  </si>
  <si>
    <t>SGU-048</t>
  </si>
  <si>
    <t>GUEU</t>
  </si>
  <si>
    <t>DETOPEU HENRIETTE</t>
  </si>
  <si>
    <t>07 78 35 47 46</t>
  </si>
  <si>
    <t>C0080860424</t>
  </si>
  <si>
    <t>SGU-049</t>
  </si>
  <si>
    <t>GOUKANOU</t>
  </si>
  <si>
    <t xml:space="preserve"> MAWOUYE IVIASE</t>
  </si>
  <si>
    <t>07 47 50 75 90</t>
  </si>
  <si>
    <t>C0079154521</t>
  </si>
  <si>
    <t>SGU-050</t>
  </si>
  <si>
    <t xml:space="preserve"> KPAN BATHELEMY</t>
  </si>
  <si>
    <t>07 68 81 19 76</t>
  </si>
  <si>
    <t>C0084983435</t>
  </si>
  <si>
    <t>SGU-051</t>
  </si>
  <si>
    <t>TAHAN</t>
  </si>
  <si>
    <t>MEBA LOPEZ</t>
  </si>
  <si>
    <t>05 64 49 59 31</t>
  </si>
  <si>
    <t>SGU-052</t>
  </si>
  <si>
    <t>DIOURATIE</t>
  </si>
  <si>
    <t xml:space="preserve"> COULIBALY</t>
  </si>
  <si>
    <t>07 69 11 33 72</t>
  </si>
  <si>
    <t>SGU-053</t>
  </si>
  <si>
    <t xml:space="preserve"> MAMADOU</t>
  </si>
  <si>
    <t>07 49 11 57 49</t>
  </si>
  <si>
    <t>SGU-054</t>
  </si>
  <si>
    <t>KONATE</t>
  </si>
  <si>
    <t>ALI</t>
  </si>
  <si>
    <t>07 87 76 17 14</t>
  </si>
  <si>
    <t>SGU-055</t>
  </si>
  <si>
    <t>SGU-057</t>
  </si>
  <si>
    <t xml:space="preserve"> GBAH FELIX</t>
  </si>
  <si>
    <t>07 68 45 45 50</t>
  </si>
  <si>
    <t>SGU-058</t>
  </si>
  <si>
    <t>WAH</t>
  </si>
  <si>
    <t xml:space="preserve"> GONKANOU BENJAMIN</t>
  </si>
  <si>
    <t>SGU-059</t>
  </si>
  <si>
    <t>MASSEU</t>
  </si>
  <si>
    <t xml:space="preserve"> GUEU ESMEL</t>
  </si>
  <si>
    <t>07 78 53 38 68</t>
  </si>
  <si>
    <t>SGU-060</t>
  </si>
  <si>
    <t xml:space="preserve"> TOMPIEU THEOPHILE</t>
  </si>
  <si>
    <t>07 09 41 21 26</t>
  </si>
  <si>
    <t>SGU-061</t>
  </si>
  <si>
    <t>DOUA</t>
  </si>
  <si>
    <t xml:space="preserve"> ODIE UGOR</t>
  </si>
  <si>
    <t>SGU-062</t>
  </si>
  <si>
    <t>N'GA</t>
  </si>
  <si>
    <t xml:space="preserve"> DADOLAI FRANCOIS</t>
  </si>
  <si>
    <t>SGU-063</t>
  </si>
  <si>
    <t>DOMI</t>
  </si>
  <si>
    <t xml:space="preserve"> GUEU DOMINIQUE</t>
  </si>
  <si>
    <t>SGU-064</t>
  </si>
  <si>
    <t xml:space="preserve"> EXONE</t>
  </si>
  <si>
    <t>SGU-065</t>
  </si>
  <si>
    <t>TOUATOUEU</t>
  </si>
  <si>
    <t xml:space="preserve"> KOUATO CESAR</t>
  </si>
  <si>
    <t>SGU-066</t>
  </si>
  <si>
    <t>GONLY ERNEST</t>
  </si>
  <si>
    <t>C0080407669</t>
  </si>
  <si>
    <t>SGU-067</t>
  </si>
  <si>
    <t>KOULIBALY</t>
  </si>
  <si>
    <r>
      <t xml:space="preserve"> </t>
    </r>
    <r>
      <rPr>
        <sz val="11"/>
        <rFont val="Calibri"/>
        <family val="2"/>
      </rPr>
      <t>NAMORY</t>
    </r>
  </si>
  <si>
    <t>07 47 40 64 45</t>
  </si>
  <si>
    <t>C0096582028</t>
  </si>
  <si>
    <t>SGU-068</t>
  </si>
  <si>
    <t>VAN</t>
  </si>
  <si>
    <t xml:space="preserve"> CAMINDO JUSCARD</t>
  </si>
  <si>
    <t>07 69 57 75 31</t>
  </si>
  <si>
    <t>SGU-069</t>
  </si>
  <si>
    <t xml:space="preserve"> ADAMA</t>
  </si>
  <si>
    <t>07 07 04 70 99</t>
  </si>
  <si>
    <t>SGU-070</t>
  </si>
  <si>
    <t>YERBA</t>
  </si>
  <si>
    <t xml:space="preserve"> GAN GABRIEL</t>
  </si>
  <si>
    <t>SGU-071</t>
  </si>
  <si>
    <t xml:space="preserve"> SAIBA</t>
  </si>
  <si>
    <t>SGU-075</t>
  </si>
  <si>
    <t>MLANKIEU</t>
  </si>
  <si>
    <t xml:space="preserve"> OUMEPIEU</t>
  </si>
  <si>
    <t>SGU-076</t>
  </si>
  <si>
    <t>TIEU</t>
  </si>
  <si>
    <t>GUEU HERMANN</t>
  </si>
  <si>
    <t>07 78 96 25 43</t>
  </si>
  <si>
    <t>C0116300559</t>
  </si>
  <si>
    <t>SGU-077</t>
  </si>
  <si>
    <t>YAKOU</t>
  </si>
  <si>
    <t xml:space="preserve"> LAURENT</t>
  </si>
  <si>
    <t>SGU-078</t>
  </si>
  <si>
    <t>INNOCENT</t>
  </si>
  <si>
    <t>SGU-079</t>
  </si>
  <si>
    <t>DOMY</t>
  </si>
  <si>
    <t xml:space="preserve"> GUEU</t>
  </si>
  <si>
    <t>SGU-080</t>
  </si>
  <si>
    <t>N'GADA</t>
  </si>
  <si>
    <t xml:space="preserve"> TAGINEU APOLINAIRE</t>
  </si>
  <si>
    <t>07 79 79 74 64</t>
  </si>
  <si>
    <t>SGU-081</t>
  </si>
  <si>
    <t xml:space="preserve"> TOUAKESSEU ARSENE</t>
  </si>
  <si>
    <t>SGU-082</t>
  </si>
  <si>
    <t xml:space="preserve"> SOH ANDRE</t>
  </si>
  <si>
    <t>C0076213638</t>
  </si>
  <si>
    <t>SGU-083</t>
  </si>
  <si>
    <t xml:space="preserve"> NARCISSE</t>
  </si>
  <si>
    <t>07 68 34 45 26</t>
  </si>
  <si>
    <t>SGU-084</t>
  </si>
  <si>
    <t>GOMUN</t>
  </si>
  <si>
    <t xml:space="preserve"> KOUAKEU CHARLES</t>
  </si>
  <si>
    <t>SGU-085</t>
  </si>
  <si>
    <t>SINSIN</t>
  </si>
  <si>
    <t xml:space="preserve"> SERGE</t>
  </si>
  <si>
    <t>07 78 32 19 89</t>
  </si>
  <si>
    <t>SGU-086</t>
  </si>
  <si>
    <t>MANHAN</t>
  </si>
  <si>
    <t>MONHO FREDERIC</t>
  </si>
  <si>
    <t>SGU-087</t>
  </si>
  <si>
    <t>GOUE</t>
  </si>
  <si>
    <t xml:space="preserve"> IRENE</t>
  </si>
  <si>
    <t>05 45 37 00 25</t>
  </si>
  <si>
    <t>SGU-088</t>
  </si>
  <si>
    <t>DEMY</t>
  </si>
  <si>
    <t xml:space="preserve"> YEHI ELIE</t>
  </si>
  <si>
    <t>SGU-089</t>
  </si>
  <si>
    <t>KPAN</t>
  </si>
  <si>
    <t xml:space="preserve"> OPEUMIEU CHARLES</t>
  </si>
  <si>
    <t>SGU-090</t>
  </si>
  <si>
    <t>WAKEULE</t>
  </si>
  <si>
    <r>
      <t xml:space="preserve"> </t>
    </r>
    <r>
      <rPr>
        <sz val="11"/>
        <rFont val="Calibri"/>
        <family val="2"/>
      </rPr>
      <t>NARCICSSE</t>
    </r>
  </si>
  <si>
    <t>07 49 17 82 89</t>
  </si>
  <si>
    <t>SGU-091</t>
  </si>
  <si>
    <t>BORIS</t>
  </si>
  <si>
    <t>C0063209062</t>
  </si>
  <si>
    <t>SGU-092</t>
  </si>
  <si>
    <t>GOUAN</t>
  </si>
  <si>
    <r>
      <t xml:space="preserve"> </t>
    </r>
    <r>
      <rPr>
        <sz val="11"/>
        <rFont val="Calibri"/>
        <family val="2"/>
      </rPr>
      <t>NOU AUGUSTIN</t>
    </r>
  </si>
  <si>
    <t>07 57 47 81 08</t>
  </si>
  <si>
    <t>SGU-093</t>
  </si>
  <si>
    <t>SANOGO</t>
  </si>
  <si>
    <t>SGU-095</t>
  </si>
  <si>
    <t xml:space="preserve"> KOYA PAUL</t>
  </si>
  <si>
    <t>07 57 82 90 64</t>
  </si>
  <si>
    <t>C0063172993</t>
  </si>
  <si>
    <t>SGU-096</t>
  </si>
  <si>
    <r>
      <t xml:space="preserve"> MUNLE</t>
    </r>
    <r>
      <rPr>
        <sz val="11"/>
        <rFont val="Calibri"/>
        <family val="2"/>
      </rPr>
      <t xml:space="preserve"> DELPHINE</t>
    </r>
  </si>
  <si>
    <t>07 78 25 43 99</t>
  </si>
  <si>
    <t>SGU-098</t>
  </si>
  <si>
    <t>SAWADOGO</t>
  </si>
  <si>
    <t xml:space="preserve"> BOUKARE</t>
  </si>
  <si>
    <t>SGU-099</t>
  </si>
  <si>
    <t>TIESSANRY</t>
  </si>
  <si>
    <t xml:space="preserve"> KONATE</t>
  </si>
  <si>
    <t>07 47 12 63 01</t>
  </si>
  <si>
    <t>SGU-100</t>
  </si>
  <si>
    <t>SANMAGUE</t>
  </si>
  <si>
    <t xml:space="preserve"> SEYDOU</t>
  </si>
  <si>
    <t>SGU-101</t>
  </si>
  <si>
    <t xml:space="preserve"> HARAMOUYA</t>
  </si>
  <si>
    <t>SGU-102</t>
  </si>
  <si>
    <t xml:space="preserve"> FOUSSEINI</t>
  </si>
  <si>
    <t>SGU-103</t>
  </si>
  <si>
    <t>FIA</t>
  </si>
  <si>
    <t>SEVERIEN</t>
  </si>
  <si>
    <t>05 44 75 57 19</t>
  </si>
  <si>
    <t>SGU-104</t>
  </si>
  <si>
    <t xml:space="preserve"> THEODOR</t>
  </si>
  <si>
    <t>SGU-105</t>
  </si>
  <si>
    <t>BLE</t>
  </si>
  <si>
    <t xml:space="preserve"> EZAI</t>
  </si>
  <si>
    <t>SGU-108</t>
  </si>
  <si>
    <t>VAMOH</t>
  </si>
  <si>
    <r>
      <t xml:space="preserve"> BEA </t>
    </r>
    <r>
      <rPr>
        <sz val="11"/>
        <rFont val="Calibri"/>
        <family val="2"/>
      </rPr>
      <t>JEANOH</t>
    </r>
  </si>
  <si>
    <t>05 44 22 69 51</t>
  </si>
  <si>
    <t>C0084474344</t>
  </si>
  <si>
    <t>SGU-109</t>
  </si>
  <si>
    <t>VANMOH</t>
  </si>
  <si>
    <t xml:space="preserve"> FOUEULO IGNACE</t>
  </si>
  <si>
    <t>C0064564209</t>
  </si>
  <si>
    <t>SGU-110</t>
  </si>
  <si>
    <t xml:space="preserve"> KOUAKEUSSEU BRUNO</t>
  </si>
  <si>
    <t>07 58 75 20 71</t>
  </si>
  <si>
    <t>SGU-111</t>
  </si>
  <si>
    <t xml:space="preserve"> FABRICE</t>
  </si>
  <si>
    <t>SGU-112</t>
  </si>
  <si>
    <t xml:space="preserve"> NUN PAUL</t>
  </si>
  <si>
    <t>C0059748247</t>
  </si>
  <si>
    <t>SGU-114</t>
  </si>
  <si>
    <t xml:space="preserve"> NESTOR 1</t>
  </si>
  <si>
    <t>SGU-115</t>
  </si>
  <si>
    <t>GONLY</t>
  </si>
  <si>
    <t>OLIVIER</t>
  </si>
  <si>
    <t>07 59 37 38 42</t>
  </si>
  <si>
    <t>C0080951269</t>
  </si>
  <si>
    <t>SGU-117</t>
  </si>
  <si>
    <t>DIEPEU</t>
  </si>
  <si>
    <t xml:space="preserve"> GBA JACQUES</t>
  </si>
  <si>
    <t>07 07 84 36 72</t>
  </si>
  <si>
    <t>SGU-120</t>
  </si>
  <si>
    <t xml:space="preserve"> MOCTAR</t>
  </si>
  <si>
    <t>07 08 01 47 50</t>
  </si>
  <si>
    <t>SGU-122</t>
  </si>
  <si>
    <t>SAVADOGO</t>
  </si>
  <si>
    <t xml:space="preserve"> ISSIAKA</t>
  </si>
  <si>
    <t>07 49 87 43 51</t>
  </si>
  <si>
    <t>SGU-123</t>
  </si>
  <si>
    <t>YACO</t>
  </si>
  <si>
    <t xml:space="preserve"> SIMON</t>
  </si>
  <si>
    <t>07 49 88 00 24</t>
  </si>
  <si>
    <t>SGU-124</t>
  </si>
  <si>
    <t>BAMBA</t>
  </si>
  <si>
    <t xml:space="preserve"> YOUSSOUF</t>
  </si>
  <si>
    <t>SGU-125</t>
  </si>
  <si>
    <t xml:space="preserve"> RICHARD</t>
  </si>
  <si>
    <t>C0076692215</t>
  </si>
  <si>
    <t>SGU-127</t>
  </si>
  <si>
    <t xml:space="preserve"> YVE JOEL</t>
  </si>
  <si>
    <t>07 78 38 73 68</t>
  </si>
  <si>
    <t>C0116300546</t>
  </si>
  <si>
    <t>SGU-129</t>
  </si>
  <si>
    <t>SGU-130</t>
  </si>
  <si>
    <t>DOH</t>
  </si>
  <si>
    <t>GLOU JONAS</t>
  </si>
  <si>
    <t>C0080421186</t>
  </si>
  <si>
    <t>SGU-131</t>
  </si>
  <si>
    <t>OMAIPIEU</t>
  </si>
  <si>
    <t xml:space="preserve"> MARUS</t>
  </si>
  <si>
    <t>07 77 96 17 48</t>
  </si>
  <si>
    <t>SGU-132</t>
  </si>
  <si>
    <t xml:space="preserve"> MATHIEU</t>
  </si>
  <si>
    <t>SGU-133</t>
  </si>
  <si>
    <t>MOIMEL LAMINE</t>
  </si>
  <si>
    <t>07 67 84 85 64</t>
  </si>
  <si>
    <t>SGU-135</t>
  </si>
  <si>
    <t>DIDIER</t>
  </si>
  <si>
    <t>07 78 46 54 16</t>
  </si>
  <si>
    <t>SGU-136</t>
  </si>
  <si>
    <t xml:space="preserve"> MARC ARSENE</t>
  </si>
  <si>
    <t>SGU-137</t>
  </si>
  <si>
    <t>LAZARE</t>
  </si>
  <si>
    <t>SGU-138</t>
  </si>
  <si>
    <r>
      <t xml:space="preserve"> N. </t>
    </r>
    <r>
      <rPr>
        <sz val="11"/>
        <rFont val="Calibri"/>
        <family val="2"/>
      </rPr>
      <t>FRANCIOS</t>
    </r>
  </si>
  <si>
    <t>07 78 22 88 80</t>
  </si>
  <si>
    <t>SGU-139</t>
  </si>
  <si>
    <t>SINAYAGA</t>
  </si>
  <si>
    <r>
      <t xml:space="preserve"> </t>
    </r>
    <r>
      <rPr>
        <sz val="11"/>
        <rFont val="Calibri"/>
        <family val="2"/>
      </rPr>
      <t>SEBASIN</t>
    </r>
  </si>
  <si>
    <t>SGU-140</t>
  </si>
  <si>
    <t>BAMOUNI</t>
  </si>
  <si>
    <r>
      <t xml:space="preserve"> </t>
    </r>
    <r>
      <rPr>
        <sz val="11"/>
        <rFont val="Calibri"/>
        <family val="2"/>
      </rPr>
      <t>SAIYOUBA</t>
    </r>
  </si>
  <si>
    <t>SGU-143</t>
  </si>
  <si>
    <r>
      <t xml:space="preserve"> </t>
    </r>
    <r>
      <rPr>
        <sz val="11"/>
        <rFont val="Calibri"/>
        <family val="2"/>
      </rPr>
      <t>ALMED</t>
    </r>
  </si>
  <si>
    <t>SGU-147</t>
  </si>
  <si>
    <t>TONPIEU</t>
  </si>
  <si>
    <t xml:space="preserve"> SEVERIEN</t>
  </si>
  <si>
    <t>SGU-148</t>
  </si>
  <si>
    <t xml:space="preserve"> MERMOSE</t>
  </si>
  <si>
    <t>07 69 68 56 16</t>
  </si>
  <si>
    <t>C0063234998</t>
  </si>
  <si>
    <t>SGU-149</t>
  </si>
  <si>
    <t>ZOUDI</t>
  </si>
  <si>
    <t xml:space="preserve"> SOULEYMANE </t>
  </si>
  <si>
    <t>07 79 04 80 27</t>
  </si>
  <si>
    <t>SGU-150</t>
  </si>
  <si>
    <t>ZONGO</t>
  </si>
  <si>
    <t xml:space="preserve"> PASCAL</t>
  </si>
  <si>
    <t>07 78 73 63 20</t>
  </si>
  <si>
    <t>SGU-151</t>
  </si>
  <si>
    <t xml:space="preserve"> N. DANIEL</t>
  </si>
  <si>
    <t>07 08 74 01 34</t>
  </si>
  <si>
    <t>SGU-152</t>
  </si>
  <si>
    <t>BONKOUNGOU</t>
  </si>
  <si>
    <t xml:space="preserve"> HAMIDOU</t>
  </si>
  <si>
    <t>07 47 05 45 44</t>
  </si>
  <si>
    <t>SGU-153</t>
  </si>
  <si>
    <t>PAGABELGUEM</t>
  </si>
  <si>
    <t xml:space="preserve"> ISSOUF</t>
  </si>
  <si>
    <t>07 48 48 53 49</t>
  </si>
  <si>
    <t>SGU-155</t>
  </si>
  <si>
    <t>ZOUNDY</t>
  </si>
  <si>
    <t xml:space="preserve"> SOULEYMANE</t>
  </si>
  <si>
    <t>SGU-156</t>
  </si>
  <si>
    <t>KABORE</t>
  </si>
  <si>
    <t xml:space="preserve"> SAIDOU FRANCOIS</t>
  </si>
  <si>
    <t>07 79 81 21 76</t>
  </si>
  <si>
    <t>SGU-158</t>
  </si>
  <si>
    <t>SGU-164</t>
  </si>
  <si>
    <t>KOROGO</t>
  </si>
  <si>
    <t xml:space="preserve"> BASILE</t>
  </si>
  <si>
    <t>07 69 63 05 41</t>
  </si>
  <si>
    <t>SGU-165</t>
  </si>
  <si>
    <t>GAMSORI</t>
  </si>
  <si>
    <t xml:space="preserve"> YAHISIA</t>
  </si>
  <si>
    <t>07 47 15 15 00</t>
  </si>
  <si>
    <t>SGU-166</t>
  </si>
  <si>
    <t>KINDA</t>
  </si>
  <si>
    <t>SGU-167</t>
  </si>
  <si>
    <t xml:space="preserve"> OUNWA CHARLES</t>
  </si>
  <si>
    <t>SGU-171</t>
  </si>
  <si>
    <t>SANKARA</t>
  </si>
  <si>
    <t xml:space="preserve"> KARTE</t>
  </si>
  <si>
    <t>SGU-172</t>
  </si>
  <si>
    <t>BAKAYOKO</t>
  </si>
  <si>
    <t>07 48 87 15 73</t>
  </si>
  <si>
    <t>SGU-173</t>
  </si>
  <si>
    <t>RAMDE</t>
  </si>
  <si>
    <t xml:space="preserve"> AROUNA</t>
  </si>
  <si>
    <t>SGU-174</t>
  </si>
  <si>
    <t>TALY ALBERT</t>
  </si>
  <si>
    <t>07 78 28 05 54</t>
  </si>
  <si>
    <t>SGU-177</t>
  </si>
  <si>
    <t xml:space="preserve"> EUGENE</t>
  </si>
  <si>
    <t>0769 66 35 81</t>
  </si>
  <si>
    <t>SGU-178</t>
  </si>
  <si>
    <t>DANKOUEN</t>
  </si>
  <si>
    <t>MEKA P. SALOMON</t>
  </si>
  <si>
    <t>C0081001213</t>
  </si>
  <si>
    <t>SGU-179</t>
  </si>
  <si>
    <t>WAKELEU</t>
  </si>
  <si>
    <t xml:space="preserve"> KOIGON FABRICE</t>
  </si>
  <si>
    <t>SGU-180</t>
  </si>
  <si>
    <t>PEUGOUANKEU</t>
  </si>
  <si>
    <t xml:space="preserve"> K. ERIC</t>
  </si>
  <si>
    <t>SGU-181</t>
  </si>
  <si>
    <t>KPANNIEU</t>
  </si>
  <si>
    <t xml:space="preserve"> RODOPH</t>
  </si>
  <si>
    <t>07 48 90 34 68</t>
  </si>
  <si>
    <t>SGU-182</t>
  </si>
  <si>
    <t xml:space="preserve"> ERIC</t>
  </si>
  <si>
    <t>SGU-183</t>
  </si>
  <si>
    <t xml:space="preserve"> OUSMANE</t>
  </si>
  <si>
    <t>07 57 47 92 11</t>
  </si>
  <si>
    <t>SGU-184</t>
  </si>
  <si>
    <t>FANE</t>
  </si>
  <si>
    <t>CHEICKINA</t>
  </si>
  <si>
    <t>07 79 06 64 95</t>
  </si>
  <si>
    <t>SGU-185</t>
  </si>
  <si>
    <t>HAMED</t>
  </si>
  <si>
    <t xml:space="preserve"> TIENTRA</t>
  </si>
  <si>
    <t>SGU-186</t>
  </si>
  <si>
    <t>HAMALA</t>
  </si>
  <si>
    <t xml:space="preserve"> DIAKITE</t>
  </si>
  <si>
    <t>07 49 21 18 89</t>
  </si>
  <si>
    <t>SGU-187</t>
  </si>
  <si>
    <t>SAIBOU</t>
  </si>
  <si>
    <t>07 49 62 81 08</t>
  </si>
  <si>
    <t>C0116900717</t>
  </si>
  <si>
    <t>SGU-188</t>
  </si>
  <si>
    <t>SEDE</t>
  </si>
  <si>
    <t>ROLAND</t>
  </si>
  <si>
    <t>C0060720522</t>
  </si>
  <si>
    <t>SGU-189</t>
  </si>
  <si>
    <t xml:space="preserve"> ETIENNE</t>
  </si>
  <si>
    <t>05 85 43 97 28</t>
  </si>
  <si>
    <t>SGU-191</t>
  </si>
  <si>
    <t xml:space="preserve"> MALLA CHRISTOPHE</t>
  </si>
  <si>
    <t>SGU-195</t>
  </si>
  <si>
    <t xml:space="preserve"> BOUKARI</t>
  </si>
  <si>
    <t>07 89 82 40 70</t>
  </si>
  <si>
    <t>BF344002001001007090</t>
  </si>
  <si>
    <t>SGU-198</t>
  </si>
  <si>
    <t>MAPIEU</t>
  </si>
  <si>
    <t xml:space="preserve"> GONTO SYLVAIN</t>
  </si>
  <si>
    <t>07 87 91 92 72</t>
  </si>
  <si>
    <t>C0074729630</t>
  </si>
  <si>
    <t>SGU-199</t>
  </si>
  <si>
    <t>DOUEUGUI</t>
  </si>
  <si>
    <t xml:space="preserve"> OUEDIE THEODORE</t>
  </si>
  <si>
    <t>07 78 03 55 65</t>
  </si>
  <si>
    <t>C0059578749</t>
  </si>
  <si>
    <t>SGU-200</t>
  </si>
  <si>
    <t>GOGOMON</t>
  </si>
  <si>
    <t xml:space="preserve"> D. VILASCO</t>
  </si>
  <si>
    <t>07 88 37 59 51</t>
  </si>
  <si>
    <t>SGU-201</t>
  </si>
  <si>
    <t xml:space="preserve"> SEHI ANDRE</t>
  </si>
  <si>
    <t>SGU-202</t>
  </si>
  <si>
    <t>ZINGBE</t>
  </si>
  <si>
    <t xml:space="preserve"> MEISMEN</t>
  </si>
  <si>
    <t>SGU-203</t>
  </si>
  <si>
    <t>SIAKA</t>
  </si>
  <si>
    <t xml:space="preserve"> D. MODESTE</t>
  </si>
  <si>
    <t>SGU-206</t>
  </si>
  <si>
    <t xml:space="preserve"> ZRAN DEGOLE</t>
  </si>
  <si>
    <t>07 79 71 89 56</t>
  </si>
  <si>
    <t>C0059929878</t>
  </si>
  <si>
    <t>SGU-207</t>
  </si>
  <si>
    <t>DAN</t>
  </si>
  <si>
    <t xml:space="preserve"> SYLVAIN</t>
  </si>
  <si>
    <t>07 79 35 16 12</t>
  </si>
  <si>
    <t>SGU-211</t>
  </si>
  <si>
    <t xml:space="preserve"> DEA BASILE</t>
  </si>
  <si>
    <t>07 49 00 97 87</t>
  </si>
  <si>
    <t>SGU-212</t>
  </si>
  <si>
    <t>DIOMANDE</t>
  </si>
  <si>
    <t xml:space="preserve"> MAMADOU 1</t>
  </si>
  <si>
    <t>SGU-215</t>
  </si>
  <si>
    <t>GOUANDA</t>
  </si>
  <si>
    <t xml:space="preserve"> GUI ISAMOUR</t>
  </si>
  <si>
    <t>SGU-216</t>
  </si>
  <si>
    <t xml:space="preserve"> VALERIE</t>
  </si>
  <si>
    <t>SGU-217</t>
  </si>
  <si>
    <t>MESSAN</t>
  </si>
  <si>
    <t xml:space="preserve"> MONKOUE MARTINE</t>
  </si>
  <si>
    <t>07 78 46 90 97</t>
  </si>
  <si>
    <t>SGU-218</t>
  </si>
  <si>
    <t xml:space="preserve"> GOUANKEU FELIX 1</t>
  </si>
  <si>
    <t>SGU-220</t>
  </si>
  <si>
    <t>NADOILO</t>
  </si>
  <si>
    <t xml:space="preserve"> FRANCK</t>
  </si>
  <si>
    <t>SGU-221</t>
  </si>
  <si>
    <t>DEA</t>
  </si>
  <si>
    <t xml:space="preserve"> MIEKON HERMAN</t>
  </si>
  <si>
    <t>07 69 55 46 89</t>
  </si>
  <si>
    <t>SGU-222</t>
  </si>
  <si>
    <t xml:space="preserve"> KAKOKO GERMAINE</t>
  </si>
  <si>
    <t>SGU-223</t>
  </si>
  <si>
    <t>SGU-224</t>
  </si>
  <si>
    <t xml:space="preserve"> BLE EMMANUEL</t>
  </si>
  <si>
    <t>SGU-225</t>
  </si>
  <si>
    <t>BLEU</t>
  </si>
  <si>
    <t xml:space="preserve"> EMMANUEL</t>
  </si>
  <si>
    <t>07 59 99 90 06</t>
  </si>
  <si>
    <t>SGU-227</t>
  </si>
  <si>
    <t>KONKOBO</t>
  </si>
  <si>
    <t xml:space="preserve"> RENE</t>
  </si>
  <si>
    <t>07 77 36 74 53</t>
  </si>
  <si>
    <t>SGU-232</t>
  </si>
  <si>
    <t xml:space="preserve"> CHARLES</t>
  </si>
  <si>
    <t>C0080907868</t>
  </si>
  <si>
    <t>SGU-233</t>
  </si>
  <si>
    <t>KOMOUAN</t>
  </si>
  <si>
    <t xml:space="preserve"> APPOLINAIRE</t>
  </si>
  <si>
    <t>SGU-234</t>
  </si>
  <si>
    <t>MIENMIN</t>
  </si>
  <si>
    <t xml:space="preserve"> GUEU NICOSON</t>
  </si>
  <si>
    <t>SGU-236</t>
  </si>
  <si>
    <t>ZOA</t>
  </si>
  <si>
    <t xml:space="preserve"> OLIVE</t>
  </si>
  <si>
    <t>SGU-237</t>
  </si>
  <si>
    <t xml:space="preserve"> JUSTIN</t>
  </si>
  <si>
    <t>07 59 82 68 14</t>
  </si>
  <si>
    <t>SGU-238</t>
  </si>
  <si>
    <r>
      <t xml:space="preserve"> </t>
    </r>
    <r>
      <rPr>
        <sz val="11"/>
        <rFont val="Calibri"/>
        <family val="2"/>
      </rPr>
      <t>JORGES</t>
    </r>
  </si>
  <si>
    <t>SGU-240</t>
  </si>
  <si>
    <t xml:space="preserve"> SERGES</t>
  </si>
  <si>
    <t>SGU-241</t>
  </si>
  <si>
    <t>CYRIL 1</t>
  </si>
  <si>
    <t>SGU-242</t>
  </si>
  <si>
    <t xml:space="preserve"> FIRMIN</t>
  </si>
  <si>
    <t>SGU-243</t>
  </si>
  <si>
    <t xml:space="preserve"> EDMOND</t>
  </si>
  <si>
    <t>07 49 09 78 26</t>
  </si>
  <si>
    <t>SGU-245</t>
  </si>
  <si>
    <t>ZEMBA</t>
  </si>
  <si>
    <t xml:space="preserve"> ANTOINE</t>
  </si>
  <si>
    <t>SGU-246</t>
  </si>
  <si>
    <t>ZOYA</t>
  </si>
  <si>
    <t xml:space="preserve"> OLIVIER</t>
  </si>
  <si>
    <t>SGU-247</t>
  </si>
  <si>
    <t xml:space="preserve"> JOCELIN</t>
  </si>
  <si>
    <t>SGU-248</t>
  </si>
  <si>
    <t>KEHOUA</t>
  </si>
  <si>
    <t xml:space="preserve"> AKALE MARIUS</t>
  </si>
  <si>
    <t>SGU-249</t>
  </si>
  <si>
    <t xml:space="preserve"> PIERRE</t>
  </si>
  <si>
    <t>SGU-250</t>
  </si>
  <si>
    <t xml:space="preserve"> ARSENE</t>
  </si>
  <si>
    <t>SGU-251</t>
  </si>
  <si>
    <t xml:space="preserve"> HERMANN</t>
  </si>
  <si>
    <t>SGU-252</t>
  </si>
  <si>
    <t xml:space="preserve"> EMILE</t>
  </si>
  <si>
    <t>SGU-253</t>
  </si>
  <si>
    <t>GONZERE</t>
  </si>
  <si>
    <t xml:space="preserve"> HONORE</t>
  </si>
  <si>
    <t>SGU-254</t>
  </si>
  <si>
    <t xml:space="preserve"> YVES ANGE</t>
  </si>
  <si>
    <t>SGU-255</t>
  </si>
  <si>
    <t>KAPEU</t>
  </si>
  <si>
    <t>SGU-257</t>
  </si>
  <si>
    <t>MIEMIAN</t>
  </si>
  <si>
    <t>LUC</t>
  </si>
  <si>
    <t>SGU-260</t>
  </si>
  <si>
    <t xml:space="preserve"> OUSMANE 1</t>
  </si>
  <si>
    <t>SGU-261</t>
  </si>
  <si>
    <t>CISSE</t>
  </si>
  <si>
    <t xml:space="preserve"> MOHAMED</t>
  </si>
  <si>
    <t>SGU-262</t>
  </si>
  <si>
    <t xml:space="preserve"> GOUANKEU FELIX</t>
  </si>
  <si>
    <t>07 47 69 61 73</t>
  </si>
  <si>
    <t>SGU-263</t>
  </si>
  <si>
    <t>GOGBE</t>
  </si>
  <si>
    <t xml:space="preserve"> MESMIN</t>
  </si>
  <si>
    <t>C0062122968</t>
  </si>
  <si>
    <t>SGU-264</t>
  </si>
  <si>
    <t>SEININ</t>
  </si>
  <si>
    <t xml:space="preserve"> ANDRE</t>
  </si>
  <si>
    <t>SGU-265</t>
  </si>
  <si>
    <t>DOUAN</t>
  </si>
  <si>
    <t>SGU-266</t>
  </si>
  <si>
    <t xml:space="preserve"> MAXIME</t>
  </si>
  <si>
    <t>SGU-267</t>
  </si>
  <si>
    <t xml:space="preserve"> DOGOTOU</t>
  </si>
  <si>
    <t>07 09 84 13 54</t>
  </si>
  <si>
    <t>SGU-268</t>
  </si>
  <si>
    <t xml:space="preserve"> LEON</t>
  </si>
  <si>
    <t>SGU-269</t>
  </si>
  <si>
    <t>DJAN</t>
  </si>
  <si>
    <t>SGU-270</t>
  </si>
  <si>
    <t>DOHOUGO</t>
  </si>
  <si>
    <t xml:space="preserve"> KONE</t>
  </si>
  <si>
    <t>SGU-271</t>
  </si>
  <si>
    <t xml:space="preserve"> SALIFOU</t>
  </si>
  <si>
    <t>SGU-275</t>
  </si>
  <si>
    <t xml:space="preserve"> MADI</t>
  </si>
  <si>
    <t>SGU-276</t>
  </si>
  <si>
    <t>ABOULAY</t>
  </si>
  <si>
    <t>SGU-277</t>
  </si>
  <si>
    <t xml:space="preserve"> YEMSE</t>
  </si>
  <si>
    <t>SGU-279</t>
  </si>
  <si>
    <t>ZIDA</t>
  </si>
  <si>
    <t xml:space="preserve"> SIGRINOMA 1</t>
  </si>
  <si>
    <t>SGU-280</t>
  </si>
  <si>
    <t xml:space="preserve"> KADOGOTCHIN</t>
  </si>
  <si>
    <t>SGU-283</t>
  </si>
  <si>
    <t xml:space="preserve"> SOUTOCURMA</t>
  </si>
  <si>
    <t>SGU-287</t>
  </si>
  <si>
    <t xml:space="preserve"> OUSSENI</t>
  </si>
  <si>
    <t>SGU-288</t>
  </si>
  <si>
    <t xml:space="preserve"> ABDOUL RASMANI</t>
  </si>
  <si>
    <t>SGU-289</t>
  </si>
  <si>
    <t>KOUDOUKOU</t>
  </si>
  <si>
    <t xml:space="preserve"> KARIM</t>
  </si>
  <si>
    <t>SGU-294</t>
  </si>
  <si>
    <t>GANABE</t>
  </si>
  <si>
    <t xml:space="preserve"> ABOU</t>
  </si>
  <si>
    <t>SGU-299</t>
  </si>
  <si>
    <t xml:space="preserve"> AMIDOU 1</t>
  </si>
  <si>
    <t>SGU-300</t>
  </si>
  <si>
    <t xml:space="preserve"> DABELLE </t>
  </si>
  <si>
    <t>SGU-301</t>
  </si>
  <si>
    <t xml:space="preserve"> HAROUNA</t>
  </si>
  <si>
    <t>SGU-302</t>
  </si>
  <si>
    <t>DRABO</t>
  </si>
  <si>
    <t xml:space="preserve"> ISSA</t>
  </si>
  <si>
    <t>07 47 38 30 04</t>
  </si>
  <si>
    <t>SGU-303</t>
  </si>
  <si>
    <t>BORAU</t>
  </si>
  <si>
    <t>07 09 42 23 40</t>
  </si>
  <si>
    <t>SGU-304</t>
  </si>
  <si>
    <t xml:space="preserve"> HAMADOU</t>
  </si>
  <si>
    <t>SGU-306</t>
  </si>
  <si>
    <t>HAMADOU</t>
  </si>
  <si>
    <t xml:space="preserve"> SELEMIN</t>
  </si>
  <si>
    <t>SGU-307</t>
  </si>
  <si>
    <t>MADE</t>
  </si>
  <si>
    <t>BOUAMA</t>
  </si>
  <si>
    <t>07 57 78 29 60</t>
  </si>
  <si>
    <t>SGU-308</t>
  </si>
  <si>
    <t>SIDIBE</t>
  </si>
  <si>
    <r>
      <t xml:space="preserve"> </t>
    </r>
    <r>
      <rPr>
        <sz val="11"/>
        <rFont val="Calibri"/>
        <family val="2"/>
      </rPr>
      <t>ALBOULAY</t>
    </r>
  </si>
  <si>
    <t>07 48 66 13 69</t>
  </si>
  <si>
    <t>SGU-309</t>
  </si>
  <si>
    <t>GAMSORE</t>
  </si>
  <si>
    <t>OUMAROU</t>
  </si>
  <si>
    <t>SGU-310</t>
  </si>
  <si>
    <t>SALO</t>
  </si>
  <si>
    <t xml:space="preserve"> MALIKI</t>
  </si>
  <si>
    <t>07 78 26 77 69</t>
  </si>
  <si>
    <t>SGU-311</t>
  </si>
  <si>
    <t>SORE</t>
  </si>
  <si>
    <t xml:space="preserve"> SALIMATA </t>
  </si>
  <si>
    <t>SGU-312</t>
  </si>
  <si>
    <t>IWOH</t>
  </si>
  <si>
    <t xml:space="preserve"> LASSINA</t>
  </si>
  <si>
    <t>SGU-313</t>
  </si>
  <si>
    <t>YARO</t>
  </si>
  <si>
    <t>ISSA</t>
  </si>
  <si>
    <t>07 08 05 23 75</t>
  </si>
  <si>
    <t>SGU-314</t>
  </si>
  <si>
    <t xml:space="preserve"> ALI</t>
  </si>
  <si>
    <t>07 88 75 34 49</t>
  </si>
  <si>
    <t>SGU-315</t>
  </si>
  <si>
    <t>ZOURI</t>
  </si>
  <si>
    <t>GOARE</t>
  </si>
  <si>
    <t>07 77 88 57 07</t>
  </si>
  <si>
    <t>SGU-317</t>
  </si>
  <si>
    <t>KOUSSOUBE</t>
  </si>
  <si>
    <t xml:space="preserve"> K. JEAN BAPTISTE</t>
  </si>
  <si>
    <t>SGU-318</t>
  </si>
  <si>
    <t>KONFE</t>
  </si>
  <si>
    <t xml:space="preserve"> IDRISSA</t>
  </si>
  <si>
    <t>07 67 89 14 83</t>
  </si>
  <si>
    <t>SGU-319</t>
  </si>
  <si>
    <t xml:space="preserve"> MADOU</t>
  </si>
  <si>
    <t>SGU-320</t>
  </si>
  <si>
    <t>07 69 58 37 51</t>
  </si>
  <si>
    <t>SGU-321</t>
  </si>
  <si>
    <t>07 09 35 48 74</t>
  </si>
  <si>
    <t>SGU-322</t>
  </si>
  <si>
    <t>KOUSOME</t>
  </si>
  <si>
    <t xml:space="preserve"> MOUSSA</t>
  </si>
  <si>
    <t>07 79 49 23 84</t>
  </si>
  <si>
    <t>SGU-324</t>
  </si>
  <si>
    <t>DOUEU</t>
  </si>
  <si>
    <t xml:space="preserve"> ZADA ALBERT</t>
  </si>
  <si>
    <t>SGU-325</t>
  </si>
  <si>
    <t>TANIEUPLEU</t>
  </si>
  <si>
    <t xml:space="preserve"> GUEI TROH A.</t>
  </si>
  <si>
    <t>SGU-326</t>
  </si>
  <si>
    <t xml:space="preserve"> TONPIEU ROMEO</t>
  </si>
  <si>
    <t>SGU-331</t>
  </si>
  <si>
    <t>KOSSAN</t>
  </si>
  <si>
    <t xml:space="preserve"> GERMAIN</t>
  </si>
  <si>
    <t>SGU-338</t>
  </si>
  <si>
    <t xml:space="preserve"> N'WOGUI SYLVAIN</t>
  </si>
  <si>
    <t>SGU-339</t>
  </si>
  <si>
    <t>KOUAKEU</t>
  </si>
  <si>
    <r>
      <t xml:space="preserve"> YEKADO </t>
    </r>
    <r>
      <rPr>
        <sz val="11"/>
        <rFont val="Calibri"/>
        <family val="2"/>
      </rPr>
      <t>JERETE</t>
    </r>
  </si>
  <si>
    <t>07 09 73 52 26</t>
  </si>
  <si>
    <t>SGU-343</t>
  </si>
  <si>
    <t>NAYAGA</t>
  </si>
  <si>
    <t xml:space="preserve"> BILA</t>
  </si>
  <si>
    <t>SGU-344</t>
  </si>
  <si>
    <t>SGU-345</t>
  </si>
  <si>
    <t>NIKIEMA</t>
  </si>
  <si>
    <t xml:space="preserve"> TIBO</t>
  </si>
  <si>
    <t>SGU-346</t>
  </si>
  <si>
    <t>YAGO</t>
  </si>
  <si>
    <t xml:space="preserve"> MARTIN</t>
  </si>
  <si>
    <t>SGU-347</t>
  </si>
  <si>
    <r>
      <t xml:space="preserve"> </t>
    </r>
    <r>
      <rPr>
        <sz val="11"/>
        <rFont val="Calibri"/>
        <family val="2"/>
      </rPr>
      <t>BROAMA</t>
    </r>
  </si>
  <si>
    <t>SGU-348</t>
  </si>
  <si>
    <t>SGU-349</t>
  </si>
  <si>
    <t xml:space="preserve"> JONAS</t>
  </si>
  <si>
    <t>SGU-351</t>
  </si>
  <si>
    <t>OUWAH</t>
  </si>
  <si>
    <t>CHARLES</t>
  </si>
  <si>
    <t>SGU-352</t>
  </si>
  <si>
    <t>MAHAN</t>
  </si>
  <si>
    <t xml:space="preserve"> AUGUSTIN 1</t>
  </si>
  <si>
    <t>SGU-353</t>
  </si>
  <si>
    <t>N'GORAN</t>
  </si>
  <si>
    <t xml:space="preserve"> KOUADIO PHILIPPE</t>
  </si>
  <si>
    <t>07 67 43 15 05</t>
  </si>
  <si>
    <t>C0088001991</t>
  </si>
  <si>
    <t>SGU-354</t>
  </si>
  <si>
    <t>SIMPORE</t>
  </si>
  <si>
    <t>SGU-355</t>
  </si>
  <si>
    <t>07 88 43 29 54</t>
  </si>
  <si>
    <t>SGU-356</t>
  </si>
  <si>
    <t>TONESSIA</t>
  </si>
  <si>
    <t xml:space="preserve"> TOUALOU AMBROISE</t>
  </si>
  <si>
    <t>07 45 37 00 25</t>
  </si>
  <si>
    <t>C0065621501</t>
  </si>
  <si>
    <t>COULIBALY NONHOUA</t>
  </si>
  <si>
    <t>SGU-358</t>
  </si>
  <si>
    <t>ZANOU</t>
  </si>
  <si>
    <t>ZOYA PATRICE</t>
  </si>
  <si>
    <t>07 58 06 90 29</t>
  </si>
  <si>
    <t>SGU-359</t>
  </si>
  <si>
    <t xml:space="preserve"> KOUATONEN J.</t>
  </si>
  <si>
    <t>SGU-360</t>
  </si>
  <si>
    <t xml:space="preserve"> KANKEU GEORGES</t>
  </si>
  <si>
    <t>SGU-361</t>
  </si>
  <si>
    <t>POKAMON</t>
  </si>
  <si>
    <t>GERARD</t>
  </si>
  <si>
    <t>SGU-362</t>
  </si>
  <si>
    <t xml:space="preserve"> ZOYA APPOLINAIRE</t>
  </si>
  <si>
    <t>SGU-363</t>
  </si>
  <si>
    <t xml:space="preserve"> FULGENCE</t>
  </si>
  <si>
    <t>SGU-364</t>
  </si>
  <si>
    <t>SEINE</t>
  </si>
  <si>
    <t xml:space="preserve"> AUBIN</t>
  </si>
  <si>
    <t>SGU-365</t>
  </si>
  <si>
    <t>BERNARD</t>
  </si>
  <si>
    <t>07 47 36 23 92</t>
  </si>
  <si>
    <t>C0063239847</t>
  </si>
  <si>
    <t>SGU-366</t>
  </si>
  <si>
    <t xml:space="preserve"> TAH BAINJAMAIN</t>
  </si>
  <si>
    <t>SGU-367</t>
  </si>
  <si>
    <t xml:space="preserve"> TOBOKOU DARUS</t>
  </si>
  <si>
    <t>SGU-368</t>
  </si>
  <si>
    <t xml:space="preserve"> WOUHKADO S.</t>
  </si>
  <si>
    <t>SGU-369</t>
  </si>
  <si>
    <t xml:space="preserve"> JUNIOR</t>
  </si>
  <si>
    <t>SGU-370</t>
  </si>
  <si>
    <t>NESTOR</t>
  </si>
  <si>
    <t>SGU-371</t>
  </si>
  <si>
    <t xml:space="preserve"> SAIDOU</t>
  </si>
  <si>
    <t>SGU-372</t>
  </si>
  <si>
    <t xml:space="preserve"> KARIM 2</t>
  </si>
  <si>
    <t>SGU-373</t>
  </si>
  <si>
    <t xml:space="preserve"> SAMPOGDA</t>
  </si>
  <si>
    <t>SGU-374</t>
  </si>
  <si>
    <t xml:space="preserve"> ADAMA 1</t>
  </si>
  <si>
    <t>SGU-375</t>
  </si>
  <si>
    <t>ZORRE</t>
  </si>
  <si>
    <t>SGU-376</t>
  </si>
  <si>
    <t>KOUADJO</t>
  </si>
  <si>
    <t xml:space="preserve"> KOUASSI C.</t>
  </si>
  <si>
    <t>SGU-377</t>
  </si>
  <si>
    <t>GABON</t>
  </si>
  <si>
    <t>KOUAME</t>
  </si>
  <si>
    <t xml:space="preserve"> GERARD</t>
  </si>
  <si>
    <t>SGA-379</t>
  </si>
  <si>
    <t>GBE</t>
  </si>
  <si>
    <t>NIANGO LANDRY</t>
  </si>
  <si>
    <t>07 77 79 50 40</t>
  </si>
  <si>
    <t>C0063221868</t>
  </si>
  <si>
    <t>SGA-380</t>
  </si>
  <si>
    <t>OUANGLO</t>
  </si>
  <si>
    <t>TALY BERNARD</t>
  </si>
  <si>
    <t>07 79 72 39 94</t>
  </si>
  <si>
    <t>C0063160840</t>
  </si>
  <si>
    <t>SGA-381</t>
  </si>
  <si>
    <t xml:space="preserve"> GOH DENIS</t>
  </si>
  <si>
    <t>SGA-382</t>
  </si>
  <si>
    <t>ZOHE</t>
  </si>
  <si>
    <t xml:space="preserve"> WOUNLAI LAMBERT</t>
  </si>
  <si>
    <t>SGA-383</t>
  </si>
  <si>
    <t xml:space="preserve"> WOUNDIEU SIMON</t>
  </si>
  <si>
    <t>05 75 80 90 60</t>
  </si>
  <si>
    <t>C0060011927</t>
  </si>
  <si>
    <t>SGA-384</t>
  </si>
  <si>
    <t xml:space="preserve"> SEVERIN</t>
  </si>
  <si>
    <t>07 78 26 85 30</t>
  </si>
  <si>
    <t>SGA-385</t>
  </si>
  <si>
    <t>SEWA</t>
  </si>
  <si>
    <t xml:space="preserve"> JEROME</t>
  </si>
  <si>
    <t>07 57 18 79 05</t>
  </si>
  <si>
    <t>C0059926173</t>
  </si>
  <si>
    <t>SGA-386</t>
  </si>
  <si>
    <t xml:space="preserve"> FERNARD</t>
  </si>
  <si>
    <t>07 77 78 36 61</t>
  </si>
  <si>
    <t>SGA-387</t>
  </si>
  <si>
    <t>LUDOVIC</t>
  </si>
  <si>
    <t>07 49 32 82 88</t>
  </si>
  <si>
    <t>C0079632818</t>
  </si>
  <si>
    <t>SGA-388</t>
  </si>
  <si>
    <t>KEIBA</t>
  </si>
  <si>
    <t xml:space="preserve"> ALFRED</t>
  </si>
  <si>
    <t>SGA-389</t>
  </si>
  <si>
    <t>BEH</t>
  </si>
  <si>
    <t>ROGER</t>
  </si>
  <si>
    <t>07 89 81 70 59</t>
  </si>
  <si>
    <t>C00111162557</t>
  </si>
  <si>
    <t>SGA-390</t>
  </si>
  <si>
    <t>BONI</t>
  </si>
  <si>
    <t>07 87 38 14 09</t>
  </si>
  <si>
    <t>C0058612633</t>
  </si>
  <si>
    <t>SGA-391</t>
  </si>
  <si>
    <t>ZRAN</t>
  </si>
  <si>
    <t xml:space="preserve"> PHILIPPE</t>
  </si>
  <si>
    <t>SGA-392</t>
  </si>
  <si>
    <t>GBOLA</t>
  </si>
  <si>
    <t>SGA-393</t>
  </si>
  <si>
    <t>TONHON</t>
  </si>
  <si>
    <t xml:space="preserve"> CASIMIR</t>
  </si>
  <si>
    <t>SGA-394</t>
  </si>
  <si>
    <t>SYLVAIN</t>
  </si>
  <si>
    <t>SGA-395</t>
  </si>
  <si>
    <t>SGA-396</t>
  </si>
  <si>
    <t>NAKELSE</t>
  </si>
  <si>
    <t xml:space="preserve"> PAUL</t>
  </si>
  <si>
    <t>07 88 60 01 41</t>
  </si>
  <si>
    <t>BF384002001001014607</t>
  </si>
  <si>
    <t>SGA-397</t>
  </si>
  <si>
    <t xml:space="preserve"> POUSGA</t>
  </si>
  <si>
    <t>07 89 90 72 91</t>
  </si>
  <si>
    <t>SGA-398</t>
  </si>
  <si>
    <t xml:space="preserve"> ALPHONSE</t>
  </si>
  <si>
    <t>07 89 81 71 28</t>
  </si>
  <si>
    <t>SGA-399</t>
  </si>
  <si>
    <t xml:space="preserve"> PAUL I</t>
  </si>
  <si>
    <t>07 79 66 70 84</t>
  </si>
  <si>
    <t>SGA-400</t>
  </si>
  <si>
    <t>SGA-401</t>
  </si>
  <si>
    <t xml:space="preserve"> SENI</t>
  </si>
  <si>
    <t>07 88 16 50 30</t>
  </si>
  <si>
    <t>SGA-402</t>
  </si>
  <si>
    <t>GONLA</t>
  </si>
  <si>
    <t xml:space="preserve"> TOUABA HUBERT</t>
  </si>
  <si>
    <t>C0058516168</t>
  </si>
  <si>
    <t>SGA-403</t>
  </si>
  <si>
    <t>GLOUDAEU</t>
  </si>
  <si>
    <t xml:space="preserve"> HUBERT</t>
  </si>
  <si>
    <t>SGA-404</t>
  </si>
  <si>
    <t>TONH</t>
  </si>
  <si>
    <t>07 88 84 4336</t>
  </si>
  <si>
    <t>C0096490929</t>
  </si>
  <si>
    <t>SGA-405</t>
  </si>
  <si>
    <t>CASIMIR</t>
  </si>
  <si>
    <t>SGA-406</t>
  </si>
  <si>
    <t xml:space="preserve"> OUNONGUI DIDIOSSE</t>
  </si>
  <si>
    <t>07 78 40 36 19</t>
  </si>
  <si>
    <t>C0063174234</t>
  </si>
  <si>
    <t>SGA-407</t>
  </si>
  <si>
    <t xml:space="preserve"> VENANCE</t>
  </si>
  <si>
    <t>07 47 64 01 28</t>
  </si>
  <si>
    <t>C0063183724</t>
  </si>
  <si>
    <t>SGA-408</t>
  </si>
  <si>
    <t xml:space="preserve"> GOUTAN FELIX</t>
  </si>
  <si>
    <t>07 57 01 23 53</t>
  </si>
  <si>
    <t>C0092918593</t>
  </si>
  <si>
    <t>SGA-409</t>
  </si>
  <si>
    <t>BAGUI</t>
  </si>
  <si>
    <t>KOUADJO J.</t>
  </si>
  <si>
    <t>07 78 38 36 73</t>
  </si>
  <si>
    <t>SGA-410</t>
  </si>
  <si>
    <t xml:space="preserve"> GONDO</t>
  </si>
  <si>
    <t>SGA-411</t>
  </si>
  <si>
    <t>AMED</t>
  </si>
  <si>
    <t>SGA-412</t>
  </si>
  <si>
    <t xml:space="preserve"> GOUTAN SERGE</t>
  </si>
  <si>
    <t>SGA-413</t>
  </si>
  <si>
    <t>SGA-414</t>
  </si>
  <si>
    <t xml:space="preserve"> ALEXANDRE</t>
  </si>
  <si>
    <t>SGA-415</t>
  </si>
  <si>
    <t xml:space="preserve"> SOUMAILA</t>
  </si>
  <si>
    <t>SGA-416</t>
  </si>
  <si>
    <t xml:space="preserve"> ZAKARIA</t>
  </si>
  <si>
    <t>07 57 00 14 03</t>
  </si>
  <si>
    <t>BF384003001001096674</t>
  </si>
  <si>
    <t>SGA-417</t>
  </si>
  <si>
    <t>SOULEYMANE</t>
  </si>
  <si>
    <t>SGA-418</t>
  </si>
  <si>
    <t>GOEU</t>
  </si>
  <si>
    <t xml:space="preserve"> THIEDOR</t>
  </si>
  <si>
    <t>SGA-419</t>
  </si>
  <si>
    <t>DAGUI</t>
  </si>
  <si>
    <t>07 78 44 41 19</t>
  </si>
  <si>
    <t>SGA-421</t>
  </si>
  <si>
    <t>GONZOUE</t>
  </si>
  <si>
    <t xml:space="preserve"> DORGELEST</t>
  </si>
  <si>
    <t>07 67 95 76 22</t>
  </si>
  <si>
    <t>SGA-422</t>
  </si>
  <si>
    <t xml:space="preserve"> JEAN</t>
  </si>
  <si>
    <t>SGA-423</t>
  </si>
  <si>
    <t>BOYA</t>
  </si>
  <si>
    <t>SIMPLICE</t>
  </si>
  <si>
    <t>SGA-424</t>
  </si>
  <si>
    <t xml:space="preserve"> EBERNEZER</t>
  </si>
  <si>
    <t>SGA-425</t>
  </si>
  <si>
    <t>C0097438351</t>
  </si>
  <si>
    <t>SGA-426</t>
  </si>
  <si>
    <t>FRANCK</t>
  </si>
  <si>
    <t>SGA-427</t>
  </si>
  <si>
    <t>GBATO</t>
  </si>
  <si>
    <t xml:space="preserve"> KOGA SYLVAIN</t>
  </si>
  <si>
    <t>SGA-428</t>
  </si>
  <si>
    <t>ZEHA</t>
  </si>
  <si>
    <t>GOMI MICHEL</t>
  </si>
  <si>
    <t>SGA-429</t>
  </si>
  <si>
    <t xml:space="preserve"> TOIME AUGUSTIN</t>
  </si>
  <si>
    <t>07 09 50 87 07</t>
  </si>
  <si>
    <t>SGA-430</t>
  </si>
  <si>
    <t>ZOKAGON KEVIN</t>
  </si>
  <si>
    <t>07 69 14 77 21</t>
  </si>
  <si>
    <t>SGA-431</t>
  </si>
  <si>
    <t xml:space="preserve"> POUELO BLAISE</t>
  </si>
  <si>
    <t>07 08 53 79 61</t>
  </si>
  <si>
    <t>C0059583602</t>
  </si>
  <si>
    <t>SGA-432</t>
  </si>
  <si>
    <t xml:space="preserve"> INNOCENT</t>
  </si>
  <si>
    <t>07 78 38 32 00</t>
  </si>
  <si>
    <t>SGA-433</t>
  </si>
  <si>
    <t xml:space="preserve"> GUILLAUME</t>
  </si>
  <si>
    <t>07 97 26 58 13</t>
  </si>
  <si>
    <t>C0058609040</t>
  </si>
  <si>
    <t>SGA-434</t>
  </si>
  <si>
    <t>YAO</t>
  </si>
  <si>
    <t xml:space="preserve"> KOSOMOU</t>
  </si>
  <si>
    <t>SGA-435</t>
  </si>
  <si>
    <t xml:space="preserve"> KORMA</t>
  </si>
  <si>
    <t>SGA-436</t>
  </si>
  <si>
    <t>BAIH</t>
  </si>
  <si>
    <t xml:space="preserve"> ANICET</t>
  </si>
  <si>
    <t>07 48 07 18 79</t>
  </si>
  <si>
    <t>C0063670149</t>
  </si>
  <si>
    <t>SGA-437</t>
  </si>
  <si>
    <t>DROH</t>
  </si>
  <si>
    <t xml:space="preserve"> DANIEL</t>
  </si>
  <si>
    <t>SGA-438</t>
  </si>
  <si>
    <t xml:space="preserve"> ARMED</t>
  </si>
  <si>
    <t>05 44 27 11 61</t>
  </si>
  <si>
    <t>SGA-439</t>
  </si>
  <si>
    <t>PACOME</t>
  </si>
  <si>
    <t>SGA-440</t>
  </si>
  <si>
    <t>ZEA</t>
  </si>
  <si>
    <t xml:space="preserve"> GOUANDA C.</t>
  </si>
  <si>
    <t>07 68 05 74 71</t>
  </si>
  <si>
    <t>C0060733203</t>
  </si>
  <si>
    <t>SGA-441</t>
  </si>
  <si>
    <t xml:space="preserve"> KEVIN</t>
  </si>
  <si>
    <t>07 79 58 08 04</t>
  </si>
  <si>
    <t>C0063172513</t>
  </si>
  <si>
    <t>SGA-442</t>
  </si>
  <si>
    <t>IBOUDO</t>
  </si>
  <si>
    <t xml:space="preserve"> MORO</t>
  </si>
  <si>
    <t>SGA-443</t>
  </si>
  <si>
    <t>NANA</t>
  </si>
  <si>
    <t xml:space="preserve"> VICTOR</t>
  </si>
  <si>
    <t>SGA-444</t>
  </si>
  <si>
    <t xml:space="preserve"> PAUL II</t>
  </si>
  <si>
    <t>07 58 95 13 78</t>
  </si>
  <si>
    <t>SGA-445</t>
  </si>
  <si>
    <t>07 58 68 38 76</t>
  </si>
  <si>
    <t>SGA-446</t>
  </si>
  <si>
    <t xml:space="preserve"> VINCENT</t>
  </si>
  <si>
    <t>SGA-447</t>
  </si>
  <si>
    <t xml:space="preserve"> OUANGO</t>
  </si>
  <si>
    <t>07 87 08 78 87</t>
  </si>
  <si>
    <t>SGA-448</t>
  </si>
  <si>
    <t xml:space="preserve"> KOUAHE SEH FULGENCE</t>
  </si>
  <si>
    <t>C0058591361</t>
  </si>
  <si>
    <t>SGA-449</t>
  </si>
  <si>
    <t>CHANTIER CACAO</t>
  </si>
  <si>
    <t>WELE</t>
  </si>
  <si>
    <t xml:space="preserve"> MAHAN ARSENE</t>
  </si>
  <si>
    <t>SCH-450</t>
  </si>
  <si>
    <t xml:space="preserve"> TRAORE 1</t>
  </si>
  <si>
    <t>05 05 69 48 15</t>
  </si>
  <si>
    <t>C0116297149</t>
  </si>
  <si>
    <t>SCH-453</t>
  </si>
  <si>
    <t xml:space="preserve"> LASSO</t>
  </si>
  <si>
    <t>07 68 64 58 00</t>
  </si>
  <si>
    <t>SCH-454</t>
  </si>
  <si>
    <t>DOSSO</t>
  </si>
  <si>
    <t xml:space="preserve"> MANGA </t>
  </si>
  <si>
    <t>SCH-455</t>
  </si>
  <si>
    <r>
      <t xml:space="preserve"> </t>
    </r>
    <r>
      <rPr>
        <sz val="11"/>
        <rFont val="Calibri"/>
        <family val="2"/>
      </rPr>
      <t>AMELD</t>
    </r>
  </si>
  <si>
    <t>SCH-456</t>
  </si>
  <si>
    <t xml:space="preserve"> YAYA</t>
  </si>
  <si>
    <t>05 65 07 73 25</t>
  </si>
  <si>
    <t>SCH-457</t>
  </si>
  <si>
    <t>DIABATE</t>
  </si>
  <si>
    <t xml:space="preserve"> VAKOUSSE</t>
  </si>
  <si>
    <t>07 79 72 76 17</t>
  </si>
  <si>
    <t>SCH-461</t>
  </si>
  <si>
    <t xml:space="preserve"> YATIE</t>
  </si>
  <si>
    <t>07 08 04 79 64</t>
  </si>
  <si>
    <t>C0080092269</t>
  </si>
  <si>
    <t>SCH-462</t>
  </si>
  <si>
    <t>05 45 48 54 23</t>
  </si>
  <si>
    <t>C0087336623</t>
  </si>
  <si>
    <t>SCH-464</t>
  </si>
  <si>
    <t>SCH-471</t>
  </si>
  <si>
    <t>LOH</t>
  </si>
  <si>
    <t>GOUE ETTIENNE</t>
  </si>
  <si>
    <t>C0080117562</t>
  </si>
  <si>
    <t>SCH-472</t>
  </si>
  <si>
    <t>GOHO</t>
  </si>
  <si>
    <t xml:space="preserve"> JOEL</t>
  </si>
  <si>
    <t>SCH-473</t>
  </si>
  <si>
    <t>SADIA</t>
  </si>
  <si>
    <r>
      <t xml:space="preserve"> GOHO </t>
    </r>
    <r>
      <rPr>
        <sz val="11"/>
        <rFont val="Calibri"/>
        <family val="2"/>
      </rPr>
      <t>FABRICE</t>
    </r>
  </si>
  <si>
    <t>SCH-477</t>
  </si>
  <si>
    <t>DONANIGUI</t>
  </si>
  <si>
    <t>07 69 23 08 83</t>
  </si>
  <si>
    <t>SCH-482</t>
  </si>
  <si>
    <t>07 09 45 69 22</t>
  </si>
  <si>
    <t>C0094859720</t>
  </si>
  <si>
    <t>SCH-483</t>
  </si>
  <si>
    <t xml:space="preserve"> WOYI</t>
  </si>
  <si>
    <t>SCH-484</t>
  </si>
  <si>
    <t>TOURE</t>
  </si>
  <si>
    <t xml:space="preserve"> IBRAHIM</t>
  </si>
  <si>
    <t>05 55 57 88 21</t>
  </si>
  <si>
    <t>SCH-485</t>
  </si>
  <si>
    <t>SAMOUKA</t>
  </si>
  <si>
    <t>SCH-486</t>
  </si>
  <si>
    <t xml:space="preserve"> CAMARA</t>
  </si>
  <si>
    <t>SCH-488</t>
  </si>
  <si>
    <t>ZIE</t>
  </si>
  <si>
    <t>COULIBALY</t>
  </si>
  <si>
    <t>C0086242699</t>
  </si>
  <si>
    <t>SCH-489</t>
  </si>
  <si>
    <t xml:space="preserve"> MEDIAO</t>
  </si>
  <si>
    <t>05 66 09 79 82</t>
  </si>
  <si>
    <t>SCH-490</t>
  </si>
  <si>
    <t>SCH-491</t>
  </si>
  <si>
    <t xml:space="preserve"> KIEFFI</t>
  </si>
  <si>
    <t>05 85 87 88 06</t>
  </si>
  <si>
    <t>C0086293671</t>
  </si>
  <si>
    <t>SCH-492</t>
  </si>
  <si>
    <t>MAMADOU</t>
  </si>
  <si>
    <t>SCH-496</t>
  </si>
  <si>
    <t>07 57 55 93 24</t>
  </si>
  <si>
    <t>SCH-497</t>
  </si>
  <si>
    <t>IBRAHIM</t>
  </si>
  <si>
    <t>05 04 05 37 07</t>
  </si>
  <si>
    <t>C0113151040</t>
  </si>
  <si>
    <t>SCH-500</t>
  </si>
  <si>
    <t>ADAMA 2</t>
  </si>
  <si>
    <t>07 47 14 19 47</t>
  </si>
  <si>
    <t>C3201900043</t>
  </si>
  <si>
    <t>SCH-501</t>
  </si>
  <si>
    <t>AMARA</t>
  </si>
  <si>
    <t>07 68 66 15 23</t>
  </si>
  <si>
    <t>SCH-502</t>
  </si>
  <si>
    <t>GBAOU</t>
  </si>
  <si>
    <t>05 66 66 15 23</t>
  </si>
  <si>
    <t>SCH-507</t>
  </si>
  <si>
    <t xml:space="preserve"> SEKOU</t>
  </si>
  <si>
    <t>SCH-508</t>
  </si>
  <si>
    <t>YAYA</t>
  </si>
  <si>
    <t>SAMANKE</t>
  </si>
  <si>
    <t>SCH-510</t>
  </si>
  <si>
    <t>SOLO</t>
  </si>
  <si>
    <t>SCH-511</t>
  </si>
  <si>
    <t>ZONA</t>
  </si>
  <si>
    <t>SEYDOU</t>
  </si>
  <si>
    <t>07 57 39 32 79</t>
  </si>
  <si>
    <t>SCH-512</t>
  </si>
  <si>
    <t>SOW</t>
  </si>
  <si>
    <t>SCH-517</t>
  </si>
  <si>
    <t>07 47 79 12 73</t>
  </si>
  <si>
    <t>SCH-519</t>
  </si>
  <si>
    <t>MANLE</t>
  </si>
  <si>
    <t xml:space="preserve"> BLE</t>
  </si>
  <si>
    <t>07 47 53 59 32</t>
  </si>
  <si>
    <t>SCH-521</t>
  </si>
  <si>
    <t xml:space="preserve"> GBEHO</t>
  </si>
  <si>
    <t>07 59 64 27 41</t>
  </si>
  <si>
    <t>SCH-522</t>
  </si>
  <si>
    <t>GOGBEU</t>
  </si>
  <si>
    <t xml:space="preserve"> FREDERIC</t>
  </si>
  <si>
    <t>SCH-524</t>
  </si>
  <si>
    <t>GOH</t>
  </si>
  <si>
    <t xml:space="preserve"> JOSEPH</t>
  </si>
  <si>
    <t>SCH-527</t>
  </si>
  <si>
    <t xml:space="preserve"> TRAORE</t>
  </si>
  <si>
    <t>SCH-528</t>
  </si>
  <si>
    <t xml:space="preserve"> AMBROISE</t>
  </si>
  <si>
    <t>07 88 16 24 58</t>
  </si>
  <si>
    <t>SCH-530</t>
  </si>
  <si>
    <t>BATOIA</t>
  </si>
  <si>
    <t xml:space="preserve"> MARCEL</t>
  </si>
  <si>
    <t>07 48 95 34 49</t>
  </si>
  <si>
    <t>SCH-531</t>
  </si>
  <si>
    <t>KOUAPLEU</t>
  </si>
  <si>
    <t>MARCEL</t>
  </si>
  <si>
    <t>05 66 10 91 76</t>
  </si>
  <si>
    <t>SCH-532</t>
  </si>
  <si>
    <t>GONLI</t>
  </si>
  <si>
    <t>SCH-533</t>
  </si>
  <si>
    <t>KOUATO</t>
  </si>
  <si>
    <t xml:space="preserve"> ALEXIS</t>
  </si>
  <si>
    <t>07 59 66 61 43</t>
  </si>
  <si>
    <t>SCH-534</t>
  </si>
  <si>
    <t>EMMANUEL</t>
  </si>
  <si>
    <t>07 49 07 99 58</t>
  </si>
  <si>
    <t>SCH-535</t>
  </si>
  <si>
    <t>GOYA II</t>
  </si>
  <si>
    <t>BOUIN</t>
  </si>
  <si>
    <t>SERGES</t>
  </si>
  <si>
    <t>SGO-537</t>
  </si>
  <si>
    <t>TROH</t>
  </si>
  <si>
    <t>SGO-538</t>
  </si>
  <si>
    <t>KOKOSSE</t>
  </si>
  <si>
    <t>GUILLAUME</t>
  </si>
  <si>
    <t>SGO-539</t>
  </si>
  <si>
    <t>DEKADO</t>
  </si>
  <si>
    <t>JEAN LUC</t>
  </si>
  <si>
    <t>SGO-540</t>
  </si>
  <si>
    <t>SGO-541</t>
  </si>
  <si>
    <t>GOU ANDERSON</t>
  </si>
  <si>
    <t>SGO-542</t>
  </si>
  <si>
    <t>MANHANGO</t>
  </si>
  <si>
    <t xml:space="preserve"> CLOVIS</t>
  </si>
  <si>
    <t>07 89 20 21 99</t>
  </si>
  <si>
    <t>SGO-543</t>
  </si>
  <si>
    <t>GOME</t>
  </si>
  <si>
    <t>KPAN DENIS</t>
  </si>
  <si>
    <t>SGO-544</t>
  </si>
  <si>
    <t>SGO-545</t>
  </si>
  <si>
    <t>ZOUE</t>
  </si>
  <si>
    <t>MATHURIN</t>
  </si>
  <si>
    <t>SGO-546</t>
  </si>
  <si>
    <t>DIABI</t>
  </si>
  <si>
    <t>SECANA</t>
  </si>
  <si>
    <t>07 09 94 62 01</t>
  </si>
  <si>
    <t>SGO-547</t>
  </si>
  <si>
    <t>DOMINIQUE</t>
  </si>
  <si>
    <t>SGO-548</t>
  </si>
  <si>
    <t>MIRAMOND</t>
  </si>
  <si>
    <t>07 77 20 70 94</t>
  </si>
  <si>
    <t>SGO-549</t>
  </si>
  <si>
    <t>SEVERIN</t>
  </si>
  <si>
    <t>07 69 89 64 40</t>
  </si>
  <si>
    <t>SGO-550</t>
  </si>
  <si>
    <t xml:space="preserve"> SIMOND</t>
  </si>
  <si>
    <t>SGO-551</t>
  </si>
  <si>
    <t>AUGUSTIN</t>
  </si>
  <si>
    <t>SGO-552</t>
  </si>
  <si>
    <t>GOKAPIEU</t>
  </si>
  <si>
    <t>GERMAIN</t>
  </si>
  <si>
    <t>SGO-553</t>
  </si>
  <si>
    <t>GERVAIN</t>
  </si>
  <si>
    <t>SGO-554</t>
  </si>
  <si>
    <t>TIEMOKO</t>
  </si>
  <si>
    <t>SGO-555</t>
  </si>
  <si>
    <t>TODIA</t>
  </si>
  <si>
    <t>SGO-556</t>
  </si>
  <si>
    <t>SGO-557</t>
  </si>
  <si>
    <t>KAMAIN</t>
  </si>
  <si>
    <t>BERTIN</t>
  </si>
  <si>
    <t>SGO-558</t>
  </si>
  <si>
    <t xml:space="preserve"> JEAN MARC</t>
  </si>
  <si>
    <t>SGO-559</t>
  </si>
  <si>
    <t>MANGO</t>
  </si>
  <si>
    <t>SGO-560</t>
  </si>
  <si>
    <t>07 49 32 14 99</t>
  </si>
  <si>
    <t>BF384003004001001928</t>
  </si>
  <si>
    <t>SGO-561</t>
  </si>
  <si>
    <t>DEMBELE</t>
  </si>
  <si>
    <t xml:space="preserve"> YOBI</t>
  </si>
  <si>
    <t>07 68 07 86 82</t>
  </si>
  <si>
    <t>BF384002001001001699</t>
  </si>
  <si>
    <t>SGO-562</t>
  </si>
  <si>
    <t>ALASSANE</t>
  </si>
  <si>
    <t>07 47 52 10 90</t>
  </si>
  <si>
    <t>SGO-563</t>
  </si>
  <si>
    <t xml:space="preserve"> ALASSANE</t>
  </si>
  <si>
    <t>BF384002002001004823</t>
  </si>
  <si>
    <t>SGO-564</t>
  </si>
  <si>
    <t>ZOUNGRANA</t>
  </si>
  <si>
    <t xml:space="preserve"> MATHIAS</t>
  </si>
  <si>
    <t>07 47 42 69 56</t>
  </si>
  <si>
    <t>BF384002007001017829</t>
  </si>
  <si>
    <t>SGO-565</t>
  </si>
  <si>
    <t xml:space="preserve"> TIBO DIT SALIFOU</t>
  </si>
  <si>
    <t>SGO-566</t>
  </si>
  <si>
    <t>THOMAS</t>
  </si>
  <si>
    <t>07 78 52 26 29</t>
  </si>
  <si>
    <t>SGO-567</t>
  </si>
  <si>
    <t>NANEMA</t>
  </si>
  <si>
    <t xml:space="preserve"> BENJAMIN</t>
  </si>
  <si>
    <t>07 78 79 92 37</t>
  </si>
  <si>
    <t>SGO-568</t>
  </si>
  <si>
    <t>DIANDA</t>
  </si>
  <si>
    <t>SGO-569</t>
  </si>
  <si>
    <t xml:space="preserve"> OUSSEINI</t>
  </si>
  <si>
    <t>07 79 12 15 54</t>
  </si>
  <si>
    <t>BF384002002001045523</t>
  </si>
  <si>
    <t>SGO-570</t>
  </si>
  <si>
    <t>TIMBI</t>
  </si>
  <si>
    <t>07 49 68 05 86</t>
  </si>
  <si>
    <t>SGO-572</t>
  </si>
  <si>
    <t>SAIDOU</t>
  </si>
  <si>
    <t>07 89 32 83 39</t>
  </si>
  <si>
    <t>SGO-573</t>
  </si>
  <si>
    <t xml:space="preserve"> BOUBA</t>
  </si>
  <si>
    <t>SGO-574</t>
  </si>
  <si>
    <t xml:space="preserve"> DIEUDONNE</t>
  </si>
  <si>
    <t>SGO-578</t>
  </si>
  <si>
    <t>SGO-579</t>
  </si>
  <si>
    <t>SGO-581</t>
  </si>
  <si>
    <t>GUIRO</t>
  </si>
  <si>
    <t>SGO-582</t>
  </si>
  <si>
    <t>SGO-583</t>
  </si>
  <si>
    <t>MODESTE</t>
  </si>
  <si>
    <t>SGO-586</t>
  </si>
  <si>
    <t xml:space="preserve"> GBONGUE</t>
  </si>
  <si>
    <t>SGO-589</t>
  </si>
  <si>
    <t>SGO-590</t>
  </si>
  <si>
    <t>SGO-591</t>
  </si>
  <si>
    <t>OULAI</t>
  </si>
  <si>
    <t>KLA ANTOINE</t>
  </si>
  <si>
    <t>SCH-593</t>
  </si>
  <si>
    <t xml:space="preserve"> TIAFE</t>
  </si>
  <si>
    <t>05 55 41 73 77</t>
  </si>
  <si>
    <t>C0106632828</t>
  </si>
  <si>
    <t>SCH-599</t>
  </si>
  <si>
    <t>07 89 69 26 54</t>
  </si>
  <si>
    <t>C0093820152</t>
  </si>
  <si>
    <t>SCH-600</t>
  </si>
  <si>
    <t>MANH</t>
  </si>
  <si>
    <t>GON BASIL</t>
  </si>
  <si>
    <t>SCH-605</t>
  </si>
  <si>
    <t>ANDRE TOURE</t>
  </si>
  <si>
    <t>SCH-611</t>
  </si>
  <si>
    <t>LADJI</t>
  </si>
  <si>
    <t>05 54 76 31 76</t>
  </si>
  <si>
    <t>SCH-613</t>
  </si>
  <si>
    <t>07 47 49 03 02</t>
  </si>
  <si>
    <t>C0091012702</t>
  </si>
  <si>
    <t>SCH-616</t>
  </si>
  <si>
    <t>TOKPA</t>
  </si>
  <si>
    <t xml:space="preserve"> SAHI </t>
  </si>
  <si>
    <t>05 95 00 56 98</t>
  </si>
  <si>
    <t>SCH-618</t>
  </si>
  <si>
    <t xml:space="preserve"> AMARA</t>
  </si>
  <si>
    <t>SCH-629</t>
  </si>
  <si>
    <t xml:space="preserve"> BAFFO</t>
  </si>
  <si>
    <t>05 55 54 08 06</t>
  </si>
  <si>
    <t>C0080010324</t>
  </si>
  <si>
    <t>SCH-632</t>
  </si>
  <si>
    <t>BF384002001001007126</t>
  </si>
  <si>
    <t>SCH-633</t>
  </si>
  <si>
    <t>DIABARE</t>
  </si>
  <si>
    <t>SCH-639</t>
  </si>
  <si>
    <t>07 48 37 61 55</t>
  </si>
  <si>
    <t>SCH-640</t>
  </si>
  <si>
    <t>KODE</t>
  </si>
  <si>
    <t>07 08 26 82 83</t>
  </si>
  <si>
    <t>SCH-641</t>
  </si>
  <si>
    <t>WONGONGE</t>
  </si>
  <si>
    <t>07 68 40 92 84</t>
  </si>
  <si>
    <t>SCH-642</t>
  </si>
  <si>
    <t>GOUAUNOU</t>
  </si>
  <si>
    <t xml:space="preserve"> KOSSBEU</t>
  </si>
  <si>
    <t>07 89 75 66 46</t>
  </si>
  <si>
    <t>SCH-643</t>
  </si>
  <si>
    <t>TOUAGO</t>
  </si>
  <si>
    <t xml:space="preserve"> MICHEL</t>
  </si>
  <si>
    <t>SCH-644</t>
  </si>
  <si>
    <t>GLEMDE</t>
  </si>
  <si>
    <t>07 79 12 08 44</t>
  </si>
  <si>
    <t>SCH-645</t>
  </si>
  <si>
    <t>TOUA</t>
  </si>
  <si>
    <t xml:space="preserve"> GEROME</t>
  </si>
  <si>
    <t>SCH-646</t>
  </si>
  <si>
    <t>SCH-652</t>
  </si>
  <si>
    <t xml:space="preserve"> TOPE LAMBERT </t>
  </si>
  <si>
    <t>SCH-653</t>
  </si>
  <si>
    <t xml:space="preserve"> KOUEGBE</t>
  </si>
  <si>
    <t>SCH-654</t>
  </si>
  <si>
    <t>TOPE</t>
  </si>
  <si>
    <t xml:space="preserve"> CLAVER</t>
  </si>
  <si>
    <t>07 49 65 52 12</t>
  </si>
  <si>
    <t>SCH-656</t>
  </si>
  <si>
    <t xml:space="preserve"> OUMAR</t>
  </si>
  <si>
    <t>SCH-658</t>
  </si>
  <si>
    <t xml:space="preserve"> PACOME</t>
  </si>
  <si>
    <t>SCH-659</t>
  </si>
  <si>
    <t>BIBOU</t>
  </si>
  <si>
    <t>BLAISE</t>
  </si>
  <si>
    <t>07 88 90 18 69</t>
  </si>
  <si>
    <t>SCH-660</t>
  </si>
  <si>
    <t>ILBOUDO</t>
  </si>
  <si>
    <t xml:space="preserve"> GREGOIRE</t>
  </si>
  <si>
    <t>07 89 47 67 83</t>
  </si>
  <si>
    <t>SCH-661</t>
  </si>
  <si>
    <t>KOUA</t>
  </si>
  <si>
    <t>ZE MARIE</t>
  </si>
  <si>
    <t>SCH-663</t>
  </si>
  <si>
    <t xml:space="preserve"> PRIVAT</t>
  </si>
  <si>
    <t>SCH-665</t>
  </si>
  <si>
    <t>DEHI</t>
  </si>
  <si>
    <t xml:space="preserve"> HERVE</t>
  </si>
  <si>
    <t>07 57 59 45 06</t>
  </si>
  <si>
    <t>SCH-666</t>
  </si>
  <si>
    <t xml:space="preserve"> FRANCIS</t>
  </si>
  <si>
    <t>SCH-667</t>
  </si>
  <si>
    <t xml:space="preserve"> EVARIS</t>
  </si>
  <si>
    <t>SCH-668</t>
  </si>
  <si>
    <t xml:space="preserve"> DOH DENIS</t>
  </si>
  <si>
    <t>SCH-669</t>
  </si>
  <si>
    <t>SCH-673</t>
  </si>
  <si>
    <t xml:space="preserve"> EVARIST</t>
  </si>
  <si>
    <t>SCH-674</t>
  </si>
  <si>
    <t>NARCISSE</t>
  </si>
  <si>
    <t>SCH-675</t>
  </si>
  <si>
    <t>BOBA</t>
  </si>
  <si>
    <t xml:space="preserve"> JURUS</t>
  </si>
  <si>
    <t>SCH-676</t>
  </si>
  <si>
    <t>KOUE</t>
  </si>
  <si>
    <t xml:space="preserve"> KADO GERARD</t>
  </si>
  <si>
    <t>SCH-678</t>
  </si>
  <si>
    <t>BLESSE</t>
  </si>
  <si>
    <t xml:space="preserve"> ROBERT</t>
  </si>
  <si>
    <t>SCH-681</t>
  </si>
  <si>
    <t>KOLE</t>
  </si>
  <si>
    <t xml:space="preserve"> ANDERSON</t>
  </si>
  <si>
    <t>SCH-682</t>
  </si>
  <si>
    <t xml:space="preserve"> ALEX</t>
  </si>
  <si>
    <t>07 69 60 52 35</t>
  </si>
  <si>
    <t>SCH-683</t>
  </si>
  <si>
    <t>DEWE</t>
  </si>
  <si>
    <t xml:space="preserve"> AUGUSTIN</t>
  </si>
  <si>
    <t>SCH-685</t>
  </si>
  <si>
    <t xml:space="preserve"> DESCARD</t>
  </si>
  <si>
    <t>SCH-686</t>
  </si>
  <si>
    <t xml:space="preserve"> ROGER</t>
  </si>
  <si>
    <t>07 68 15 75 80</t>
  </si>
  <si>
    <t>SCH-687</t>
  </si>
  <si>
    <t xml:space="preserve"> GUEU AMBROISE</t>
  </si>
  <si>
    <t>SCH-688</t>
  </si>
  <si>
    <t>KEUHOUA</t>
  </si>
  <si>
    <t>PHILIPPE</t>
  </si>
  <si>
    <t>SCH-690</t>
  </si>
  <si>
    <t>KEMOKO</t>
  </si>
  <si>
    <t>ERNEST</t>
  </si>
  <si>
    <t>SCH-696</t>
  </si>
  <si>
    <t>DIA</t>
  </si>
  <si>
    <t>MATHIAS</t>
  </si>
  <si>
    <t>07 08 14 26 11</t>
  </si>
  <si>
    <t>SCH-701</t>
  </si>
  <si>
    <t xml:space="preserve"> BLE SADIA</t>
  </si>
  <si>
    <t>07 08 69 61 68</t>
  </si>
  <si>
    <t>C0080117168</t>
  </si>
  <si>
    <t>SCH-702</t>
  </si>
  <si>
    <t>OUHEU</t>
  </si>
  <si>
    <t>JULIEN</t>
  </si>
  <si>
    <t>07 07 86 28 64</t>
  </si>
  <si>
    <t>SCH-703</t>
  </si>
  <si>
    <t>KPA</t>
  </si>
  <si>
    <t xml:space="preserve"> KAHAZROUA</t>
  </si>
  <si>
    <t>SCH-704</t>
  </si>
  <si>
    <t>BHO</t>
  </si>
  <si>
    <t xml:space="preserve"> IDOVER</t>
  </si>
  <si>
    <t>07 87 32 33 89</t>
  </si>
  <si>
    <t>SCH-706</t>
  </si>
  <si>
    <t>HOUA</t>
  </si>
  <si>
    <t xml:space="preserve"> DIN CHRISTOPHE</t>
  </si>
  <si>
    <t>07 87 67 99 73</t>
  </si>
  <si>
    <t>SCH-707</t>
  </si>
  <si>
    <t xml:space="preserve"> DAGUI BERNARD</t>
  </si>
  <si>
    <t>SCH-708</t>
  </si>
  <si>
    <t>05 64 08 23 71</t>
  </si>
  <si>
    <t>SCH-710</t>
  </si>
  <si>
    <t>GILDAS</t>
  </si>
  <si>
    <t>07 48 22 05 32</t>
  </si>
  <si>
    <t>SCH-711</t>
  </si>
  <si>
    <t>NELO</t>
  </si>
  <si>
    <t>07 47 22 09 76</t>
  </si>
  <si>
    <t>SCH-715</t>
  </si>
  <si>
    <t>MEAMIN</t>
  </si>
  <si>
    <t>FORTUNE</t>
  </si>
  <si>
    <t>07 88 81 07 63</t>
  </si>
  <si>
    <t>SCH-718</t>
  </si>
  <si>
    <t>TOMAN</t>
  </si>
  <si>
    <t>MAHEULOU</t>
  </si>
  <si>
    <t>07 88 11 53 80</t>
  </si>
  <si>
    <t>SCH-719</t>
  </si>
  <si>
    <t>07 49 29 41 85</t>
  </si>
  <si>
    <t>SCH-720</t>
  </si>
  <si>
    <t>DOUE</t>
  </si>
  <si>
    <t>SCH-723</t>
  </si>
  <si>
    <t xml:space="preserve"> PAULIN</t>
  </si>
  <si>
    <t>0787 67 99 73</t>
  </si>
  <si>
    <t>SCH-725</t>
  </si>
  <si>
    <t xml:space="preserve"> FIDEL</t>
  </si>
  <si>
    <t>07 48 59 48 61</t>
  </si>
  <si>
    <t>SCH-727</t>
  </si>
  <si>
    <t>AVIATION</t>
  </si>
  <si>
    <t xml:space="preserve"> MADY</t>
  </si>
  <si>
    <t>07 87 42 53 54</t>
  </si>
  <si>
    <t>SAV-728</t>
  </si>
  <si>
    <t>KASSIM</t>
  </si>
  <si>
    <t>DIARRA</t>
  </si>
  <si>
    <t>SAV-729</t>
  </si>
  <si>
    <t>DJAKARIDJA</t>
  </si>
  <si>
    <t>DIAKITE</t>
  </si>
  <si>
    <t>SAV-730</t>
  </si>
  <si>
    <t>SAV-731</t>
  </si>
  <si>
    <t>0708 50 79 91</t>
  </si>
  <si>
    <t>SAV-732</t>
  </si>
  <si>
    <t>DIARRASSOUBA</t>
  </si>
  <si>
    <t>KOFFI OLIVIER</t>
  </si>
  <si>
    <t>SAV-733</t>
  </si>
  <si>
    <t>INZHA</t>
  </si>
  <si>
    <t>SAV-734</t>
  </si>
  <si>
    <t xml:space="preserve">ADAMA </t>
  </si>
  <si>
    <t>SAV-735</t>
  </si>
  <si>
    <t>SOUMAILA</t>
  </si>
  <si>
    <t>SAV-736</t>
  </si>
  <si>
    <t xml:space="preserve"> MOMINE</t>
  </si>
  <si>
    <t>SAV-737</t>
  </si>
  <si>
    <t>KEITA</t>
  </si>
  <si>
    <t xml:space="preserve"> DAOUDA</t>
  </si>
  <si>
    <t>0709 00 51 59</t>
  </si>
  <si>
    <t>SAV-738</t>
  </si>
  <si>
    <t>SAV-739</t>
  </si>
  <si>
    <t>TAYOUROU</t>
  </si>
  <si>
    <t>07 79 14 53 69</t>
  </si>
  <si>
    <t>SAV-740</t>
  </si>
  <si>
    <t>SAV-741</t>
  </si>
  <si>
    <t>DIALLO</t>
  </si>
  <si>
    <t xml:space="preserve"> LAMINE </t>
  </si>
  <si>
    <t>SAV-742</t>
  </si>
  <si>
    <t>SAV-743</t>
  </si>
  <si>
    <t>IDRISSA</t>
  </si>
  <si>
    <t>SAV-744</t>
  </si>
  <si>
    <t xml:space="preserve"> LAZARE</t>
  </si>
  <si>
    <t>SAV-745</t>
  </si>
  <si>
    <t>GAHA</t>
  </si>
  <si>
    <t xml:space="preserve"> TEA ERIC</t>
  </si>
  <si>
    <t>SAV-746</t>
  </si>
  <si>
    <t>SOMA</t>
  </si>
  <si>
    <t xml:space="preserve"> SALIF </t>
  </si>
  <si>
    <t>SAV-747</t>
  </si>
  <si>
    <t>SAGNON</t>
  </si>
  <si>
    <t>SAV-748</t>
  </si>
  <si>
    <t>SANOU</t>
  </si>
  <si>
    <t>SAV-749</t>
  </si>
  <si>
    <t xml:space="preserve"> OUMAROU </t>
  </si>
  <si>
    <t>SAV-750</t>
  </si>
  <si>
    <t>MOUSSA</t>
  </si>
  <si>
    <t>SAV-751</t>
  </si>
  <si>
    <t>SAV-752</t>
  </si>
  <si>
    <t>DRAMANE</t>
  </si>
  <si>
    <t>SAV-753</t>
  </si>
  <si>
    <t>DAO</t>
  </si>
  <si>
    <t>SAV-754</t>
  </si>
  <si>
    <t xml:space="preserve"> DRISSA</t>
  </si>
  <si>
    <t>SAV-755</t>
  </si>
  <si>
    <t xml:space="preserve"> AZIZ</t>
  </si>
  <si>
    <t>SAV-756</t>
  </si>
  <si>
    <t xml:space="preserve"> DESIRE</t>
  </si>
  <si>
    <t>SAV-757</t>
  </si>
  <si>
    <t xml:space="preserve"> BADIALE</t>
  </si>
  <si>
    <t>SAV-758</t>
  </si>
  <si>
    <t xml:space="preserve"> SAYOUBA</t>
  </si>
  <si>
    <t>SAV-759</t>
  </si>
  <si>
    <t>SAV-760</t>
  </si>
  <si>
    <t xml:space="preserve"> DAOUDA </t>
  </si>
  <si>
    <t>SAV-761</t>
  </si>
  <si>
    <t xml:space="preserve"> ISSA 2</t>
  </si>
  <si>
    <t>SAV-762</t>
  </si>
  <si>
    <t xml:space="preserve"> MAMA</t>
  </si>
  <si>
    <t>SAV-763</t>
  </si>
  <si>
    <t>SAV-764</t>
  </si>
  <si>
    <t>DANIEL</t>
  </si>
  <si>
    <t>SAV-765</t>
  </si>
  <si>
    <t>SEBAGO</t>
  </si>
  <si>
    <t xml:space="preserve"> LORA</t>
  </si>
  <si>
    <t>SAV-766</t>
  </si>
  <si>
    <t>KOUDOUGOU</t>
  </si>
  <si>
    <t>SAV-767</t>
  </si>
  <si>
    <t>SAV-768</t>
  </si>
  <si>
    <t>SAV-769</t>
  </si>
  <si>
    <t>ZOUNO</t>
  </si>
  <si>
    <t>SAV-770</t>
  </si>
  <si>
    <t>SARME</t>
  </si>
  <si>
    <t>BRAHIMA</t>
  </si>
  <si>
    <t>SAV-771</t>
  </si>
  <si>
    <t>BATIN</t>
  </si>
  <si>
    <t>SAV-772</t>
  </si>
  <si>
    <t>SAV-773</t>
  </si>
  <si>
    <t>BAZIE</t>
  </si>
  <si>
    <t>SAV-774</t>
  </si>
  <si>
    <t>SAV-775</t>
  </si>
  <si>
    <t>DJIBRILE</t>
  </si>
  <si>
    <t>SAV-776</t>
  </si>
  <si>
    <t>BAMOGO</t>
  </si>
  <si>
    <t>SAV-777</t>
  </si>
  <si>
    <t>NIKIEMAN</t>
  </si>
  <si>
    <t>LOUIS</t>
  </si>
  <si>
    <t>SAV-778</t>
  </si>
  <si>
    <t>SAV-779</t>
  </si>
  <si>
    <t xml:space="preserve"> YACOU</t>
  </si>
  <si>
    <t>SAV-780</t>
  </si>
  <si>
    <t>SAV-781</t>
  </si>
  <si>
    <t xml:space="preserve"> POGSADA</t>
  </si>
  <si>
    <t>SAV-782</t>
  </si>
  <si>
    <t>LASSO</t>
  </si>
  <si>
    <t>SAV-783</t>
  </si>
  <si>
    <t xml:space="preserve"> HAMED</t>
  </si>
  <si>
    <t>SAV-784</t>
  </si>
  <si>
    <t>SEKOU</t>
  </si>
  <si>
    <t>SAV-785</t>
  </si>
  <si>
    <t>BALO</t>
  </si>
  <si>
    <t>ABDOULAYE</t>
  </si>
  <si>
    <t>SAV-786</t>
  </si>
  <si>
    <t xml:space="preserve"> SANGARE</t>
  </si>
  <si>
    <t>SAV-787</t>
  </si>
  <si>
    <t>SAV-788</t>
  </si>
  <si>
    <t>SALIA</t>
  </si>
  <si>
    <t>SAV-789</t>
  </si>
  <si>
    <t>SAV-790</t>
  </si>
  <si>
    <t>KALIFA</t>
  </si>
  <si>
    <t>SAV-791</t>
  </si>
  <si>
    <t>SAV-792</t>
  </si>
  <si>
    <t>OUMAR</t>
  </si>
  <si>
    <t>SAV-793</t>
  </si>
  <si>
    <t>SOUNKALO</t>
  </si>
  <si>
    <t>SAV-794</t>
  </si>
  <si>
    <t>ZERBO</t>
  </si>
  <si>
    <t>MOUMOUNI</t>
  </si>
  <si>
    <t>SAV-795</t>
  </si>
  <si>
    <t>SAV-796</t>
  </si>
  <si>
    <t>MOUSSA 1</t>
  </si>
  <si>
    <t>SAV-797</t>
  </si>
  <si>
    <t xml:space="preserve"> ABOULAYE</t>
  </si>
  <si>
    <t>SAV-798</t>
  </si>
  <si>
    <t xml:space="preserve"> DRISSA </t>
  </si>
  <si>
    <t>SAV-799</t>
  </si>
  <si>
    <t xml:space="preserve"> LAMINE</t>
  </si>
  <si>
    <t>SAV-800</t>
  </si>
  <si>
    <t>ABOU</t>
  </si>
  <si>
    <t>SAV-801</t>
  </si>
  <si>
    <t>SONNEYO</t>
  </si>
  <si>
    <t xml:space="preserve"> MARIUS</t>
  </si>
  <si>
    <t>SAV-802</t>
  </si>
  <si>
    <t>SAV-803</t>
  </si>
  <si>
    <t>KONAN</t>
  </si>
  <si>
    <t xml:space="preserve"> KOUASSI BENJAMIN</t>
  </si>
  <si>
    <t>SAV-804</t>
  </si>
  <si>
    <t>SALIME</t>
  </si>
  <si>
    <t>SAV-805</t>
  </si>
  <si>
    <t>DAH</t>
  </si>
  <si>
    <t xml:space="preserve"> ZERMITE</t>
  </si>
  <si>
    <t>SAV-806</t>
  </si>
  <si>
    <t>SAV-807</t>
  </si>
  <si>
    <t>WIPIKA</t>
  </si>
  <si>
    <t>SAV-808</t>
  </si>
  <si>
    <t>SOGODOGO</t>
  </si>
  <si>
    <t>SAV-809</t>
  </si>
  <si>
    <t xml:space="preserve"> ZOUMANA</t>
  </si>
  <si>
    <t>SAV-810</t>
  </si>
  <si>
    <t>SAV-811</t>
  </si>
  <si>
    <t>SISSO</t>
  </si>
  <si>
    <t xml:space="preserve"> BAH EMMA</t>
  </si>
  <si>
    <t>SAV-812</t>
  </si>
  <si>
    <t>SAV-813</t>
  </si>
  <si>
    <t>TAO</t>
  </si>
  <si>
    <t>SAV-814</t>
  </si>
  <si>
    <t xml:space="preserve"> SIAKA </t>
  </si>
  <si>
    <t>SAV-815</t>
  </si>
  <si>
    <t>DRISSA 2</t>
  </si>
  <si>
    <t>SAV-816</t>
  </si>
  <si>
    <t>SAV-817</t>
  </si>
  <si>
    <t>SAV-818</t>
  </si>
  <si>
    <t xml:space="preserve"> BOULAYE</t>
  </si>
  <si>
    <t>SAV-819</t>
  </si>
  <si>
    <t>SAV-820</t>
  </si>
  <si>
    <t>DIAKARIDJA</t>
  </si>
  <si>
    <t>SAV-821</t>
  </si>
  <si>
    <t xml:space="preserve"> SAMA</t>
  </si>
  <si>
    <t>SAV-822</t>
  </si>
  <si>
    <t>BAKARY</t>
  </si>
  <si>
    <t>SAV-823</t>
  </si>
  <si>
    <t>NAMONNAN</t>
  </si>
  <si>
    <t>SAV-824</t>
  </si>
  <si>
    <t>DAYALA</t>
  </si>
  <si>
    <t xml:space="preserve"> NAMOUSSA</t>
  </si>
  <si>
    <t>SAV-825</t>
  </si>
  <si>
    <t>KIMA</t>
  </si>
  <si>
    <t>SAV-826</t>
  </si>
  <si>
    <t xml:space="preserve"> LAMINE 2</t>
  </si>
  <si>
    <t>SAV-827</t>
  </si>
  <si>
    <t>SAV-828</t>
  </si>
  <si>
    <t>SAV-829</t>
  </si>
  <si>
    <t>SAV-830</t>
  </si>
  <si>
    <t>SAV-831</t>
  </si>
  <si>
    <t xml:space="preserve"> AMIDOU</t>
  </si>
  <si>
    <t>SAV-832</t>
  </si>
  <si>
    <t>FRANDOUGOU</t>
  </si>
  <si>
    <t>NEA</t>
  </si>
  <si>
    <t>ISSIAKA</t>
  </si>
  <si>
    <t>SAV-833</t>
  </si>
  <si>
    <t>SAV-834</t>
  </si>
  <si>
    <t xml:space="preserve"> SIBIRI</t>
  </si>
  <si>
    <t>SAV-835</t>
  </si>
  <si>
    <t>AMIDOU 1</t>
  </si>
  <si>
    <t>SAV-836</t>
  </si>
  <si>
    <t xml:space="preserve"> BOUGOUZE</t>
  </si>
  <si>
    <t>SAV-837</t>
  </si>
  <si>
    <t>SAV-838</t>
  </si>
  <si>
    <t xml:space="preserve"> NAVOGO</t>
  </si>
  <si>
    <t>SAV-839</t>
  </si>
  <si>
    <t>ISSOUF 1</t>
  </si>
  <si>
    <t>SAV-840</t>
  </si>
  <si>
    <t>ADJARA</t>
  </si>
  <si>
    <t>SAV-841</t>
  </si>
  <si>
    <t>SAV-842</t>
  </si>
  <si>
    <t>RIBOU</t>
  </si>
  <si>
    <t xml:space="preserve"> GEREMIE</t>
  </si>
  <si>
    <t>SAV-843</t>
  </si>
  <si>
    <t>TIENDREBIOGO</t>
  </si>
  <si>
    <t>DIEUDONNE</t>
  </si>
  <si>
    <t>SAV-844</t>
  </si>
  <si>
    <t xml:space="preserve"> ABDOULAYE</t>
  </si>
  <si>
    <t>SGU-845</t>
  </si>
  <si>
    <t xml:space="preserve"> NIAMA</t>
  </si>
  <si>
    <t>SGU-846</t>
  </si>
  <si>
    <t>TANIEU</t>
  </si>
  <si>
    <t>THIMOTEE</t>
  </si>
  <si>
    <t>SGU-847</t>
  </si>
  <si>
    <t>THEODORE</t>
  </si>
  <si>
    <t>SGU-848</t>
  </si>
  <si>
    <t xml:space="preserve"> DEBA VIRGINIE</t>
  </si>
  <si>
    <t>SGU-849</t>
  </si>
  <si>
    <t>NABI</t>
  </si>
  <si>
    <t>SGU-850</t>
  </si>
  <si>
    <t>WOGUEU</t>
  </si>
  <si>
    <t xml:space="preserve"> ZAWI</t>
  </si>
  <si>
    <t>SGU-851</t>
  </si>
  <si>
    <t>SGU-852</t>
  </si>
  <si>
    <t xml:space="preserve"> ISSIAKA 2</t>
  </si>
  <si>
    <t>SGU-853</t>
  </si>
  <si>
    <t>ILI</t>
  </si>
  <si>
    <t>TASSERE</t>
  </si>
  <si>
    <t>SGU-854</t>
  </si>
  <si>
    <t>KOUAKOU</t>
  </si>
  <si>
    <t>SGU-855</t>
  </si>
  <si>
    <t>FABRICE PAUL</t>
  </si>
  <si>
    <t>SGU-856</t>
  </si>
  <si>
    <t>KOFFI</t>
  </si>
  <si>
    <t>KOUASSI BLAISE</t>
  </si>
  <si>
    <t>SGU-857</t>
  </si>
  <si>
    <t xml:space="preserve"> GILBERT</t>
  </si>
  <si>
    <t>SGU-858</t>
  </si>
  <si>
    <t>OUMSANWERE</t>
  </si>
  <si>
    <t>YAMBA DIT VINCENT</t>
  </si>
  <si>
    <t>SGU-859</t>
  </si>
  <si>
    <t>SGU-860</t>
  </si>
  <si>
    <t>NABALMA</t>
  </si>
  <si>
    <t>SGU-861</t>
  </si>
  <si>
    <t xml:space="preserve"> DAOUDA 2</t>
  </si>
  <si>
    <t>SGU-862</t>
  </si>
  <si>
    <t xml:space="preserve"> DENIS</t>
  </si>
  <si>
    <t>SGU-863</t>
  </si>
  <si>
    <t xml:space="preserve"> FLATIE</t>
  </si>
  <si>
    <t>SGU-864</t>
  </si>
  <si>
    <t>MADOU</t>
  </si>
  <si>
    <t>SGU-865</t>
  </si>
  <si>
    <t xml:space="preserve"> URBAIN</t>
  </si>
  <si>
    <t>SGO-866</t>
  </si>
  <si>
    <t xml:space="preserve"> DIAKARIDIA</t>
  </si>
  <si>
    <t>07 88 38 48 42</t>
  </si>
  <si>
    <t>SGO-867</t>
  </si>
  <si>
    <t>SAMAN</t>
  </si>
  <si>
    <t>SGO-868</t>
  </si>
  <si>
    <t>KISSOU</t>
  </si>
  <si>
    <t>JEAN</t>
  </si>
  <si>
    <t>SGO-869</t>
  </si>
  <si>
    <t xml:space="preserve"> KISWENDSIDA</t>
  </si>
  <si>
    <t>SGO-870</t>
  </si>
  <si>
    <t>WALBIOGO</t>
  </si>
  <si>
    <t xml:space="preserve"> PHILIP</t>
  </si>
  <si>
    <t>SGO-871</t>
  </si>
  <si>
    <t xml:space="preserve"> KOUGUIA</t>
  </si>
  <si>
    <t>SGO-872</t>
  </si>
  <si>
    <t>GON</t>
  </si>
  <si>
    <t xml:space="preserve"> DOMI JACQUES</t>
  </si>
  <si>
    <t>SGO-873</t>
  </si>
  <si>
    <t xml:space="preserve"> ZOUBLE MICHEL</t>
  </si>
  <si>
    <t>BF384002001001014999</t>
  </si>
  <si>
    <t>SGO-874</t>
  </si>
  <si>
    <t xml:space="preserve"> SALAM</t>
  </si>
  <si>
    <t>SGO-875</t>
  </si>
  <si>
    <t>MALMOUSSA</t>
  </si>
  <si>
    <t xml:space="preserve"> SALIF</t>
  </si>
  <si>
    <t>BF384002002001013184</t>
  </si>
  <si>
    <t>SGO-876</t>
  </si>
  <si>
    <t>BAGAYAN</t>
  </si>
  <si>
    <t>BF384007001001017840</t>
  </si>
  <si>
    <t>SGO-877</t>
  </si>
  <si>
    <t>DIEU</t>
  </si>
  <si>
    <t>KUH MARIUS</t>
  </si>
  <si>
    <t>C0082308429</t>
  </si>
  <si>
    <t>SGO-878</t>
  </si>
  <si>
    <t xml:space="preserve"> SOMBARI</t>
  </si>
  <si>
    <t>BF384002001001016348</t>
  </si>
  <si>
    <t>SGO-879</t>
  </si>
  <si>
    <t xml:space="preserve"> ALIDOU</t>
  </si>
  <si>
    <t>07 48 39 54 58</t>
  </si>
  <si>
    <t>SGO-880</t>
  </si>
  <si>
    <t>CHERBORGOR</t>
  </si>
  <si>
    <t xml:space="preserve"> MOUMOUNI</t>
  </si>
  <si>
    <t>07 48 22 48 19</t>
  </si>
  <si>
    <t>SGO-881</t>
  </si>
  <si>
    <t>SGO-882</t>
  </si>
  <si>
    <t>SARNA</t>
  </si>
  <si>
    <t xml:space="preserve"> ADAMAN</t>
  </si>
  <si>
    <t>BF384002002001045520</t>
  </si>
  <si>
    <t>SGO-883</t>
  </si>
  <si>
    <t xml:space="preserve"> BERNARD</t>
  </si>
  <si>
    <t>BF384002002001013212</t>
  </si>
  <si>
    <t>SGO-884</t>
  </si>
  <si>
    <t xml:space="preserve"> WENDINMETTE</t>
  </si>
  <si>
    <t>07 97 77 70 48</t>
  </si>
  <si>
    <t>SGO-885</t>
  </si>
  <si>
    <t xml:space="preserve"> ISSOUFOU</t>
  </si>
  <si>
    <t>07 67 38 78 05</t>
  </si>
  <si>
    <t>SGO-886</t>
  </si>
  <si>
    <t xml:space="preserve"> KIRISSI</t>
  </si>
  <si>
    <t>07 88 10 32 83</t>
  </si>
  <si>
    <t>SGO-887</t>
  </si>
  <si>
    <t>07 68 57 69 97</t>
  </si>
  <si>
    <t>SGO-888</t>
  </si>
  <si>
    <t xml:space="preserve"> SOMPAVIGUDI</t>
  </si>
  <si>
    <t>07 59 94 02 86</t>
  </si>
  <si>
    <t>SGO-889</t>
  </si>
  <si>
    <t>BF384002002001013285</t>
  </si>
  <si>
    <t>SGO-890</t>
  </si>
  <si>
    <t>JOSEPH</t>
  </si>
  <si>
    <t>07 59 16 02 78</t>
  </si>
  <si>
    <t>SGO-891</t>
  </si>
  <si>
    <t xml:space="preserve"> NORAOGO </t>
  </si>
  <si>
    <t>BF384002002001045541</t>
  </si>
  <si>
    <t>SGO-892</t>
  </si>
  <si>
    <t>OUOBA</t>
  </si>
  <si>
    <t xml:space="preserve">DAHALY </t>
  </si>
  <si>
    <t>BF384002001001014703</t>
  </si>
  <si>
    <t>SGO-893</t>
  </si>
  <si>
    <t>BF384002002001040665</t>
  </si>
  <si>
    <t>SGO-894</t>
  </si>
  <si>
    <t>SOBOGO</t>
  </si>
  <si>
    <t xml:space="preserve"> NIKIEMA</t>
  </si>
  <si>
    <t>BF384002001001016386</t>
  </si>
  <si>
    <t>SGO-895</t>
  </si>
  <si>
    <t>07 49 38 02 08</t>
  </si>
  <si>
    <t>SGO-896</t>
  </si>
  <si>
    <t xml:space="preserve"> ALKALI SOULEYMANE</t>
  </si>
  <si>
    <t>BF384002002001014809</t>
  </si>
  <si>
    <t>SGO-897</t>
  </si>
  <si>
    <t>KORGO</t>
  </si>
  <si>
    <t xml:space="preserve"> RAGOAME</t>
  </si>
  <si>
    <t>BF384002002001013174</t>
  </si>
  <si>
    <t>SGO-898</t>
  </si>
  <si>
    <t xml:space="preserve"> SOURNOMA</t>
  </si>
  <si>
    <t>SGO-899</t>
  </si>
  <si>
    <t xml:space="preserve"> GOAMPABOUSDI</t>
  </si>
  <si>
    <t>SGO-900</t>
  </si>
  <si>
    <t>RIMSORE</t>
  </si>
  <si>
    <t>SGO-901</t>
  </si>
  <si>
    <t>07 48 23 20 81</t>
  </si>
  <si>
    <t>BF384002002001013311</t>
  </si>
  <si>
    <t>SGO-902</t>
  </si>
  <si>
    <t xml:space="preserve"> MOUSSA DIT ELI</t>
  </si>
  <si>
    <t>BF384002002001013349</t>
  </si>
  <si>
    <t>SGU-903</t>
  </si>
  <si>
    <t xml:space="preserve"> GOKE AUGUSTIN </t>
  </si>
  <si>
    <t>07 97 40 20 61</t>
  </si>
  <si>
    <t>C0060730741</t>
  </si>
  <si>
    <t>SGU-904</t>
  </si>
  <si>
    <t>GONGOME</t>
  </si>
  <si>
    <t xml:space="preserve"> VILASCO</t>
  </si>
  <si>
    <t>SGU-905</t>
  </si>
  <si>
    <t>TOKOLA</t>
  </si>
  <si>
    <t xml:space="preserve"> SEIDOU</t>
  </si>
  <si>
    <t>SGU-906</t>
  </si>
  <si>
    <t>C0116297211</t>
  </si>
  <si>
    <t>SGU-907</t>
  </si>
  <si>
    <t>SGU-908</t>
  </si>
  <si>
    <t>PEZINGO</t>
  </si>
  <si>
    <t>DESIRE</t>
  </si>
  <si>
    <t>BF384002001003004473</t>
  </si>
  <si>
    <t>SGU-909</t>
  </si>
  <si>
    <t xml:space="preserve"> CHEICKMAN</t>
  </si>
  <si>
    <t>SGU-910</t>
  </si>
  <si>
    <t>PERPITE</t>
  </si>
  <si>
    <t>SGU-911</t>
  </si>
  <si>
    <t>KAH</t>
  </si>
  <si>
    <t xml:space="preserve"> TROH ARSENE</t>
  </si>
  <si>
    <t>SGU-912</t>
  </si>
  <si>
    <t>BARRY</t>
  </si>
  <si>
    <t>SGU-913</t>
  </si>
  <si>
    <t xml:space="preserve"> SAMUEL</t>
  </si>
  <si>
    <t>SGU-914</t>
  </si>
  <si>
    <t>SGU-915</t>
  </si>
  <si>
    <t>SANHMA</t>
  </si>
  <si>
    <t>SGU-916</t>
  </si>
  <si>
    <t>SARMAN</t>
  </si>
  <si>
    <t>ALBERT</t>
  </si>
  <si>
    <t>SGU-917</t>
  </si>
  <si>
    <t>WEHI</t>
  </si>
  <si>
    <t>ZEKAGON ANTOINE</t>
  </si>
  <si>
    <t>SFR-918</t>
  </si>
  <si>
    <t>AYOUBA</t>
  </si>
  <si>
    <t>SFR-919</t>
  </si>
  <si>
    <t>SITA</t>
  </si>
  <si>
    <t>SFR-920</t>
  </si>
  <si>
    <t>LASSINA</t>
  </si>
  <si>
    <t>05 66 23 51 48</t>
  </si>
  <si>
    <t>SFR-921</t>
  </si>
  <si>
    <t>MINATA</t>
  </si>
  <si>
    <t>SFR-922</t>
  </si>
  <si>
    <t>SAKARA</t>
  </si>
  <si>
    <t>RACHELLE</t>
  </si>
  <si>
    <t>SFR-923</t>
  </si>
  <si>
    <t>N'GOLO SOULEYMANE</t>
  </si>
  <si>
    <t>05 65 28 67 32</t>
  </si>
  <si>
    <t>SFR-924</t>
  </si>
  <si>
    <t>ZOUMANAN</t>
  </si>
  <si>
    <t>07 58 86 77 45</t>
  </si>
  <si>
    <t>SFR-925</t>
  </si>
  <si>
    <t>DAOUDA 2</t>
  </si>
  <si>
    <t>SFR-926</t>
  </si>
  <si>
    <t>BOUKARY</t>
  </si>
  <si>
    <t>0585 74 65 20</t>
  </si>
  <si>
    <t>SFR-927</t>
  </si>
  <si>
    <t>LACINA</t>
  </si>
  <si>
    <t>SFR-928</t>
  </si>
  <si>
    <t>SEINDOU</t>
  </si>
  <si>
    <t>SFR-929</t>
  </si>
  <si>
    <t>ALLASSANE</t>
  </si>
  <si>
    <t>05 06 21 13 99</t>
  </si>
  <si>
    <t>SFR-930</t>
  </si>
  <si>
    <t>NAVONGO</t>
  </si>
  <si>
    <t>SFR-931</t>
  </si>
  <si>
    <t>05 84 97 56 92</t>
  </si>
  <si>
    <t>SFR-932</t>
  </si>
  <si>
    <t>ZANGA</t>
  </si>
  <si>
    <t>05 64 47 24 58</t>
  </si>
  <si>
    <t>SFR-933</t>
  </si>
  <si>
    <t>SEIDOU</t>
  </si>
  <si>
    <t>SFR-934</t>
  </si>
  <si>
    <t>DIALO</t>
  </si>
  <si>
    <t>NOUFOU</t>
  </si>
  <si>
    <t>05 65 69 64 77</t>
  </si>
  <si>
    <t>SFR-935</t>
  </si>
  <si>
    <t>LASSINA 2</t>
  </si>
  <si>
    <t>SFR-936</t>
  </si>
  <si>
    <t>05 64 29 12 36</t>
  </si>
  <si>
    <t>SFR-937</t>
  </si>
  <si>
    <t>SFR-938</t>
  </si>
  <si>
    <t>05 74 33 62 64</t>
  </si>
  <si>
    <t>SFR-939</t>
  </si>
  <si>
    <t>SFR-940</t>
  </si>
  <si>
    <t>DRISSA</t>
  </si>
  <si>
    <t>SFR-941</t>
  </si>
  <si>
    <t>SFR-942</t>
  </si>
  <si>
    <t>BAH LACINA</t>
  </si>
  <si>
    <t>SFR-943</t>
  </si>
  <si>
    <t>05 84 80  94 05</t>
  </si>
  <si>
    <t>SFR-944</t>
  </si>
  <si>
    <t>LAMINE</t>
  </si>
  <si>
    <t>SFR-945</t>
  </si>
  <si>
    <t>BAYO</t>
  </si>
  <si>
    <t>SFR-946</t>
  </si>
  <si>
    <t>SIRIKI</t>
  </si>
  <si>
    <t>05 54 41 06 92</t>
  </si>
  <si>
    <t>SFR-947</t>
  </si>
  <si>
    <t>SFR-948</t>
  </si>
  <si>
    <t>SFR-949</t>
  </si>
  <si>
    <t>TOME</t>
  </si>
  <si>
    <t>ABOUBAKAR</t>
  </si>
  <si>
    <t>SFR-950</t>
  </si>
  <si>
    <t>05 54 31 25 99</t>
  </si>
  <si>
    <t>SFR-951</t>
  </si>
  <si>
    <t>05 66 96 40 95</t>
  </si>
  <si>
    <t>SFR-952</t>
  </si>
  <si>
    <t>ABDOUL</t>
  </si>
  <si>
    <t>SFR-953</t>
  </si>
  <si>
    <t>MORY</t>
  </si>
  <si>
    <t>07 79 43 47 27</t>
  </si>
  <si>
    <t>SFR-954</t>
  </si>
  <si>
    <t>ZANGAH</t>
  </si>
  <si>
    <t>SFR-955</t>
  </si>
  <si>
    <t>KIENDREBEOGO</t>
  </si>
  <si>
    <t>SFR-956</t>
  </si>
  <si>
    <t>GUI</t>
  </si>
  <si>
    <t>ROMEO</t>
  </si>
  <si>
    <t>SFR-957</t>
  </si>
  <si>
    <t>WEYA</t>
  </si>
  <si>
    <t>KOKOUNSEU BERTIN</t>
  </si>
  <si>
    <t>SFR-958</t>
  </si>
  <si>
    <t>ALINE</t>
  </si>
  <si>
    <t>SFR-959</t>
  </si>
  <si>
    <t>AHMED</t>
  </si>
  <si>
    <t>SFR-960</t>
  </si>
  <si>
    <t>SONDO</t>
  </si>
  <si>
    <t>SFR-961</t>
  </si>
  <si>
    <t>SORO</t>
  </si>
  <si>
    <t>SFR-962</t>
  </si>
  <si>
    <t>07 58 61 87 60</t>
  </si>
  <si>
    <t>SFR-963</t>
  </si>
  <si>
    <t>IOUSSOUF</t>
  </si>
  <si>
    <t>SFR-964</t>
  </si>
  <si>
    <t>KOULIBALI</t>
  </si>
  <si>
    <t>05 65 46 18 81</t>
  </si>
  <si>
    <t>SFR-965</t>
  </si>
  <si>
    <t>TCHOKOROBA</t>
  </si>
  <si>
    <t>07 59 21 78 64</t>
  </si>
  <si>
    <t>SFR-966</t>
  </si>
  <si>
    <t>ZIE LAMOUSSA</t>
  </si>
  <si>
    <t>05 66 32 94 15</t>
  </si>
  <si>
    <t>SFR-967</t>
  </si>
  <si>
    <t>05 84 63 53 91</t>
  </si>
  <si>
    <t>SFR-968</t>
  </si>
  <si>
    <t>YAKOUBA</t>
  </si>
  <si>
    <t>05 66 74 48 73</t>
  </si>
  <si>
    <t>SFR-969</t>
  </si>
  <si>
    <t>YSSOUF</t>
  </si>
  <si>
    <t>SFR-970</t>
  </si>
  <si>
    <t>SFR-971</t>
  </si>
  <si>
    <t>ZIE ABOULAYE</t>
  </si>
  <si>
    <t>05 84 62 87 43</t>
  </si>
  <si>
    <t>SFR-972</t>
  </si>
  <si>
    <t>05 65 67 11 01</t>
  </si>
  <si>
    <t>SFR-973</t>
  </si>
  <si>
    <t>SFR-974</t>
  </si>
  <si>
    <t>SFR-975</t>
  </si>
  <si>
    <t>DAODA</t>
  </si>
  <si>
    <t>05 06 49 90 72</t>
  </si>
  <si>
    <t>SFR-976</t>
  </si>
  <si>
    <t>CHAKA</t>
  </si>
  <si>
    <t>05 85 57 78 07</t>
  </si>
  <si>
    <t>C0060663203</t>
  </si>
  <si>
    <t>SFR-977</t>
  </si>
  <si>
    <t>SFR-978</t>
  </si>
  <si>
    <t>ISMAHILA</t>
  </si>
  <si>
    <t>SFR-979</t>
  </si>
  <si>
    <t>SFR-980</t>
  </si>
  <si>
    <t>SFR-981</t>
  </si>
  <si>
    <t>05 86 18 41 40</t>
  </si>
  <si>
    <t>SFR-982</t>
  </si>
  <si>
    <t>SAIMATA</t>
  </si>
  <si>
    <t>TIA OULAI JEAN ERIC</t>
  </si>
  <si>
    <t>SFR-983</t>
  </si>
  <si>
    <t>CHARKA</t>
  </si>
  <si>
    <t>SFR-984</t>
  </si>
  <si>
    <t>SOUMAHILA</t>
  </si>
  <si>
    <t>05 66 71 02 68</t>
  </si>
  <si>
    <t>SFR-985</t>
  </si>
  <si>
    <t>05 54 73 42 91</t>
  </si>
  <si>
    <t>SFR-986</t>
  </si>
  <si>
    <t>05 44 22 25 73</t>
  </si>
  <si>
    <t>SFR-987</t>
  </si>
  <si>
    <t>C0098047420</t>
  </si>
  <si>
    <t>SFR-988</t>
  </si>
  <si>
    <t>SALIF</t>
  </si>
  <si>
    <t>05 86 73 65 10</t>
  </si>
  <si>
    <t>SFR-989</t>
  </si>
  <si>
    <t>05 84 37 09 38</t>
  </si>
  <si>
    <t>SFR-990</t>
  </si>
  <si>
    <t>AMINATA</t>
  </si>
  <si>
    <t>05 54 16 30 97</t>
  </si>
  <si>
    <t>SFR-991</t>
  </si>
  <si>
    <t>N'GOLO</t>
  </si>
  <si>
    <t>05 56 97 05 24</t>
  </si>
  <si>
    <t>SFR-992</t>
  </si>
  <si>
    <t>SFR-993</t>
  </si>
  <si>
    <t>POUSBILA</t>
  </si>
  <si>
    <t>SFR-994</t>
  </si>
  <si>
    <t>AMIDOU</t>
  </si>
  <si>
    <t>05 56 86 79 11</t>
  </si>
  <si>
    <t>SFR-995</t>
  </si>
  <si>
    <t>WASSA</t>
  </si>
  <si>
    <t>SFR-996</t>
  </si>
  <si>
    <t>ADIARRA</t>
  </si>
  <si>
    <t>SFR-997</t>
  </si>
  <si>
    <t>KARIM</t>
  </si>
  <si>
    <t>SFR-998</t>
  </si>
  <si>
    <t>SFR-999</t>
  </si>
  <si>
    <t>FATIME</t>
  </si>
  <si>
    <t>SFR-1000</t>
  </si>
  <si>
    <t>FOFANA</t>
  </si>
  <si>
    <t>SFR-1001</t>
  </si>
  <si>
    <t>BALLO</t>
  </si>
  <si>
    <t>SFR-1002</t>
  </si>
  <si>
    <t>SAV-1003</t>
  </si>
  <si>
    <t>SAV-1004</t>
  </si>
  <si>
    <t>SOUNGALO</t>
  </si>
  <si>
    <t>SAV-1005</t>
  </si>
  <si>
    <t>ABOUBAKA</t>
  </si>
  <si>
    <t>SAV-1006</t>
  </si>
  <si>
    <t>SAV-1007</t>
  </si>
  <si>
    <t>DJENEBA</t>
  </si>
  <si>
    <t>SAV-1008</t>
  </si>
  <si>
    <t>BRAMA</t>
  </si>
  <si>
    <t>SAV-1009</t>
  </si>
  <si>
    <t>YOUSSOUF</t>
  </si>
  <si>
    <t>SAV-1010</t>
  </si>
  <si>
    <t>ISSOUF</t>
  </si>
  <si>
    <t>SAV-1011</t>
  </si>
  <si>
    <t>SAV-1012</t>
  </si>
  <si>
    <t>AROUM</t>
  </si>
  <si>
    <t>SAV-1013</t>
  </si>
  <si>
    <t>SAV-1014</t>
  </si>
  <si>
    <t>HOMAR</t>
  </si>
  <si>
    <t>SAV-1015</t>
  </si>
  <si>
    <t>BAKARI</t>
  </si>
  <si>
    <t>SAV-1016</t>
  </si>
  <si>
    <t>SAV-1017</t>
  </si>
  <si>
    <t>SAV-1018</t>
  </si>
  <si>
    <t>SIBRIL</t>
  </si>
  <si>
    <t>SAV-1019</t>
  </si>
  <si>
    <t>YOUBA</t>
  </si>
  <si>
    <t>SAV-1020</t>
  </si>
  <si>
    <t>ADAMAN</t>
  </si>
  <si>
    <t>SAV-1021</t>
  </si>
  <si>
    <t>YOROBO</t>
  </si>
  <si>
    <t>SAV-1022</t>
  </si>
  <si>
    <t>WINSICRIVO</t>
  </si>
  <si>
    <t>SAV-1023</t>
  </si>
  <si>
    <t>OUSMANE</t>
  </si>
  <si>
    <t>SAV-1024</t>
  </si>
  <si>
    <t>AMANDOU</t>
  </si>
  <si>
    <t>SAV-1025</t>
  </si>
  <si>
    <t>LARBILA</t>
  </si>
  <si>
    <t>SAV-1026</t>
  </si>
  <si>
    <t>ABOULAYE</t>
  </si>
  <si>
    <t>SAV-1027</t>
  </si>
  <si>
    <t>BRAHIMAN</t>
  </si>
  <si>
    <t>SAV-1028</t>
  </si>
  <si>
    <t>ZOUGRANA</t>
  </si>
  <si>
    <t>SAV-1029</t>
  </si>
  <si>
    <t>IBRAHIME</t>
  </si>
  <si>
    <t>SAV-1030</t>
  </si>
  <si>
    <t>FOMBA</t>
  </si>
  <si>
    <t>SAV-1031</t>
  </si>
  <si>
    <t>KAMBIRE</t>
  </si>
  <si>
    <t>ANDRE</t>
  </si>
  <si>
    <t>SAV-1032</t>
  </si>
  <si>
    <t>CONE</t>
  </si>
  <si>
    <t>SALI</t>
  </si>
  <si>
    <t>SAV-1033</t>
  </si>
  <si>
    <t>AMANI</t>
  </si>
  <si>
    <t>YAO KOUADIO KAN</t>
  </si>
  <si>
    <t>SAV-1034</t>
  </si>
  <si>
    <t>SAV-1035</t>
  </si>
  <si>
    <t>SAV-1036</t>
  </si>
  <si>
    <t>SAV-1037</t>
  </si>
  <si>
    <t>SAV-1038</t>
  </si>
  <si>
    <t>SAV-1039</t>
  </si>
  <si>
    <t>SAV-1040</t>
  </si>
  <si>
    <t>OUMHAR</t>
  </si>
  <si>
    <t>SAV-1041</t>
  </si>
  <si>
    <t>SAV-1042</t>
  </si>
  <si>
    <t>SAV-1043</t>
  </si>
  <si>
    <t>SAV-1044</t>
  </si>
  <si>
    <t>DJOUMAN</t>
  </si>
  <si>
    <t>SAV-1045</t>
  </si>
  <si>
    <t>SIBIRI</t>
  </si>
  <si>
    <t>SAV-1046</t>
  </si>
  <si>
    <t>SAV-1047</t>
  </si>
  <si>
    <t>SAV-1048</t>
  </si>
  <si>
    <t>SAV-1049</t>
  </si>
  <si>
    <t>DABILGOU</t>
  </si>
  <si>
    <t>RASMANE</t>
  </si>
  <si>
    <t>BF384002002001050959</t>
  </si>
  <si>
    <t>SAV-1050</t>
  </si>
  <si>
    <t>SAV-1051</t>
  </si>
  <si>
    <t>SAV-1052</t>
  </si>
  <si>
    <t>SAV-1053</t>
  </si>
  <si>
    <t>NEYA</t>
  </si>
  <si>
    <t>SAV-1054</t>
  </si>
  <si>
    <t>KOUADIO</t>
  </si>
  <si>
    <t>SAV-1055</t>
  </si>
  <si>
    <t>BF384002002001036489</t>
  </si>
  <si>
    <t>SCH-1056</t>
  </si>
  <si>
    <t>DOKE</t>
  </si>
  <si>
    <t>KOALGA</t>
  </si>
  <si>
    <t xml:space="preserve"> WINDPUIRE</t>
  </si>
  <si>
    <t>131396/ABFA/B</t>
  </si>
  <si>
    <t>SCH-1057</t>
  </si>
  <si>
    <t xml:space="preserve">KIENDREBEOGO </t>
  </si>
  <si>
    <t xml:space="preserve"> RATOUBA</t>
  </si>
  <si>
    <t>BF384002002001005614</t>
  </si>
  <si>
    <t>SCH-1058</t>
  </si>
  <si>
    <t xml:space="preserve">GLAN </t>
  </si>
  <si>
    <t>KPAE RICHARD</t>
  </si>
  <si>
    <t>C0101550536</t>
  </si>
  <si>
    <t>SCH-1059</t>
  </si>
  <si>
    <t>ZIEHI</t>
  </si>
  <si>
    <t>EPHREME</t>
  </si>
  <si>
    <t>SCH-1060</t>
  </si>
  <si>
    <t>EDOURD</t>
  </si>
  <si>
    <t>SCH-1061</t>
  </si>
  <si>
    <t>GLANH</t>
  </si>
  <si>
    <t>JEAN-MARIE</t>
  </si>
  <si>
    <t>C0080887081</t>
  </si>
  <si>
    <t>SCH-1062</t>
  </si>
  <si>
    <t>GLAN</t>
  </si>
  <si>
    <t>DEYA ROGER</t>
  </si>
  <si>
    <t>C0076253906</t>
  </si>
  <si>
    <t>SCH-1063</t>
  </si>
  <si>
    <t xml:space="preserve">BIKIENGA </t>
  </si>
  <si>
    <t xml:space="preserve">ISSOUF </t>
  </si>
  <si>
    <t>SCH-1064</t>
  </si>
  <si>
    <t>TIONO</t>
  </si>
  <si>
    <t>BF384002001001008717</t>
  </si>
  <si>
    <t>SCH-1065</t>
  </si>
  <si>
    <t>SCH-1066</t>
  </si>
  <si>
    <t>NIADA</t>
  </si>
  <si>
    <t>KISWINDE</t>
  </si>
  <si>
    <t>BF384002002001009027</t>
  </si>
  <si>
    <t>SCH-1067</t>
  </si>
  <si>
    <t xml:space="preserve">KARIM </t>
  </si>
  <si>
    <t>C0107008624</t>
  </si>
  <si>
    <t>SCH-1068</t>
  </si>
  <si>
    <t>KOAMA</t>
  </si>
  <si>
    <t>KOULBI PAPOUG-ESSANA</t>
  </si>
  <si>
    <t>BF384003005001020565</t>
  </si>
  <si>
    <t>SCH-1069</t>
  </si>
  <si>
    <t>DOKE-DEMANGOKRO</t>
  </si>
  <si>
    <t>GOHA</t>
  </si>
  <si>
    <t>GUIHI JEAN-FRANCOIS</t>
  </si>
  <si>
    <t>C0102773723</t>
  </si>
  <si>
    <t>SCH-1070</t>
  </si>
  <si>
    <t>SCH-1071</t>
  </si>
  <si>
    <t>NANHI</t>
  </si>
  <si>
    <t>CHRISTELLE</t>
  </si>
  <si>
    <t>SCH-1072</t>
  </si>
  <si>
    <t>SIBDOU</t>
  </si>
  <si>
    <t>SCH-1073</t>
  </si>
  <si>
    <t>BOUREIMA</t>
  </si>
  <si>
    <t>BF384003001001093589</t>
  </si>
  <si>
    <t>SCH-1074</t>
  </si>
  <si>
    <t>KAZIENGA</t>
  </si>
  <si>
    <t>YACOUBA</t>
  </si>
  <si>
    <t>BF384003001004011483</t>
  </si>
  <si>
    <t>SCH-1075</t>
  </si>
  <si>
    <t>DJIHI JONAS</t>
  </si>
  <si>
    <t>SCH-1076</t>
  </si>
  <si>
    <t>SCH-1077</t>
  </si>
  <si>
    <t>DIEHI</t>
  </si>
  <si>
    <t>KANE EVARISTE</t>
  </si>
  <si>
    <t>SCH-1078</t>
  </si>
  <si>
    <t>YAHA</t>
  </si>
  <si>
    <t>KANHAN THOMAS</t>
  </si>
  <si>
    <t>SCH-1079</t>
  </si>
  <si>
    <t>SIAHA CHRISTIAN</t>
  </si>
  <si>
    <t>SCH-1080</t>
  </si>
  <si>
    <t>KAYOURE</t>
  </si>
  <si>
    <t>BF384003002001000050</t>
  </si>
  <si>
    <t>SCH-1081</t>
  </si>
  <si>
    <t>DEADA</t>
  </si>
  <si>
    <t>SEA CHANTAL</t>
  </si>
  <si>
    <t>C0067963599</t>
  </si>
  <si>
    <t>SCH-1082</t>
  </si>
  <si>
    <t>SCH-1083</t>
  </si>
  <si>
    <t>SEHI</t>
  </si>
  <si>
    <t xml:space="preserve">ANGE </t>
  </si>
  <si>
    <t>SCH-1084</t>
  </si>
  <si>
    <t>CHRISTIAN</t>
  </si>
  <si>
    <t>SCH-1085</t>
  </si>
  <si>
    <t>BAGRE</t>
  </si>
  <si>
    <t xml:space="preserve">PAGOMZANGA ANTOINE </t>
  </si>
  <si>
    <t>BF384003001007014873</t>
  </si>
  <si>
    <t>SCH-1086</t>
  </si>
  <si>
    <t>TEA</t>
  </si>
  <si>
    <t>AIME</t>
  </si>
  <si>
    <t>C0080937988</t>
  </si>
  <si>
    <t>SCH-1087</t>
  </si>
  <si>
    <t>DAHBABA</t>
  </si>
  <si>
    <t>YEFONHINLI</t>
  </si>
  <si>
    <t>C 3107000025</t>
  </si>
  <si>
    <t>SCH-1088</t>
  </si>
  <si>
    <t xml:space="preserve">NIAVA </t>
  </si>
  <si>
    <t>BONAVENTURE</t>
  </si>
  <si>
    <t>SCH-1089</t>
  </si>
  <si>
    <t xml:space="preserve">DAH </t>
  </si>
  <si>
    <t xml:space="preserve">DAFOUE GBOLOSSONTE    </t>
  </si>
  <si>
    <t>BF384002001001006991</t>
  </si>
  <si>
    <t>SCH-1090</t>
  </si>
  <si>
    <t>BABA</t>
  </si>
  <si>
    <t>BF384002004002001513</t>
  </si>
  <si>
    <t>SCH-1091</t>
  </si>
  <si>
    <t>FIMITE</t>
  </si>
  <si>
    <t>BF384003001001093835</t>
  </si>
  <si>
    <t>SCH-1092</t>
  </si>
  <si>
    <t>BABLY</t>
  </si>
  <si>
    <t>C 1000016439</t>
  </si>
  <si>
    <t>SCH-1093</t>
  </si>
  <si>
    <t xml:space="preserve">TRAORE </t>
  </si>
  <si>
    <t>C 0071300665</t>
  </si>
  <si>
    <t>SCH-1094</t>
  </si>
  <si>
    <t>SOM</t>
  </si>
  <si>
    <t>TCHOULARE</t>
  </si>
  <si>
    <t>SCH-1095</t>
  </si>
  <si>
    <t>KOUADIOKRO</t>
  </si>
  <si>
    <t xml:space="preserve">YOBOUET </t>
  </si>
  <si>
    <t xml:space="preserve">AMANI ALAIN       </t>
  </si>
  <si>
    <t>C 0099489058</t>
  </si>
  <si>
    <t>SCH-1096</t>
  </si>
  <si>
    <t>YAO RENE</t>
  </si>
  <si>
    <t>C 0099321363</t>
  </si>
  <si>
    <t>SCH-1097</t>
  </si>
  <si>
    <t>PETIT KATIOLA</t>
  </si>
  <si>
    <t>N'GUESSAN</t>
  </si>
  <si>
    <t>KONAN ALBERT</t>
  </si>
  <si>
    <t>C 0085659331</t>
  </si>
  <si>
    <t>SCH-1098</t>
  </si>
  <si>
    <t xml:space="preserve">TOURE </t>
  </si>
  <si>
    <t>ADJIHA ANDERSON</t>
  </si>
  <si>
    <t>SCH-1099</t>
  </si>
  <si>
    <t>PEH</t>
  </si>
  <si>
    <t>C 1000424304</t>
  </si>
  <si>
    <t>SCH-1100</t>
  </si>
  <si>
    <t>KADJENAMBIN CLEMENT</t>
  </si>
  <si>
    <t>SCH-1101</t>
  </si>
  <si>
    <t>C 0107231114</t>
  </si>
  <si>
    <t>SCH-1102</t>
  </si>
  <si>
    <t>SEKONBO</t>
  </si>
  <si>
    <t>SCH-1103</t>
  </si>
  <si>
    <t>BELEM</t>
  </si>
  <si>
    <t xml:space="preserve">MADI        </t>
  </si>
  <si>
    <t>BF384002001001038988</t>
  </si>
  <si>
    <t>SCH-1104</t>
  </si>
  <si>
    <t>PALE</t>
  </si>
  <si>
    <t>KIGI</t>
  </si>
  <si>
    <t>SCH-1105</t>
  </si>
  <si>
    <t>KOURAOGO</t>
  </si>
  <si>
    <t>PEGEDA</t>
  </si>
  <si>
    <t>BF384003001001102818</t>
  </si>
  <si>
    <t>SCH-1106</t>
  </si>
  <si>
    <t xml:space="preserve">KABORE </t>
  </si>
  <si>
    <t>N'GO</t>
  </si>
  <si>
    <t>SCH-1107</t>
  </si>
  <si>
    <t>MONSIO</t>
  </si>
  <si>
    <t>KADMIEL SEI</t>
  </si>
  <si>
    <t>C 1001207974</t>
  </si>
  <si>
    <t>SCH-1108</t>
  </si>
  <si>
    <t>TASMANKRO</t>
  </si>
  <si>
    <t>KOULBOUNTE</t>
  </si>
  <si>
    <t>SCH-1109</t>
  </si>
  <si>
    <t>MILHALE</t>
  </si>
  <si>
    <t>SCH-1110</t>
  </si>
  <si>
    <t>YOUL</t>
  </si>
  <si>
    <t>SIE</t>
  </si>
  <si>
    <t>SCH-1111</t>
  </si>
  <si>
    <t>GNAHE</t>
  </si>
  <si>
    <t xml:space="preserve">BEODE JEAN              </t>
  </si>
  <si>
    <t>SCH-1112</t>
  </si>
  <si>
    <t>OULAI YAOPLEU</t>
  </si>
  <si>
    <t>DODO</t>
  </si>
  <si>
    <t>DOUAN VICTOR</t>
  </si>
  <si>
    <t>SCH-1113</t>
  </si>
  <si>
    <t>JUSTIN</t>
  </si>
  <si>
    <t>SCH-1114</t>
  </si>
  <si>
    <t xml:space="preserve">PARFAIT                </t>
  </si>
  <si>
    <t>SCH-1115</t>
  </si>
  <si>
    <t>GONDO</t>
  </si>
  <si>
    <t>SCH-1116</t>
  </si>
  <si>
    <t>CUBMAGIKRO</t>
  </si>
  <si>
    <t xml:space="preserve">KOUADIO CELESTIN           </t>
  </si>
  <si>
    <t>C 0102764218</t>
  </si>
  <si>
    <t>SCH-1117</t>
  </si>
  <si>
    <t xml:space="preserve">KOUASSI </t>
  </si>
  <si>
    <t>KONAN PAUL</t>
  </si>
  <si>
    <t>C 0099268884</t>
  </si>
  <si>
    <t>SCH-1118</t>
  </si>
  <si>
    <t xml:space="preserve">YAO </t>
  </si>
  <si>
    <t>KOUAKOU JUSTIN</t>
  </si>
  <si>
    <t>C 0100446816</t>
  </si>
  <si>
    <t>SCH-1119</t>
  </si>
  <si>
    <t>ANTOINEKRO</t>
  </si>
  <si>
    <t>N'BRA</t>
  </si>
  <si>
    <t>YAO HONORE</t>
  </si>
  <si>
    <t>SCH-1120</t>
  </si>
  <si>
    <t>KOUASSI ANDRIEN</t>
  </si>
  <si>
    <t>SCH-1121</t>
  </si>
  <si>
    <t xml:space="preserve">ALANGNAN PASCAL      </t>
  </si>
  <si>
    <t>SCH-1122</t>
  </si>
  <si>
    <t>N'GORAN EVARISTE</t>
  </si>
  <si>
    <t>SCH-1123</t>
  </si>
  <si>
    <t>KONAN GUY LANDRY</t>
  </si>
  <si>
    <t>SCH-1124</t>
  </si>
  <si>
    <t>REMYKRO</t>
  </si>
  <si>
    <t>SARAKA</t>
  </si>
  <si>
    <t>KONAN MAURICE</t>
  </si>
  <si>
    <t>C 0058615993</t>
  </si>
  <si>
    <t>SCH-1125</t>
  </si>
  <si>
    <t>KOUAME BLAISE</t>
  </si>
  <si>
    <t>C 0102932908</t>
  </si>
  <si>
    <t>SCH-1126</t>
  </si>
  <si>
    <t>ALLE</t>
  </si>
  <si>
    <t>C 0099693464</t>
  </si>
  <si>
    <t>SCH-1127</t>
  </si>
  <si>
    <t>KOFFI PAULIN</t>
  </si>
  <si>
    <t>C 0099321651</t>
  </si>
  <si>
    <t>SCH-1128</t>
  </si>
  <si>
    <t xml:space="preserve">KOUAKOU ROMARIC      </t>
  </si>
  <si>
    <t>SCH-1129</t>
  </si>
  <si>
    <t>YAO ANDRE</t>
  </si>
  <si>
    <t>C 0100139017</t>
  </si>
  <si>
    <t>SCH-1130</t>
  </si>
  <si>
    <t>WAKALEBOUGOU</t>
  </si>
  <si>
    <t>HIEN</t>
  </si>
  <si>
    <t>SIE YENOUOTE</t>
  </si>
  <si>
    <t>SCH-1131</t>
  </si>
  <si>
    <t>BIWITHE</t>
  </si>
  <si>
    <t>SOMATE</t>
  </si>
  <si>
    <t>SCH-1132</t>
  </si>
  <si>
    <t>BIELLIMNE</t>
  </si>
  <si>
    <t>SCH-1133</t>
  </si>
  <si>
    <t>ONVAREI</t>
  </si>
  <si>
    <t>C 0106506651</t>
  </si>
  <si>
    <t>SCH-1134</t>
  </si>
  <si>
    <t>DJAKALIA</t>
  </si>
  <si>
    <t>SCH-1135</t>
  </si>
  <si>
    <t>KAJAHE</t>
  </si>
  <si>
    <t>SCH-1136</t>
  </si>
  <si>
    <t>SCH-1137</t>
  </si>
  <si>
    <t xml:space="preserve">DRISSA                        </t>
  </si>
  <si>
    <t>SCH-1138</t>
  </si>
  <si>
    <t>DRISSA 1</t>
  </si>
  <si>
    <t>SCH-1139</t>
  </si>
  <si>
    <t>LAURENTKRO</t>
  </si>
  <si>
    <t>SCH-1140</t>
  </si>
  <si>
    <t>KAMBOU</t>
  </si>
  <si>
    <t>SAMI</t>
  </si>
  <si>
    <t>SCH-1141</t>
  </si>
  <si>
    <t>BOUKARI</t>
  </si>
  <si>
    <t>SCH-1142</t>
  </si>
  <si>
    <t>SCH-1143</t>
  </si>
  <si>
    <t xml:space="preserve">KOUAKOU NORBERT     </t>
  </si>
  <si>
    <t>SCH-1144</t>
  </si>
  <si>
    <t>PETIT BOUMA</t>
  </si>
  <si>
    <t>AMANY</t>
  </si>
  <si>
    <t xml:space="preserve">KOUAKOU LUC   </t>
  </si>
  <si>
    <t>C 0087533112</t>
  </si>
  <si>
    <t>SCH-1145</t>
  </si>
  <si>
    <t>AHOUTOU</t>
  </si>
  <si>
    <t>KOUASSI JUSTIN</t>
  </si>
  <si>
    <t>C 0052671311</t>
  </si>
  <si>
    <t>SCH-1146</t>
  </si>
  <si>
    <t>N'GUESSAN MICHEL</t>
  </si>
  <si>
    <t>C 0100139062</t>
  </si>
  <si>
    <t>SCH-1147</t>
  </si>
  <si>
    <t>KOUADIO GERMAIN</t>
  </si>
  <si>
    <t>SCH-1148</t>
  </si>
  <si>
    <t>BF384003004001005100</t>
  </si>
  <si>
    <t>SCH-1149</t>
  </si>
  <si>
    <t>SEBLE</t>
  </si>
  <si>
    <t>MONPEHO JULES</t>
  </si>
  <si>
    <t>SCH-1150</t>
  </si>
  <si>
    <t>GAN</t>
  </si>
  <si>
    <t>TAORE</t>
  </si>
  <si>
    <t>SCH-1151</t>
  </si>
  <si>
    <t>SCH-1152</t>
  </si>
  <si>
    <t>KALOU</t>
  </si>
  <si>
    <t>C 0106706442</t>
  </si>
  <si>
    <t>SCH-1153</t>
  </si>
  <si>
    <t>DOUKOURE</t>
  </si>
  <si>
    <t>SCH-1154</t>
  </si>
  <si>
    <t xml:space="preserve">SIRIKI    </t>
  </si>
  <si>
    <t>SCH-1155</t>
  </si>
  <si>
    <t>KARAMPITE</t>
  </si>
  <si>
    <t>C 0106703821</t>
  </si>
  <si>
    <t>SCH-1156</t>
  </si>
  <si>
    <t>SIB</t>
  </si>
  <si>
    <t>SCH-1157</t>
  </si>
  <si>
    <t>KAJOUDE</t>
  </si>
  <si>
    <t>SCH-1158</t>
  </si>
  <si>
    <t xml:space="preserve">ALASSANE    </t>
  </si>
  <si>
    <t>C 0116544333</t>
  </si>
  <si>
    <t>SCH-1159</t>
  </si>
  <si>
    <t>NOUFFE</t>
  </si>
  <si>
    <t xml:space="preserve">HANFINOTE   </t>
  </si>
  <si>
    <t>SCH-1160</t>
  </si>
  <si>
    <t>SCH-1161</t>
  </si>
  <si>
    <t>KOUADIOBAKRO</t>
  </si>
  <si>
    <t>SCH-1162</t>
  </si>
  <si>
    <t>KOUAME JOACHIM</t>
  </si>
  <si>
    <t>SCH-1163</t>
  </si>
  <si>
    <t>KOUASSI CLAUDE</t>
  </si>
  <si>
    <t>SCH-1164</t>
  </si>
  <si>
    <t>SEKONGO</t>
  </si>
  <si>
    <t>C 1001271068</t>
  </si>
  <si>
    <t>SCH-1165</t>
  </si>
  <si>
    <t>SCH-1166</t>
  </si>
  <si>
    <t xml:space="preserve">KONAN DENIS    </t>
  </si>
  <si>
    <t>C 0075034838</t>
  </si>
  <si>
    <t>SCH-1167</t>
  </si>
  <si>
    <t>GBANGBO HUBERT</t>
  </si>
  <si>
    <t>C 0099750480</t>
  </si>
  <si>
    <t>SCH-1168</t>
  </si>
  <si>
    <t xml:space="preserve">N'GUESSAN </t>
  </si>
  <si>
    <t>C 0073738262</t>
  </si>
  <si>
    <t>SCH-1169</t>
  </si>
  <si>
    <t>C 0099132763</t>
  </si>
  <si>
    <t>SCH-1170</t>
  </si>
  <si>
    <t>KOUADIO BASILE</t>
  </si>
  <si>
    <t>C 0099487616</t>
  </si>
  <si>
    <t>SCH-1171</t>
  </si>
  <si>
    <t>LACINE</t>
  </si>
  <si>
    <t>SCH-1172</t>
  </si>
  <si>
    <t xml:space="preserve">BIH </t>
  </si>
  <si>
    <t xml:space="preserve">JEAN MARC   </t>
  </si>
  <si>
    <t>C 0100161058</t>
  </si>
  <si>
    <t>SCH-1173</t>
  </si>
  <si>
    <t>WONLE PARFAIT</t>
  </si>
  <si>
    <t>C 0082179885</t>
  </si>
  <si>
    <t>SCH-1174</t>
  </si>
  <si>
    <t>DAN ALEXIS</t>
  </si>
  <si>
    <t>C 0093748546</t>
  </si>
  <si>
    <t>SCH-1175</t>
  </si>
  <si>
    <t xml:space="preserve">GNAN SERGE            </t>
  </si>
  <si>
    <t>SAV-1176</t>
  </si>
  <si>
    <t>BAKENO</t>
  </si>
  <si>
    <t>MATHIEU</t>
  </si>
  <si>
    <t>SAV-1177</t>
  </si>
  <si>
    <t>NASSAWED</t>
  </si>
  <si>
    <t>SAV-1178</t>
  </si>
  <si>
    <t>SAV-1179</t>
  </si>
  <si>
    <t>SAV-1180</t>
  </si>
  <si>
    <t>SAV-1181</t>
  </si>
  <si>
    <t>BOUDA</t>
  </si>
  <si>
    <t>ANGELINE</t>
  </si>
  <si>
    <t>BF384002007001020831</t>
  </si>
  <si>
    <t>SAV-1182</t>
  </si>
  <si>
    <t>SAV-1183</t>
  </si>
  <si>
    <t>C0121922713</t>
  </si>
  <si>
    <t>SAV-1184</t>
  </si>
  <si>
    <t>MARIAM</t>
  </si>
  <si>
    <t>SAV-1185</t>
  </si>
  <si>
    <t>SAV-1186</t>
  </si>
  <si>
    <t>ALAIN</t>
  </si>
  <si>
    <t>SAV-1187</t>
  </si>
  <si>
    <t>VAINCEN</t>
  </si>
  <si>
    <t>SAV-1188</t>
  </si>
  <si>
    <t>FIDEL</t>
  </si>
  <si>
    <t>SAV-1189</t>
  </si>
  <si>
    <t>EGA</t>
  </si>
  <si>
    <t>KASSOUM</t>
  </si>
  <si>
    <t>SAV-1190</t>
  </si>
  <si>
    <t>GNENEAO</t>
  </si>
  <si>
    <t>KANHAN JOEL</t>
  </si>
  <si>
    <t>C0076882089</t>
  </si>
  <si>
    <t>SAV-1191</t>
  </si>
  <si>
    <t>ELOGE</t>
  </si>
  <si>
    <t>SAV-1192</t>
  </si>
  <si>
    <t>SAV-1193</t>
  </si>
  <si>
    <t>SAV-1194</t>
  </si>
  <si>
    <t>TOYAKOUE PHILIPE</t>
  </si>
  <si>
    <t>C0063684706</t>
  </si>
  <si>
    <t>SAV-1195</t>
  </si>
  <si>
    <t>KODJO</t>
  </si>
  <si>
    <t>TIOYE</t>
  </si>
  <si>
    <t>BF384003002001002350</t>
  </si>
  <si>
    <t>SAV-1196</t>
  </si>
  <si>
    <t>KONDO</t>
  </si>
  <si>
    <t>AIME CESAR</t>
  </si>
  <si>
    <t>C1001202469</t>
  </si>
  <si>
    <t>SAV-1197</t>
  </si>
  <si>
    <t>SAV-1198</t>
  </si>
  <si>
    <t xml:space="preserve">KPAN </t>
  </si>
  <si>
    <t>JOEL</t>
  </si>
  <si>
    <t>SAV-1199</t>
  </si>
  <si>
    <t>BF384002003001002721</t>
  </si>
  <si>
    <t>SAV-1200</t>
  </si>
  <si>
    <t>OUAKELE</t>
  </si>
  <si>
    <t>ANDERSON</t>
  </si>
  <si>
    <t>C0063668025</t>
  </si>
  <si>
    <t>SAV-1201</t>
  </si>
  <si>
    <t>SAV-1202</t>
  </si>
  <si>
    <t>DONAL ISSAKA</t>
  </si>
  <si>
    <t>BF384002007001018387</t>
  </si>
  <si>
    <t>SAV-1203</t>
  </si>
  <si>
    <t>SAV-1204</t>
  </si>
  <si>
    <t>YEMDAOGO</t>
  </si>
  <si>
    <t>SAV-1205</t>
  </si>
  <si>
    <t>ASOUMANNI</t>
  </si>
  <si>
    <t>SAV-1206</t>
  </si>
  <si>
    <t>DJEHOUE</t>
  </si>
  <si>
    <t>C0088447386</t>
  </si>
  <si>
    <t>SAV-1207</t>
  </si>
  <si>
    <t>SALOU</t>
  </si>
  <si>
    <t>KOUKA</t>
  </si>
  <si>
    <t>BF384002001001025755</t>
  </si>
  <si>
    <t>SAV-1208</t>
  </si>
  <si>
    <t>AROUNA</t>
  </si>
  <si>
    <t>SAV-1209</t>
  </si>
  <si>
    <t xml:space="preserve">SAWADOGO </t>
  </si>
  <si>
    <t>BF384003005005002180</t>
  </si>
  <si>
    <t>SAV-1210</t>
  </si>
  <si>
    <t>LAURENT</t>
  </si>
  <si>
    <t>SAV-1211</t>
  </si>
  <si>
    <t>SAV-1212</t>
  </si>
  <si>
    <t>RAHIM</t>
  </si>
  <si>
    <t>SAV-1213</t>
  </si>
  <si>
    <t>SAV-1214</t>
  </si>
  <si>
    <t>SAV-1215</t>
  </si>
  <si>
    <t>SAV-1216</t>
  </si>
  <si>
    <t>SAV-1217</t>
  </si>
  <si>
    <t>THERESE</t>
  </si>
  <si>
    <t>SAV-1218</t>
  </si>
  <si>
    <t>EASE</t>
  </si>
  <si>
    <t>BF384002007001024137</t>
  </si>
  <si>
    <t>SAV-1219</t>
  </si>
  <si>
    <t>TIENDREBEOGO</t>
  </si>
  <si>
    <t>ABEL</t>
  </si>
  <si>
    <t>SAV-1220</t>
  </si>
  <si>
    <t>TOYOU</t>
  </si>
  <si>
    <t>ALPHONSE</t>
  </si>
  <si>
    <t>SAV-1221</t>
  </si>
  <si>
    <t>YAMEOGO</t>
  </si>
  <si>
    <t>SAV-1222</t>
  </si>
  <si>
    <t>PROSPERT</t>
  </si>
  <si>
    <t>SAV-1223</t>
  </si>
  <si>
    <t>SAV-1224</t>
  </si>
  <si>
    <t>YOBOUET</t>
  </si>
  <si>
    <t>KOUASSI AROUNA</t>
  </si>
  <si>
    <t>SAV-1225</t>
  </si>
  <si>
    <t>SAV-1226</t>
  </si>
  <si>
    <t>NABA</t>
  </si>
  <si>
    <t>SAV-1227</t>
  </si>
  <si>
    <t>RASMANI</t>
  </si>
  <si>
    <t>SAV-1228</t>
  </si>
  <si>
    <t>SAV-1229</t>
  </si>
  <si>
    <t>ZORE</t>
  </si>
  <si>
    <t>MOCTAR</t>
  </si>
  <si>
    <t>CACAO</t>
  </si>
  <si>
    <t>TOUT VENANT</t>
  </si>
  <si>
    <t>C0061545667</t>
  </si>
  <si>
    <t>0748884199</t>
  </si>
  <si>
    <t>0747248883</t>
  </si>
  <si>
    <t>CI 003624806</t>
  </si>
  <si>
    <t>0757479078</t>
  </si>
  <si>
    <t>0544577519</t>
  </si>
  <si>
    <t>0749178289</t>
  </si>
  <si>
    <t>BF384002001001004569</t>
  </si>
  <si>
    <t>BF384002001001005926</t>
  </si>
  <si>
    <t>C0056831287</t>
  </si>
  <si>
    <t>C0080715870</t>
  </si>
  <si>
    <t>C0082540467</t>
  </si>
  <si>
    <t>C0050797344</t>
  </si>
  <si>
    <t>C 0071662334</t>
  </si>
  <si>
    <t>C0021588805</t>
  </si>
  <si>
    <t>C0050797098</t>
  </si>
  <si>
    <t>C0043216800</t>
  </si>
  <si>
    <t>C0096975675</t>
  </si>
  <si>
    <t>C0115307911</t>
  </si>
  <si>
    <t>C0065874239</t>
  </si>
  <si>
    <t>C0062211035</t>
  </si>
  <si>
    <t>C0050796368</t>
  </si>
  <si>
    <t>C0015866178</t>
  </si>
  <si>
    <t>C0020788848</t>
  </si>
  <si>
    <t>C0080752677</t>
  </si>
  <si>
    <t>C0056831299</t>
  </si>
  <si>
    <t>C0085782493</t>
  </si>
  <si>
    <t>C0043215904</t>
  </si>
  <si>
    <t>C0015866257</t>
  </si>
  <si>
    <t>C0096975549</t>
  </si>
  <si>
    <t>BF384003001001111419</t>
  </si>
  <si>
    <t>C 00787114054</t>
  </si>
  <si>
    <t>C0085782600</t>
  </si>
  <si>
    <t>C0062211112</t>
  </si>
  <si>
    <t>BF384002001003007606</t>
  </si>
  <si>
    <t>C0075683655</t>
  </si>
  <si>
    <t>C0021588732</t>
  </si>
  <si>
    <t>C0080752701</t>
  </si>
  <si>
    <t>C0058761349</t>
  </si>
  <si>
    <t>C0050796447</t>
  </si>
  <si>
    <t>C0096975548</t>
  </si>
  <si>
    <t>C0096975550</t>
  </si>
  <si>
    <t>C0096975551</t>
  </si>
  <si>
    <t>C0043215902</t>
  </si>
  <si>
    <t>C0056831354</t>
  </si>
  <si>
    <t>C0056831355</t>
  </si>
  <si>
    <t>C0021588789</t>
  </si>
  <si>
    <t>C0056831356</t>
  </si>
  <si>
    <t>C0087654467</t>
  </si>
  <si>
    <t>C0075683558</t>
  </si>
  <si>
    <t>C0097651381</t>
  </si>
  <si>
    <t>C0065874269</t>
  </si>
  <si>
    <t>C0047426947</t>
  </si>
  <si>
    <t>C0085782579</t>
  </si>
  <si>
    <t>C0057041406</t>
  </si>
  <si>
    <t>C0062211014</t>
  </si>
  <si>
    <t>C0056831406</t>
  </si>
  <si>
    <t>C0088764380</t>
  </si>
  <si>
    <t>C0087654327</t>
  </si>
  <si>
    <t>BF384002001001014945</t>
  </si>
  <si>
    <t>C0057041427</t>
  </si>
  <si>
    <t>C 0080674391</t>
  </si>
  <si>
    <t>C0050796478</t>
  </si>
  <si>
    <t>C0088764351</t>
  </si>
  <si>
    <t>C0062210984</t>
  </si>
  <si>
    <t>C0056831357</t>
  </si>
  <si>
    <t>C0020788929</t>
  </si>
  <si>
    <t>C0056832252</t>
  </si>
  <si>
    <t>C0057041375</t>
  </si>
  <si>
    <t>C0088764352</t>
  </si>
  <si>
    <t>C0058761352</t>
  </si>
  <si>
    <t>C0075683528</t>
  </si>
  <si>
    <t>C0087654438</t>
  </si>
  <si>
    <t>C0080753652</t>
  </si>
  <si>
    <t>C0096975600</t>
  </si>
  <si>
    <t>BF384002001001001812</t>
  </si>
  <si>
    <t>BF384002001001004899</t>
  </si>
  <si>
    <t>BF384002001003009181</t>
  </si>
  <si>
    <t>C0021588915</t>
  </si>
  <si>
    <t>C0047426807</t>
  </si>
  <si>
    <t>C0085782439</t>
  </si>
  <si>
    <t>C0057041266</t>
  </si>
  <si>
    <t>C0089766464</t>
  </si>
  <si>
    <t>C0087654488</t>
  </si>
  <si>
    <t>C0075683579</t>
  </si>
  <si>
    <t>C0058761401</t>
  </si>
  <si>
    <t>BF384002001001001520</t>
  </si>
  <si>
    <t>BF384002001001003807</t>
  </si>
  <si>
    <t>BF384002001001005964</t>
  </si>
  <si>
    <t>BF384002001003001402</t>
  </si>
  <si>
    <t>BF384002001003004185</t>
  </si>
  <si>
    <t>BF384002001003008941</t>
  </si>
  <si>
    <t>C0021588678</t>
  </si>
  <si>
    <t>C0043215792</t>
  </si>
  <si>
    <t>C0056831245</t>
  </si>
  <si>
    <t>C0085782469</t>
  </si>
  <si>
    <t>C0087654381</t>
  </si>
  <si>
    <t>BF384002001003009056</t>
  </si>
  <si>
    <t>BF384002001001007736</t>
  </si>
  <si>
    <t>BF384002001001003689</t>
  </si>
  <si>
    <t>BF384002001001003791</t>
  </si>
  <si>
    <t>C 0085058024</t>
  </si>
  <si>
    <t>C0043215903</t>
  </si>
  <si>
    <t>C0080752756</t>
  </si>
  <si>
    <t>C0021588839</t>
  </si>
  <si>
    <t>BF384002001001005712</t>
  </si>
  <si>
    <t>BF384002001001009910</t>
  </si>
  <si>
    <t>BF384002001001001513</t>
  </si>
  <si>
    <t>BF384002001001002630</t>
  </si>
  <si>
    <t>BF384002001003006155</t>
  </si>
  <si>
    <t>BF384002001003003998</t>
  </si>
  <si>
    <t>C0094974472</t>
  </si>
  <si>
    <t>C0043215901</t>
  </si>
  <si>
    <t>C0050796499</t>
  </si>
  <si>
    <t>BF384002001003009374</t>
  </si>
  <si>
    <t>BF384002001003008338</t>
  </si>
  <si>
    <t>C0043215822</t>
  </si>
  <si>
    <t>C0056831275</t>
  </si>
  <si>
    <t>C0047426860</t>
  </si>
  <si>
    <t>C0057041320</t>
  </si>
  <si>
    <t>C0050796391</t>
  </si>
  <si>
    <t>BF384002001003009182</t>
  </si>
  <si>
    <t>C0058541427</t>
  </si>
  <si>
    <t>BF384002001003004489</t>
  </si>
  <si>
    <t>BF384002001003005846</t>
  </si>
  <si>
    <t>BF384002001001008796</t>
  </si>
  <si>
    <t>BF384002001001005678</t>
  </si>
  <si>
    <t>BF384002001001003521</t>
  </si>
  <si>
    <t>BF384002001003001502</t>
  </si>
  <si>
    <t>C0080752759</t>
  </si>
  <si>
    <t>C0080753689</t>
  </si>
  <si>
    <t>C0087654380</t>
  </si>
  <si>
    <t>C0092116245</t>
  </si>
  <si>
    <t>C0087654357</t>
  </si>
  <si>
    <t>C0075683448</t>
  </si>
  <si>
    <t>C0058761270</t>
  </si>
  <si>
    <t>C0088764270</t>
  </si>
  <si>
    <t>C0065874183</t>
  </si>
  <si>
    <t>C0097651295</t>
  </si>
  <si>
    <t>C0015866201</t>
  </si>
  <si>
    <t>C0020788871</t>
  </si>
  <si>
    <t>C0075683529</t>
  </si>
  <si>
    <t>C0080752757</t>
  </si>
  <si>
    <t>C0097651402</t>
  </si>
  <si>
    <t>C0065874290</t>
  </si>
  <si>
    <t>C0088764401</t>
  </si>
  <si>
    <t>C0062210928</t>
  </si>
  <si>
    <t>C0043215846</t>
  </si>
  <si>
    <t>BF384002001003001062</t>
  </si>
  <si>
    <t>BF384002001003007854</t>
  </si>
  <si>
    <t>BF384002001001004536</t>
  </si>
  <si>
    <t>BF384002001001009013</t>
  </si>
  <si>
    <t>C0020788818</t>
  </si>
  <si>
    <t>C0080752647</t>
  </si>
  <si>
    <t>C0096975439</t>
  </si>
  <si>
    <t>C0062210904</t>
  </si>
  <si>
    <t>C0075683471</t>
  </si>
  <si>
    <t>C0020788872</t>
  </si>
  <si>
    <t>C0100611999</t>
  </si>
  <si>
    <t>C0080752808</t>
  </si>
  <si>
    <t>BF384002001001008045</t>
  </si>
  <si>
    <t>BF384002001001001619</t>
  </si>
  <si>
    <t>C0015866202</t>
  </si>
  <si>
    <t>C0075683530</t>
  </si>
  <si>
    <t>C0087654439</t>
  </si>
  <si>
    <t>C0062210986</t>
  </si>
  <si>
    <t>C0047426918</t>
  </si>
  <si>
    <t>C0097651353</t>
  </si>
  <si>
    <t>C0088764350</t>
  </si>
  <si>
    <t>KOMBEOGO</t>
  </si>
  <si>
    <t>BAKAHI</t>
  </si>
  <si>
    <t>SAHAGA</t>
  </si>
  <si>
    <t>ZOUMANA</t>
  </si>
  <si>
    <t>BAYALA</t>
  </si>
  <si>
    <t>KOUAL</t>
  </si>
  <si>
    <t>NIBIEU</t>
  </si>
  <si>
    <t>BAPIO</t>
  </si>
  <si>
    <t>MOHAMED ARAPHA</t>
  </si>
  <si>
    <t>MICHEL</t>
  </si>
  <si>
    <t>DOUHONIN RICHMOND</t>
  </si>
  <si>
    <t>OUSSENI</t>
  </si>
  <si>
    <t>BARNABE WINDPOURE</t>
  </si>
  <si>
    <t>0566163092</t>
  </si>
  <si>
    <t>0584160055</t>
  </si>
  <si>
    <t>0708970528</t>
  </si>
  <si>
    <t>0506664743</t>
  </si>
  <si>
    <t>0789545911</t>
  </si>
  <si>
    <t>0778527801</t>
  </si>
  <si>
    <t>0777560914</t>
  </si>
  <si>
    <t>0797889950</t>
  </si>
  <si>
    <t>0757104578</t>
  </si>
  <si>
    <t>0777701230</t>
  </si>
  <si>
    <t>0768955057</t>
  </si>
  <si>
    <t>0709112915</t>
  </si>
  <si>
    <t>0758635918</t>
  </si>
  <si>
    <t>0556440716</t>
  </si>
  <si>
    <t>0779651206</t>
  </si>
  <si>
    <t>0798042985</t>
  </si>
  <si>
    <t>0506044908</t>
  </si>
  <si>
    <t>0757223157</t>
  </si>
  <si>
    <t>0564339815</t>
  </si>
  <si>
    <t>18803105006010Z</t>
  </si>
  <si>
    <t>C1003357034</t>
  </si>
  <si>
    <t>BF384002003001096781</t>
  </si>
  <si>
    <t>C0108818327</t>
  </si>
  <si>
    <t>SAV-1230</t>
  </si>
  <si>
    <t>SAV-1231</t>
  </si>
  <si>
    <t>SAV-1232</t>
  </si>
  <si>
    <t>SAV-1236</t>
  </si>
  <si>
    <t>SAV-1233</t>
  </si>
  <si>
    <t>SAV-1234</t>
  </si>
  <si>
    <t>SAV-1235</t>
  </si>
  <si>
    <t>SAV-1237</t>
  </si>
  <si>
    <t>SAV-1238</t>
  </si>
  <si>
    <t>SAV-1239</t>
  </si>
  <si>
    <t>SAV-1240</t>
  </si>
  <si>
    <t>SAV-1241</t>
  </si>
  <si>
    <t>SAV-1242</t>
  </si>
  <si>
    <t>SAV-1243</t>
  </si>
  <si>
    <t>SAV-1244</t>
  </si>
  <si>
    <t>SAV-1245</t>
  </si>
  <si>
    <t>SAV-1246</t>
  </si>
  <si>
    <t>SAV-1247</t>
  </si>
  <si>
    <t>SAV-1248</t>
  </si>
  <si>
    <t>SAV-1249</t>
  </si>
  <si>
    <t>SAV-1250</t>
  </si>
  <si>
    <t>SAV-1251</t>
  </si>
  <si>
    <t>YOUE</t>
  </si>
  <si>
    <t>ISSAKA</t>
  </si>
  <si>
    <t>DERKADO SIMON</t>
  </si>
  <si>
    <t>JEREMIE</t>
  </si>
  <si>
    <t>GOUENE CLEMENT</t>
  </si>
  <si>
    <t>0709222187</t>
  </si>
  <si>
    <t>0554194649</t>
  </si>
  <si>
    <t>0504282010</t>
  </si>
  <si>
    <t>0798153035</t>
  </si>
  <si>
    <t>0787161143</t>
  </si>
  <si>
    <t>0709654370</t>
  </si>
  <si>
    <t>0708418905</t>
  </si>
  <si>
    <t>BF384003001001079481</t>
  </si>
  <si>
    <t>SCH-1176</t>
  </si>
  <si>
    <t>SCH-1177</t>
  </si>
  <si>
    <t>SCH-1178</t>
  </si>
  <si>
    <t>SCH-1179</t>
  </si>
  <si>
    <t>SCH-1180</t>
  </si>
  <si>
    <t>SCH-1181</t>
  </si>
  <si>
    <t>SCH-1182</t>
  </si>
  <si>
    <t>ATTA</t>
  </si>
  <si>
    <t xml:space="preserve">BAMBA </t>
  </si>
  <si>
    <t>KOKO</t>
  </si>
  <si>
    <t>LOKOSSUE</t>
  </si>
  <si>
    <t>MALIKI</t>
  </si>
  <si>
    <t xml:space="preserve">TEHO </t>
  </si>
  <si>
    <t>YORO</t>
  </si>
  <si>
    <t>SOUMAHORO</t>
  </si>
  <si>
    <t xml:space="preserve">BAYO </t>
  </si>
  <si>
    <t>GBEHO</t>
  </si>
  <si>
    <t>DIHON</t>
  </si>
  <si>
    <t>KADEKO</t>
  </si>
  <si>
    <t>TOGOLA</t>
  </si>
  <si>
    <t>TOPKA</t>
  </si>
  <si>
    <t>ROSSENE</t>
  </si>
  <si>
    <t>SEBE</t>
  </si>
  <si>
    <t>SERGE</t>
  </si>
  <si>
    <t>TIA ERNEST</t>
  </si>
  <si>
    <t>SOUALIO</t>
  </si>
  <si>
    <t>KOBENAN BINJAMIN</t>
  </si>
  <si>
    <t>N'GUESSAN RAPHAEL</t>
  </si>
  <si>
    <t>AFFOUE MARIE</t>
  </si>
  <si>
    <t>INOUSSI</t>
  </si>
  <si>
    <t>JEAN BAPTISTE</t>
  </si>
  <si>
    <t>CHERKNAIN</t>
  </si>
  <si>
    <t>ERIC</t>
  </si>
  <si>
    <t>LO YAO</t>
  </si>
  <si>
    <t>ABOU MANMAIN</t>
  </si>
  <si>
    <t>TIAFE</t>
  </si>
  <si>
    <t>TOGBA</t>
  </si>
  <si>
    <t>KAGUEI BRONDON</t>
  </si>
  <si>
    <t>KEHOUA PIEERE</t>
  </si>
  <si>
    <t>YANIK</t>
  </si>
  <si>
    <t>HALANAN EMMANUEL</t>
  </si>
  <si>
    <t>MAMERY</t>
  </si>
  <si>
    <t>BAFFO</t>
  </si>
  <si>
    <t>MEDIAO</t>
  </si>
  <si>
    <t>YATIE</t>
  </si>
  <si>
    <t>ALEXIS</t>
  </si>
  <si>
    <t>NICOLAS</t>
  </si>
  <si>
    <t>AKISSI</t>
  </si>
  <si>
    <t>ALPHA</t>
  </si>
  <si>
    <t>YAO MARIUS</t>
  </si>
  <si>
    <t>KOUAME MARUIS</t>
  </si>
  <si>
    <t>SAYOUBA</t>
  </si>
  <si>
    <t>LADI</t>
  </si>
  <si>
    <t>HONORE</t>
  </si>
  <si>
    <t>0709347376</t>
  </si>
  <si>
    <t>0506563997</t>
  </si>
  <si>
    <t>0749600979</t>
  </si>
  <si>
    <t>0708424191</t>
  </si>
  <si>
    <t>0708383611</t>
  </si>
  <si>
    <t>0798141792</t>
  </si>
  <si>
    <t>0709179654</t>
  </si>
  <si>
    <t>0747781460</t>
  </si>
  <si>
    <t>0747351296</t>
  </si>
  <si>
    <t>0759312415</t>
  </si>
  <si>
    <t>07981543035</t>
  </si>
  <si>
    <t>0584949450</t>
  </si>
  <si>
    <t>C 0076912812</t>
  </si>
  <si>
    <t>C 0067540899</t>
  </si>
  <si>
    <t>C 0090965513</t>
  </si>
  <si>
    <t>C 0080078959</t>
  </si>
  <si>
    <t>SGU-918</t>
  </si>
  <si>
    <t>SGU-919</t>
  </si>
  <si>
    <t>SGU-920</t>
  </si>
  <si>
    <t>SGU-921</t>
  </si>
  <si>
    <t>SGU-922</t>
  </si>
  <si>
    <t>SGU-923</t>
  </si>
  <si>
    <t>SGU-924</t>
  </si>
  <si>
    <t>SGU-925</t>
  </si>
  <si>
    <t>SGU-926</t>
  </si>
  <si>
    <t>SGU-927</t>
  </si>
  <si>
    <t>SGU-928</t>
  </si>
  <si>
    <t>SGU-929</t>
  </si>
  <si>
    <t>SGU-930</t>
  </si>
  <si>
    <t>SGU-931</t>
  </si>
  <si>
    <t>SGU-932</t>
  </si>
  <si>
    <t>SGU-933</t>
  </si>
  <si>
    <t>SGU-934</t>
  </si>
  <si>
    <t>SGU-935</t>
  </si>
  <si>
    <t>SGU-936</t>
  </si>
  <si>
    <t>SGU-937</t>
  </si>
  <si>
    <t>SGU-938</t>
  </si>
  <si>
    <t>SGU-939</t>
  </si>
  <si>
    <t>SGU-940</t>
  </si>
  <si>
    <t>SGU-941</t>
  </si>
  <si>
    <t>SGU-942</t>
  </si>
  <si>
    <t>SGU-943</t>
  </si>
  <si>
    <t>SGU-944</t>
  </si>
  <si>
    <t>SGU-945</t>
  </si>
  <si>
    <t>SGU-946</t>
  </si>
  <si>
    <t>SGU-947</t>
  </si>
  <si>
    <t>SGU-948</t>
  </si>
  <si>
    <t>SGU-949</t>
  </si>
  <si>
    <t>SGU-950</t>
  </si>
  <si>
    <t>SGU-951</t>
  </si>
  <si>
    <t>SGU-952</t>
  </si>
  <si>
    <t>SGU-953</t>
  </si>
  <si>
    <t>SGU-954</t>
  </si>
  <si>
    <t>SGU-955</t>
  </si>
  <si>
    <t>SGU-956</t>
  </si>
  <si>
    <t>SGU-957</t>
  </si>
  <si>
    <t>SGU-958</t>
  </si>
  <si>
    <t>SGU-959</t>
  </si>
  <si>
    <t>SGU-960</t>
  </si>
  <si>
    <t>SGU-961</t>
  </si>
  <si>
    <t>SGU-962</t>
  </si>
  <si>
    <t>SGU-963</t>
  </si>
  <si>
    <t>SGU-964</t>
  </si>
  <si>
    <t>SGU-965</t>
  </si>
  <si>
    <t>SGU-966</t>
  </si>
  <si>
    <t>SGU-967</t>
  </si>
  <si>
    <t>SGU-968</t>
  </si>
  <si>
    <t>SGU-969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</si>
</sst>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0;[Red]#,##0"/>
    <numFmt numFmtId="166" formatCode="0.000000"/>
    <numFmt numFmtId="167" formatCode="0.000"/>
    <numFmt numFmtId="168" formatCode="_(* #,##0.0_);_(* \(#,##0.0\);_(* &quot;-&quot;??_);_(@_)"/>
    <numFmt numFmtId="169" formatCode="_(* #,##0_);_(* \(#,##0\);_(* &quot;-&quot;??_);_(@_)"/>
    <numFmt numFmtId="170" formatCode="d/m/yyyy"/>
    <numFmt numFmtId="171" formatCode="0#&quot; &quot;##&quot; &quot;##&quot; &quot;##&quot; &quot;##"/>
    <numFmt numFmtId="172" formatCode="0.0"/>
  </numFmts>
  <fonts count="73" x14ac:knownFonts="1">
    <font>
      <sz val="11"/>
      <color theme="1"/>
      <name val="Calibri"/>
      <family val="2"/>
      <charset val="16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6100"/>
      <name val="Calibri"/>
      <family val="2"/>
      <scheme val="minor"/>
    </font>
    <font>
      <sz val="10"/>
      <color theme="1"/>
      <name val="Corbel"/>
      <family val="2"/>
    </font>
    <font>
      <sz val="10"/>
      <name val="Corbel"/>
      <family val="2"/>
    </font>
    <font>
      <b/>
      <sz val="10"/>
      <name val="Century Gothic"/>
      <family val="2"/>
    </font>
    <font>
      <sz val="10"/>
      <color theme="1"/>
      <name val="Calibri"/>
      <family val="2"/>
      <charset val="162"/>
      <scheme val="minor"/>
    </font>
    <font>
      <sz val="10"/>
      <color theme="1"/>
      <name val="Century Gothic"/>
      <family val="2"/>
    </font>
    <font>
      <b/>
      <sz val="10"/>
      <color theme="1"/>
      <name val="Century Gothic"/>
      <family val="2"/>
    </font>
    <font>
      <sz val="10"/>
      <color rgb="FF000000"/>
      <name val="Century Gothic"/>
      <family val="2"/>
    </font>
    <font>
      <sz val="11"/>
      <color theme="1"/>
      <name val="Calibri"/>
      <family val="2"/>
      <charset val="162"/>
      <scheme val="minor"/>
    </font>
    <font>
      <b/>
      <sz val="15"/>
      <color theme="3"/>
      <name val="Calibri"/>
      <family val="2"/>
      <scheme val="minor"/>
    </font>
    <font>
      <sz val="11"/>
      <color theme="1"/>
      <name val="Century Gothic"/>
      <family val="2"/>
    </font>
    <font>
      <b/>
      <sz val="11"/>
      <color theme="1"/>
      <name val="Century Gothic"/>
      <family val="2"/>
    </font>
    <font>
      <b/>
      <sz val="11"/>
      <color theme="0"/>
      <name val="Century Gothic"/>
      <family val="2"/>
    </font>
    <font>
      <b/>
      <sz val="14"/>
      <color theme="1"/>
      <name val="Century Gothic"/>
      <family val="2"/>
    </font>
    <font>
      <sz val="8"/>
      <name val="Calibri"/>
      <family val="2"/>
      <charset val="162"/>
      <scheme val="minor"/>
    </font>
    <font>
      <b/>
      <sz val="11"/>
      <color theme="1"/>
      <name val="Calibri"/>
      <family val="2"/>
      <scheme val="minor"/>
    </font>
    <font>
      <b/>
      <sz val="11"/>
      <color rgb="FF000000"/>
      <name val="Calibri"/>
      <family val="2"/>
      <scheme val="minor"/>
    </font>
    <font>
      <b/>
      <sz val="11"/>
      <name val="Calibri"/>
      <family val="2"/>
      <scheme val="minor"/>
    </font>
    <font>
      <b/>
      <sz val="11"/>
      <color rgb="FFFF0000"/>
      <name val="Calibri"/>
      <family val="2"/>
      <scheme val="minor"/>
    </font>
    <font>
      <sz val="11"/>
      <name val="Calibri"/>
      <family val="2"/>
      <scheme val="minor"/>
    </font>
    <font>
      <b/>
      <sz val="36"/>
      <color rgb="FF175259"/>
      <name val="Century Gothic"/>
      <family val="2"/>
    </font>
    <font>
      <b/>
      <sz val="20"/>
      <color rgb="FFF53D1C"/>
      <name val="Century Gothic"/>
      <family val="2"/>
    </font>
    <font>
      <i/>
      <sz val="14"/>
      <color rgb="FF94BA29"/>
      <name val="Century Gothic"/>
      <family val="2"/>
    </font>
    <font>
      <sz val="11"/>
      <color theme="9"/>
      <name val="Century Gothic"/>
      <family val="2"/>
    </font>
    <font>
      <sz val="11"/>
      <color rgb="FF94BA29"/>
      <name val="Century Gothic"/>
      <family val="2"/>
    </font>
    <font>
      <sz val="10"/>
      <color rgb="FF1A52C2"/>
      <name val="Century Gothic"/>
      <family val="2"/>
    </font>
    <font>
      <sz val="9"/>
      <color theme="1"/>
      <name val="Century Gothic"/>
      <family val="2"/>
    </font>
    <font>
      <b/>
      <sz val="10"/>
      <color rgb="FF000000"/>
      <name val="Century Gothic"/>
      <family val="2"/>
    </font>
    <font>
      <sz val="9"/>
      <color rgb="FF000000"/>
      <name val="Calibri"/>
      <family val="2"/>
      <scheme val="minor"/>
    </font>
    <font>
      <sz val="11"/>
      <color rgb="FFF53D1C"/>
      <name val="Calibri"/>
      <family val="2"/>
      <scheme val="minor"/>
    </font>
    <font>
      <i/>
      <sz val="9"/>
      <color theme="1"/>
      <name val="Century Gothic"/>
      <family val="2"/>
    </font>
    <font>
      <u/>
      <sz val="11"/>
      <color theme="10"/>
      <name val="Calibri"/>
      <family val="2"/>
      <charset val="162"/>
      <scheme val="minor"/>
    </font>
    <font>
      <sz val="11"/>
      <color theme="0"/>
      <name val="Calibri"/>
      <family val="2"/>
      <scheme val="minor"/>
    </font>
    <font>
      <u/>
      <sz val="10"/>
      <color theme="1"/>
      <name val="Century Gothic"/>
      <family val="2"/>
    </font>
    <font>
      <b/>
      <sz val="11"/>
      <color rgb="FF000000"/>
      <name val="Calibri"/>
      <family val="2"/>
    </font>
    <font>
      <b/>
      <sz val="12"/>
      <name val="Century Gothic"/>
      <family val="2"/>
    </font>
    <font>
      <b/>
      <sz val="12"/>
      <color theme="0"/>
      <name val="Century Gothic"/>
      <family val="2"/>
    </font>
    <font>
      <sz val="12"/>
      <name val="Corbel"/>
      <family val="2"/>
    </font>
    <font>
      <sz val="12"/>
      <name val="Century Gothic"/>
      <family val="2"/>
    </font>
    <font>
      <i/>
      <sz val="12"/>
      <name val="Century Gothic"/>
      <family val="2"/>
    </font>
    <font>
      <b/>
      <sz val="12"/>
      <color theme="1"/>
      <name val="Century Gothic"/>
      <family val="2"/>
    </font>
    <font>
      <sz val="12"/>
      <color theme="0"/>
      <name val="Century Gothic"/>
      <family val="2"/>
    </font>
    <font>
      <sz val="12"/>
      <color theme="1"/>
      <name val="Century Gothic"/>
      <family val="2"/>
    </font>
    <font>
      <i/>
      <sz val="12"/>
      <color theme="1"/>
      <name val="Century Gothic"/>
      <family val="2"/>
    </font>
    <font>
      <b/>
      <sz val="16"/>
      <color theme="3"/>
      <name val="Calibri"/>
      <family val="2"/>
      <scheme val="minor"/>
    </font>
    <font>
      <sz val="16"/>
      <color theme="1"/>
      <name val="Century Gothic"/>
      <family val="2"/>
    </font>
    <font>
      <sz val="12"/>
      <color theme="0"/>
      <name val="Calibri"/>
      <family val="2"/>
      <scheme val="minor"/>
    </font>
    <font>
      <b/>
      <u/>
      <sz val="12"/>
      <color theme="4"/>
      <name val="Century Gothic"/>
      <family val="2"/>
    </font>
    <font>
      <u/>
      <sz val="12"/>
      <color theme="4"/>
      <name val="Century Gothic"/>
      <family val="2"/>
    </font>
    <font>
      <u/>
      <sz val="12"/>
      <color theme="1"/>
      <name val="Century Gothic"/>
      <family val="2"/>
    </font>
    <font>
      <sz val="11"/>
      <color rgb="FF000000"/>
      <name val="Calibri"/>
      <family val="2"/>
      <scheme val="minor"/>
    </font>
    <font>
      <sz val="11"/>
      <color theme="1"/>
      <name val="Corbel"/>
      <family val="2"/>
    </font>
    <font>
      <sz val="11"/>
      <name val="Calibri"/>
      <family val="2"/>
    </font>
    <font>
      <sz val="11"/>
      <name val="Corbel"/>
      <family val="2"/>
    </font>
    <font>
      <b/>
      <sz val="11"/>
      <color theme="1"/>
      <name val="Corbel"/>
      <family val="2"/>
    </font>
    <font>
      <sz val="8"/>
      <color theme="1"/>
      <name val="Calibri"/>
      <family val="2"/>
      <scheme val="minor"/>
    </font>
    <font>
      <sz val="8"/>
      <color theme="1"/>
      <name val="Corbel"/>
      <family val="2"/>
    </font>
    <font>
      <sz val="9"/>
      <color theme="1"/>
      <name val="Calibri"/>
      <family val="2"/>
      <scheme val="minor"/>
    </font>
    <font>
      <sz val="11"/>
      <color theme="1"/>
      <name val="Candara"/>
      <family val="2"/>
    </font>
    <font>
      <sz val="11"/>
      <color rgb="FF000000"/>
      <name val="Corbel"/>
      <family val="2"/>
    </font>
    <font>
      <sz val="12"/>
      <color rgb="FF000000"/>
      <name val="Corbel"/>
      <family val="2"/>
    </font>
    <font>
      <sz val="10"/>
      <color theme="1"/>
      <name val="Calibri"/>
      <family val="2"/>
      <scheme val="minor"/>
    </font>
    <font>
      <sz val="10"/>
      <name val="Corbel"/>
      <family val="2"/>
    </font>
    <font>
      <sz val="10"/>
      <color theme="1"/>
      <name val="Cambria"/>
      <family val="2"/>
      <scheme val="major"/>
    </font>
    <font>
      <sz val="10"/>
      <name val="Corbel"/>
    </font>
    <font>
      <sz val="10"/>
      <color theme="1"/>
      <name val="Corbel"/>
    </font>
    <font>
      <sz val="10"/>
      <color theme="1"/>
      <name val="Century Gothic"/>
    </font>
    <font>
      <sz val="10"/>
      <color rgb="FF000000"/>
      <name val="Century Gothic"/>
    </font>
  </fonts>
  <fills count="22">
    <fill>
      <patternFill patternType="none"/>
    </fill>
    <fill>
      <patternFill patternType="gray125"/>
    </fill>
    <fill>
      <patternFill patternType="solid">
        <fgColor rgb="FFC6EFCE"/>
      </patternFill>
    </fill>
    <fill>
      <patternFill patternType="solid">
        <fgColor rgb="FF175259"/>
        <bgColor indexed="64"/>
      </patternFill>
    </fill>
    <fill>
      <patternFill patternType="solid">
        <fgColor rgb="FFDEDBC4"/>
        <bgColor indexed="64"/>
      </patternFill>
    </fill>
    <fill>
      <patternFill patternType="solid">
        <fgColor rgb="FF85C4E3"/>
        <bgColor indexed="64"/>
      </patternFill>
    </fill>
    <fill>
      <patternFill patternType="solid">
        <fgColor rgb="FFDE8FEB"/>
        <bgColor indexed="64"/>
      </patternFill>
    </fill>
    <fill>
      <patternFill patternType="solid">
        <fgColor rgb="FFCCDE82"/>
        <bgColor indexed="64"/>
      </patternFill>
    </fill>
    <fill>
      <patternFill patternType="solid">
        <fgColor rgb="FF94BA29"/>
        <bgColor indexed="64"/>
      </patternFill>
    </fill>
    <fill>
      <patternFill patternType="solid">
        <fgColor rgb="FF26DBD9"/>
        <bgColor indexed="64"/>
      </patternFill>
    </fill>
    <fill>
      <patternFill patternType="solid">
        <fgColor rgb="FFFF7373"/>
        <bgColor indexed="64"/>
      </patternFill>
    </fill>
    <fill>
      <patternFill patternType="solid">
        <fgColor rgb="FFF5B224"/>
        <bgColor indexed="64"/>
      </patternFill>
    </fill>
    <fill>
      <patternFill patternType="solid">
        <fgColor rgb="FFFFC000"/>
        <bgColor indexed="64"/>
      </patternFill>
    </fill>
    <fill>
      <patternFill patternType="solid">
        <fgColor theme="6"/>
        <bgColor indexed="64"/>
      </patternFill>
    </fill>
    <fill>
      <patternFill patternType="solid">
        <fgColor rgb="FFBFBFBF"/>
        <bgColor indexed="64"/>
      </patternFill>
    </fill>
    <fill>
      <patternFill patternType="solid">
        <fgColor theme="0" tint="-0.34998626667073579"/>
        <bgColor indexed="64"/>
      </patternFill>
    </fill>
    <fill>
      <patternFill patternType="solid">
        <fgColor theme="4"/>
      </patternFill>
    </fill>
    <fill>
      <patternFill patternType="solid">
        <fgColor rgb="FFA6A6A6"/>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right/>
      <top/>
      <bottom style="thick">
        <color theme="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9">
    <xf numFmtId="0" fontId="0" fillId="0" borderId="0"/>
    <xf numFmtId="0" fontId="5" fillId="2" borderId="0" applyNumberFormat="0" applyBorder="0" applyAlignment="0" applyProtection="0"/>
    <xf numFmtId="9" fontId="13" fillId="0" borderId="0" applyFont="0" applyFill="0" applyBorder="0" applyAlignment="0" applyProtection="0"/>
    <xf numFmtId="0" fontId="14" fillId="0" borderId="9" applyNumberFormat="0" applyFill="0" applyAlignment="0" applyProtection="0"/>
    <xf numFmtId="164" fontId="13" fillId="0" borderId="0" applyFont="0" applyFill="0" applyBorder="0" applyAlignment="0" applyProtection="0"/>
    <xf numFmtId="0" fontId="4" fillId="0" borderId="0"/>
    <xf numFmtId="0" fontId="3" fillId="0" borderId="0"/>
    <xf numFmtId="0" fontId="36" fillId="0" borderId="0" applyNumberFormat="0" applyFill="0" applyBorder="0" applyAlignment="0" applyProtection="0"/>
    <xf numFmtId="0" fontId="37" fillId="16" borderId="0" applyNumberFormat="0" applyBorder="0" applyAlignment="0" applyProtection="0"/>
  </cellStyleXfs>
  <cellXfs count="546">
    <xf numFmtId="0" fontId="0" fillId="0" borderId="0" xfId="0"/>
    <xf numFmtId="0" fontId="6" fillId="0" borderId="0" xfId="0" applyFont="1" applyProtection="1">
      <protection locked="0"/>
    </xf>
    <xf numFmtId="1" fontId="6" fillId="0" borderId="0" xfId="0" applyNumberFormat="1" applyFont="1" applyProtection="1">
      <protection locked="0"/>
    </xf>
    <xf numFmtId="0" fontId="10" fillId="0" borderId="0" xfId="0" applyFont="1"/>
    <xf numFmtId="166" fontId="12" fillId="0" borderId="1" xfId="0" applyNumberFormat="1" applyFont="1" applyBorder="1" applyAlignment="1">
      <alignment vertical="center" wrapText="1"/>
    </xf>
    <xf numFmtId="0" fontId="10" fillId="0" borderId="0" xfId="0" applyFont="1" applyProtection="1">
      <protection locked="0"/>
    </xf>
    <xf numFmtId="2" fontId="10" fillId="0" borderId="1" xfId="0" applyNumberFormat="1" applyFont="1" applyBorder="1" applyProtection="1">
      <protection locked="0"/>
    </xf>
    <xf numFmtId="2" fontId="10" fillId="0" borderId="0" xfId="0" applyNumberFormat="1" applyFont="1" applyProtection="1">
      <protection locked="0"/>
    </xf>
    <xf numFmtId="166" fontId="10" fillId="0" borderId="0" xfId="0" applyNumberFormat="1" applyFont="1" applyProtection="1">
      <protection locked="0"/>
    </xf>
    <xf numFmtId="0" fontId="10" fillId="0" borderId="1" xfId="0" applyFont="1" applyBorder="1"/>
    <xf numFmtId="0" fontId="15" fillId="0" borderId="0" xfId="0" applyFont="1"/>
    <xf numFmtId="167" fontId="11" fillId="0" borderId="0" xfId="0" applyNumberFormat="1" applyFont="1"/>
    <xf numFmtId="0" fontId="14" fillId="0" borderId="9" xfId="3"/>
    <xf numFmtId="0" fontId="0" fillId="0" borderId="0" xfId="0" applyAlignment="1">
      <alignment wrapText="1"/>
    </xf>
    <xf numFmtId="0" fontId="18" fillId="0" borderId="0" xfId="0" applyFont="1"/>
    <xf numFmtId="0" fontId="16" fillId="0" borderId="1" xfId="0" applyFont="1" applyBorder="1" applyAlignment="1">
      <alignment vertical="center" wrapText="1"/>
    </xf>
    <xf numFmtId="0" fontId="17" fillId="3" borderId="0" xfId="0" applyFont="1" applyFill="1" applyAlignment="1">
      <alignment wrapText="1"/>
    </xf>
    <xf numFmtId="1" fontId="16" fillId="0" borderId="1" xfId="0" applyNumberFormat="1" applyFont="1" applyBorder="1" applyAlignment="1">
      <alignment vertical="center" wrapText="1"/>
    </xf>
    <xf numFmtId="0" fontId="16" fillId="0" borderId="12" xfId="0" applyFont="1" applyBorder="1" applyAlignment="1">
      <alignment vertical="center" wrapText="1"/>
    </xf>
    <xf numFmtId="0" fontId="15" fillId="0" borderId="0" xfId="0" applyFont="1" applyAlignment="1">
      <alignment wrapText="1"/>
    </xf>
    <xf numFmtId="0" fontId="10" fillId="0" borderId="1" xfId="0" applyFont="1" applyBorder="1" applyAlignment="1">
      <alignment horizontal="center"/>
    </xf>
    <xf numFmtId="0" fontId="20" fillId="13" borderId="0" xfId="0" applyFont="1" applyFill="1"/>
    <xf numFmtId="0" fontId="20" fillId="12" borderId="0" xfId="0" applyFont="1" applyFill="1" applyAlignment="1">
      <alignment wrapText="1"/>
    </xf>
    <xf numFmtId="0" fontId="20" fillId="12" borderId="0" xfId="0" applyFont="1" applyFill="1"/>
    <xf numFmtId="0" fontId="25" fillId="0" borderId="0" xfId="6" applyFont="1" applyAlignment="1">
      <alignment vertical="center"/>
    </xf>
    <xf numFmtId="0" fontId="3" fillId="0" borderId="0" xfId="6"/>
    <xf numFmtId="0" fontId="26" fillId="0" borderId="0" xfId="6" applyFont="1" applyAlignment="1">
      <alignment vertical="center"/>
    </xf>
    <xf numFmtId="0" fontId="27" fillId="0" borderId="0" xfId="6" applyFont="1" applyAlignment="1">
      <alignment vertical="center"/>
    </xf>
    <xf numFmtId="0" fontId="28" fillId="0" borderId="0" xfId="6" applyFont="1" applyAlignment="1">
      <alignment vertical="center"/>
    </xf>
    <xf numFmtId="0" fontId="29" fillId="0" borderId="0" xfId="6" applyFont="1" applyAlignment="1">
      <alignment vertical="center"/>
    </xf>
    <xf numFmtId="0" fontId="3" fillId="0" borderId="0" xfId="6" applyAlignment="1">
      <alignment vertical="center"/>
    </xf>
    <xf numFmtId="0" fontId="33" fillId="0" borderId="0" xfId="6" applyFont="1"/>
    <xf numFmtId="0" fontId="34" fillId="0" borderId="0" xfId="6" applyFont="1"/>
    <xf numFmtId="0" fontId="10" fillId="0" borderId="0" xfId="6" applyFont="1" applyAlignment="1">
      <alignment vertical="center"/>
    </xf>
    <xf numFmtId="0" fontId="36" fillId="0" borderId="0" xfId="7"/>
    <xf numFmtId="166" fontId="12" fillId="0" borderId="12" xfId="0" applyNumberFormat="1" applyFont="1" applyBorder="1" applyAlignment="1">
      <alignment vertical="center" wrapText="1"/>
    </xf>
    <xf numFmtId="0" fontId="10" fillId="0" borderId="12" xfId="0" applyFont="1" applyBorder="1"/>
    <xf numFmtId="0" fontId="15" fillId="0" borderId="0" xfId="0" applyFont="1" applyAlignment="1">
      <alignment horizontal="center"/>
    </xf>
    <xf numFmtId="0" fontId="17" fillId="3" borderId="0" xfId="0" applyFont="1" applyFill="1" applyAlignment="1">
      <alignment horizontal="center" wrapText="1"/>
    </xf>
    <xf numFmtId="0" fontId="15" fillId="0" borderId="0" xfId="0" applyFont="1" applyAlignment="1">
      <alignment horizontal="center" wrapText="1"/>
    </xf>
    <xf numFmtId="0" fontId="0" fillId="0" borderId="0" xfId="0" applyAlignment="1">
      <alignment horizontal="center" wrapText="1"/>
    </xf>
    <xf numFmtId="0" fontId="15" fillId="0" borderId="0" xfId="0" applyFont="1" applyAlignment="1">
      <alignment horizontal="center" vertical="center"/>
    </xf>
    <xf numFmtId="0" fontId="17" fillId="3" borderId="0" xfId="0" applyFont="1" applyFill="1" applyAlignment="1">
      <alignment horizontal="center" vertical="center" wrapText="1"/>
    </xf>
    <xf numFmtId="0" fontId="15" fillId="0" borderId="0" xfId="0" applyFont="1" applyAlignment="1">
      <alignment horizontal="center" vertical="center" wrapText="1"/>
    </xf>
    <xf numFmtId="0" fontId="0" fillId="0" borderId="0" xfId="0" applyAlignment="1">
      <alignment horizontal="center" vertical="center" wrapText="1"/>
    </xf>
    <xf numFmtId="0" fontId="9" fillId="0" borderId="0" xfId="0" applyFont="1" applyProtection="1">
      <protection locked="0"/>
    </xf>
    <xf numFmtId="1" fontId="9" fillId="0" borderId="0" xfId="0" applyNumberFormat="1" applyFont="1" applyProtection="1">
      <protection locked="0"/>
    </xf>
    <xf numFmtId="14" fontId="6" fillId="0" borderId="15" xfId="0" applyNumberFormat="1" applyFont="1" applyBorder="1"/>
    <xf numFmtId="0" fontId="6" fillId="0" borderId="19" xfId="0" applyFont="1" applyBorder="1"/>
    <xf numFmtId="168" fontId="6" fillId="0" borderId="11" xfId="0" applyNumberFormat="1" applyFont="1" applyBorder="1"/>
    <xf numFmtId="14" fontId="6" fillId="0" borderId="1" xfId="0" applyNumberFormat="1" applyFont="1" applyBorder="1"/>
    <xf numFmtId="0" fontId="6" fillId="0" borderId="14" xfId="0" applyFont="1" applyBorder="1"/>
    <xf numFmtId="0" fontId="9" fillId="0" borderId="0" xfId="0" applyFont="1"/>
    <xf numFmtId="0" fontId="6" fillId="0" borderId="0" xfId="0" applyFont="1"/>
    <xf numFmtId="9" fontId="10" fillId="0" borderId="1" xfId="2" applyFont="1" applyBorder="1" applyAlignment="1" applyProtection="1">
      <alignment horizontal="center"/>
    </xf>
    <xf numFmtId="169" fontId="10" fillId="0" borderId="1" xfId="4" applyNumberFormat="1" applyFont="1" applyBorder="1" applyProtection="1"/>
    <xf numFmtId="0" fontId="10" fillId="0" borderId="12" xfId="0" applyFont="1" applyBorder="1" applyAlignment="1">
      <alignment horizontal="center"/>
    </xf>
    <xf numFmtId="9" fontId="10" fillId="0" borderId="12" xfId="2" applyFont="1" applyBorder="1" applyAlignment="1" applyProtection="1">
      <alignment horizontal="center"/>
    </xf>
    <xf numFmtId="169" fontId="10" fillId="0" borderId="12" xfId="4" applyNumberFormat="1" applyFont="1" applyBorder="1" applyProtection="1"/>
    <xf numFmtId="0" fontId="31" fillId="0" borderId="0" xfId="6" applyFont="1" applyAlignment="1">
      <alignment horizontal="left" vertical="top" wrapText="1"/>
    </xf>
    <xf numFmtId="0" fontId="41" fillId="3" borderId="0" xfId="0" applyFont="1" applyFill="1" applyAlignment="1">
      <alignment horizontal="center" vertical="center" wrapText="1"/>
    </xf>
    <xf numFmtId="0" fontId="42" fillId="0" borderId="0" xfId="0" applyFont="1" applyAlignment="1" applyProtection="1">
      <alignment horizontal="center" vertical="center" wrapText="1"/>
      <protection locked="0"/>
    </xf>
    <xf numFmtId="0" fontId="42" fillId="0" borderId="0" xfId="0" applyFont="1" applyAlignment="1">
      <alignment horizontal="center" vertical="center" wrapText="1"/>
    </xf>
    <xf numFmtId="0" fontId="43" fillId="10" borderId="23" xfId="0" applyFont="1" applyFill="1" applyBorder="1" applyAlignment="1">
      <alignment horizontal="center" vertical="center" wrapText="1"/>
    </xf>
    <xf numFmtId="1" fontId="43" fillId="7" borderId="1" xfId="1" applyNumberFormat="1" applyFont="1" applyFill="1" applyBorder="1" applyAlignment="1" applyProtection="1">
      <alignment horizontal="center" vertical="center" wrapText="1"/>
    </xf>
    <xf numFmtId="0" fontId="44" fillId="0" borderId="0" xfId="0" applyFont="1" applyAlignment="1" applyProtection="1">
      <alignment horizontal="left" vertical="center"/>
      <protection locked="0"/>
    </xf>
    <xf numFmtId="0" fontId="42" fillId="0" borderId="0" xfId="0" applyFont="1" applyAlignment="1" applyProtection="1">
      <alignment horizontal="center" vertical="center"/>
      <protection locked="0"/>
    </xf>
    <xf numFmtId="0" fontId="42" fillId="0" borderId="0" xfId="0" applyFont="1" applyAlignment="1">
      <alignment horizontal="center" vertical="center"/>
    </xf>
    <xf numFmtId="0" fontId="40" fillId="10" borderId="23" xfId="0" applyFont="1" applyFill="1" applyBorder="1" applyAlignment="1">
      <alignment horizontal="center" vertical="center" wrapText="1"/>
    </xf>
    <xf numFmtId="0" fontId="46" fillId="3" borderId="13" xfId="0" applyFont="1" applyFill="1" applyBorder="1" applyAlignment="1">
      <alignment horizontal="center" vertical="center" wrapText="1"/>
    </xf>
    <xf numFmtId="0" fontId="47" fillId="0" borderId="0" xfId="0" applyFont="1" applyProtection="1">
      <protection locked="0"/>
    </xf>
    <xf numFmtId="0" fontId="47" fillId="0" borderId="0" xfId="0" applyFont="1"/>
    <xf numFmtId="0" fontId="43" fillId="8" borderId="1" xfId="1" applyFont="1" applyFill="1" applyBorder="1" applyAlignment="1" applyProtection="1">
      <alignment horizontal="center" vertical="center" wrapText="1"/>
    </xf>
    <xf numFmtId="2" fontId="43" fillId="8" borderId="1" xfId="1" applyNumberFormat="1" applyFont="1" applyFill="1" applyBorder="1" applyAlignment="1" applyProtection="1">
      <alignment horizontal="center" vertical="center" wrapText="1"/>
    </xf>
    <xf numFmtId="0" fontId="48" fillId="0" borderId="0" xfId="0" applyFont="1" applyProtection="1">
      <protection locked="0"/>
    </xf>
    <xf numFmtId="0" fontId="43" fillId="9" borderId="1" xfId="1" applyFont="1" applyFill="1" applyBorder="1" applyAlignment="1" applyProtection="1">
      <alignment horizontal="center" vertical="center" wrapText="1"/>
    </xf>
    <xf numFmtId="2" fontId="43" fillId="9" borderId="1" xfId="1" applyNumberFormat="1" applyFont="1" applyFill="1" applyBorder="1" applyAlignment="1" applyProtection="1">
      <alignment horizontal="center" vertical="center" wrapText="1"/>
    </xf>
    <xf numFmtId="0" fontId="49" fillId="0" borderId="9" xfId="3" applyFont="1"/>
    <xf numFmtId="0" fontId="50" fillId="0" borderId="0" xfId="0" applyFont="1"/>
    <xf numFmtId="0" fontId="50" fillId="0" borderId="0" xfId="0" applyFont="1" applyAlignment="1">
      <alignment horizontal="center" vertical="center"/>
    </xf>
    <xf numFmtId="0" fontId="50" fillId="0" borderId="0" xfId="0" applyFont="1" applyAlignment="1">
      <alignment horizontal="center"/>
    </xf>
    <xf numFmtId="1" fontId="45" fillId="0" borderId="1" xfId="0" applyNumberFormat="1" applyFont="1" applyBorder="1" applyAlignment="1">
      <alignment vertical="center" wrapText="1"/>
    </xf>
    <xf numFmtId="0" fontId="47" fillId="0" borderId="1" xfId="0" applyFont="1" applyBorder="1" applyAlignment="1">
      <alignment vertical="center" wrapText="1"/>
    </xf>
    <xf numFmtId="0" fontId="51" fillId="16" borderId="1" xfId="8" applyFont="1" applyBorder="1" applyAlignment="1">
      <alignment horizontal="center" vertical="center"/>
    </xf>
    <xf numFmtId="1" fontId="47" fillId="0" borderId="1" xfId="0" applyNumberFormat="1" applyFont="1" applyBorder="1" applyAlignment="1">
      <alignment vertical="center" wrapText="1"/>
    </xf>
    <xf numFmtId="1" fontId="47" fillId="15" borderId="1" xfId="0" applyNumberFormat="1" applyFont="1" applyFill="1" applyBorder="1" applyAlignment="1">
      <alignment horizontal="center" vertical="center" wrapText="1"/>
    </xf>
    <xf numFmtId="1" fontId="52" fillId="15" borderId="1" xfId="0" applyNumberFormat="1" applyFont="1" applyFill="1" applyBorder="1" applyAlignment="1">
      <alignment vertical="center" wrapText="1"/>
    </xf>
    <xf numFmtId="0" fontId="47" fillId="0" borderId="1" xfId="0" applyFont="1" applyBorder="1" applyAlignment="1">
      <alignment horizontal="center" vertical="center"/>
    </xf>
    <xf numFmtId="1" fontId="47" fillId="0" borderId="1" xfId="0" applyNumberFormat="1" applyFont="1" applyBorder="1" applyAlignment="1">
      <alignment horizontal="center" vertical="center" wrapText="1"/>
    </xf>
    <xf numFmtId="1" fontId="53" fillId="0" borderId="1" xfId="0" applyNumberFormat="1" applyFont="1" applyBorder="1" applyAlignment="1">
      <alignment vertical="center" wrapText="1"/>
    </xf>
    <xf numFmtId="1" fontId="45" fillId="15" borderId="1" xfId="0" applyNumberFormat="1" applyFont="1" applyFill="1" applyBorder="1" applyAlignment="1">
      <alignment vertical="center" wrapText="1"/>
    </xf>
    <xf numFmtId="1" fontId="45" fillId="15" borderId="1" xfId="0" applyNumberFormat="1" applyFont="1" applyFill="1" applyBorder="1" applyAlignment="1">
      <alignment horizontal="center" vertical="center" wrapText="1"/>
    </xf>
    <xf numFmtId="1" fontId="47" fillId="17" borderId="1" xfId="0" applyNumberFormat="1" applyFont="1" applyFill="1" applyBorder="1" applyAlignment="1">
      <alignment horizontal="center" vertical="center" wrapText="1"/>
    </xf>
    <xf numFmtId="1" fontId="45" fillId="17" borderId="1" xfId="0" applyNumberFormat="1" applyFont="1" applyFill="1" applyBorder="1" applyAlignment="1">
      <alignment vertical="center" wrapText="1"/>
    </xf>
    <xf numFmtId="1" fontId="45" fillId="17" borderId="1" xfId="0" applyNumberFormat="1" applyFont="1" applyFill="1" applyBorder="1" applyAlignment="1">
      <alignment horizontal="center" vertical="center" wrapText="1"/>
    </xf>
    <xf numFmtId="1" fontId="52" fillId="17" borderId="1" xfId="0" applyNumberFormat="1" applyFont="1" applyFill="1" applyBorder="1" applyAlignment="1">
      <alignment vertical="center" wrapText="1"/>
    </xf>
    <xf numFmtId="0" fontId="45" fillId="0" borderId="1" xfId="0" applyFont="1" applyBorder="1" applyAlignment="1">
      <alignment vertical="center" wrapText="1"/>
    </xf>
    <xf numFmtId="0" fontId="47" fillId="0" borderId="1" xfId="0" applyFont="1" applyBorder="1" applyAlignment="1">
      <alignment wrapText="1"/>
    </xf>
    <xf numFmtId="0" fontId="47" fillId="0" borderId="1" xfId="0" applyFont="1" applyBorder="1" applyAlignment="1">
      <alignment vertical="center"/>
    </xf>
    <xf numFmtId="0" fontId="47" fillId="0" borderId="1" xfId="0" applyFont="1" applyBorder="1" applyAlignment="1">
      <alignment horizontal="center" vertical="center" wrapText="1"/>
    </xf>
    <xf numFmtId="0" fontId="53" fillId="0" borderId="1" xfId="0" applyFont="1" applyBorder="1" applyAlignment="1">
      <alignment vertical="center" wrapText="1"/>
    </xf>
    <xf numFmtId="0" fontId="51" fillId="16" borderId="1" xfId="8" applyFont="1" applyBorder="1" applyAlignment="1">
      <alignment vertical="center" wrapText="1"/>
    </xf>
    <xf numFmtId="0" fontId="47" fillId="17" borderId="1" xfId="0" applyFont="1" applyFill="1" applyBorder="1" applyAlignment="1">
      <alignment horizontal="center" wrapText="1"/>
    </xf>
    <xf numFmtId="0" fontId="54" fillId="17" borderId="1" xfId="0" applyFont="1" applyFill="1" applyBorder="1" applyAlignment="1">
      <alignment vertical="center" wrapText="1"/>
    </xf>
    <xf numFmtId="1" fontId="51" fillId="16" borderId="1" xfId="8" applyNumberFormat="1" applyFont="1" applyBorder="1" applyAlignment="1">
      <alignment vertical="center" wrapText="1"/>
    </xf>
    <xf numFmtId="1" fontId="47" fillId="0" borderId="1" xfId="0" applyNumberFormat="1" applyFont="1" applyBorder="1" applyAlignment="1">
      <alignment wrapText="1"/>
    </xf>
    <xf numFmtId="0" fontId="47" fillId="0" borderId="1" xfId="0" applyFont="1" applyBorder="1"/>
    <xf numFmtId="1" fontId="51" fillId="16" borderId="1" xfId="8" applyNumberFormat="1" applyFont="1" applyBorder="1" applyAlignment="1">
      <alignment wrapText="1"/>
    </xf>
    <xf numFmtId="0" fontId="47" fillId="17" borderId="1" xfId="0" applyFont="1" applyFill="1" applyBorder="1" applyAlignment="1">
      <alignment horizontal="center" vertical="center" wrapText="1"/>
    </xf>
    <xf numFmtId="0" fontId="47" fillId="17" borderId="1" xfId="0" applyFont="1" applyFill="1" applyBorder="1"/>
    <xf numFmtId="0" fontId="0" fillId="0" borderId="0" xfId="0" applyAlignment="1">
      <alignment horizontal="center"/>
    </xf>
    <xf numFmtId="0" fontId="15" fillId="0" borderId="1" xfId="0" applyFont="1" applyBorder="1"/>
    <xf numFmtId="0" fontId="15" fillId="0" borderId="28" xfId="0" applyFont="1" applyBorder="1"/>
    <xf numFmtId="0" fontId="15" fillId="0" borderId="30" xfId="0" applyFont="1" applyBorder="1"/>
    <xf numFmtId="0" fontId="15" fillId="0" borderId="27" xfId="0" applyFont="1" applyBorder="1" applyAlignment="1">
      <alignment horizontal="center"/>
    </xf>
    <xf numFmtId="0" fontId="15" fillId="0" borderId="29" xfId="0" applyFont="1" applyBorder="1" applyAlignment="1">
      <alignment horizontal="center"/>
    </xf>
    <xf numFmtId="0" fontId="16" fillId="0" borderId="24" xfId="0" applyFont="1" applyBorder="1" applyAlignment="1">
      <alignment horizontal="center"/>
    </xf>
    <xf numFmtId="0" fontId="16" fillId="0" borderId="25" xfId="0" applyFont="1" applyBorder="1" applyAlignment="1">
      <alignment horizontal="center"/>
    </xf>
    <xf numFmtId="0" fontId="16" fillId="0" borderId="26" xfId="0" applyFont="1" applyBorder="1" applyAlignment="1">
      <alignment horizontal="center"/>
    </xf>
    <xf numFmtId="0" fontId="15" fillId="18" borderId="0" xfId="0" applyFont="1" applyFill="1"/>
    <xf numFmtId="0" fontId="10" fillId="0" borderId="0" xfId="6" applyFont="1" applyAlignment="1">
      <alignment horizontal="left" vertical="center" wrapText="1"/>
    </xf>
    <xf numFmtId="0" fontId="6" fillId="0" borderId="15" xfId="0" applyFont="1" applyBorder="1"/>
    <xf numFmtId="0" fontId="6" fillId="0" borderId="1" xfId="0" applyFont="1" applyBorder="1"/>
    <xf numFmtId="0" fontId="6" fillId="0" borderId="12" xfId="0" applyFont="1" applyBorder="1"/>
    <xf numFmtId="0" fontId="40" fillId="10" borderId="6" xfId="0" applyFont="1" applyFill="1" applyBorder="1" applyAlignment="1">
      <alignment horizontal="center" vertical="center" wrapText="1"/>
    </xf>
    <xf numFmtId="0" fontId="43" fillId="11" borderId="1" xfId="0" applyFont="1" applyFill="1" applyBorder="1" applyAlignment="1">
      <alignment horizontal="center" vertical="center" wrapText="1"/>
    </xf>
    <xf numFmtId="1" fontId="43" fillId="11" borderId="1" xfId="0" applyNumberFormat="1" applyFont="1" applyFill="1" applyBorder="1" applyAlignment="1">
      <alignment horizontal="center" vertical="center" wrapText="1"/>
    </xf>
    <xf numFmtId="0" fontId="43" fillId="4" borderId="1" xfId="0" applyFont="1" applyFill="1" applyBorder="1" applyAlignment="1">
      <alignment horizontal="center" vertical="center" wrapText="1"/>
    </xf>
    <xf numFmtId="1" fontId="43" fillId="4" borderId="1" xfId="0" applyNumberFormat="1" applyFont="1" applyFill="1" applyBorder="1" applyAlignment="1">
      <alignment horizontal="center" vertical="center" wrapText="1"/>
    </xf>
    <xf numFmtId="0" fontId="43" fillId="5" borderId="1" xfId="0" applyFont="1" applyFill="1" applyBorder="1" applyAlignment="1">
      <alignment horizontal="center" vertical="center" wrapText="1"/>
    </xf>
    <xf numFmtId="0" fontId="43" fillId="6" borderId="1" xfId="0" applyFont="1" applyFill="1" applyBorder="1" applyAlignment="1">
      <alignment horizontal="center" vertical="center" wrapText="1"/>
    </xf>
    <xf numFmtId="1" fontId="43" fillId="6" borderId="1" xfId="0" applyNumberFormat="1" applyFont="1" applyFill="1" applyBorder="1" applyAlignment="1">
      <alignment horizontal="center" vertical="center" wrapText="1"/>
    </xf>
    <xf numFmtId="0" fontId="43" fillId="6" borderId="14" xfId="0" applyFont="1" applyFill="1" applyBorder="1" applyAlignment="1">
      <alignment horizontal="center" vertical="center" wrapText="1"/>
    </xf>
    <xf numFmtId="165" fontId="43" fillId="8" borderId="1" xfId="0" applyNumberFormat="1" applyFont="1" applyFill="1" applyBorder="1" applyAlignment="1">
      <alignment horizontal="center" vertical="center" wrapText="1"/>
    </xf>
    <xf numFmtId="0" fontId="43" fillId="8" borderId="1" xfId="0" applyFont="1" applyFill="1" applyBorder="1" applyAlignment="1">
      <alignment horizontal="center" vertical="center" wrapText="1"/>
    </xf>
    <xf numFmtId="0" fontId="46" fillId="3" borderId="13" xfId="0" applyFont="1" applyFill="1" applyBorder="1" applyAlignment="1">
      <alignment vertical="center" wrapText="1"/>
    </xf>
    <xf numFmtId="0" fontId="21" fillId="0" borderId="0" xfId="0" applyFont="1" applyAlignment="1">
      <alignment wrapText="1"/>
    </xf>
    <xf numFmtId="0" fontId="20" fillId="0" borderId="0" xfId="0" applyFont="1"/>
    <xf numFmtId="0" fontId="24" fillId="0" borderId="0" xfId="0" applyFont="1"/>
    <xf numFmtId="0" fontId="22" fillId="0" borderId="0" xfId="0" applyFont="1"/>
    <xf numFmtId="0" fontId="21" fillId="0" borderId="0" xfId="0" applyFont="1" applyAlignment="1">
      <alignment horizontal="left" wrapText="1"/>
    </xf>
    <xf numFmtId="0" fontId="23" fillId="0" borderId="0" xfId="0" applyFont="1"/>
    <xf numFmtId="0" fontId="21" fillId="0" borderId="0" xfId="0" applyFont="1"/>
    <xf numFmtId="0" fontId="20" fillId="0" borderId="0" xfId="0" applyFont="1" applyAlignment="1">
      <alignment vertical="center" wrapText="1"/>
    </xf>
    <xf numFmtId="0" fontId="15" fillId="0" borderId="31" xfId="0" applyFont="1" applyBorder="1" applyAlignment="1">
      <alignment wrapText="1"/>
    </xf>
    <xf numFmtId="0" fontId="0" fillId="0" borderId="1" xfId="0" applyBorder="1" applyAlignment="1" applyProtection="1">
      <alignment horizontal="center" vertical="center" wrapText="1"/>
      <protection locked="0"/>
    </xf>
    <xf numFmtId="0" fontId="7" fillId="0" borderId="1" xfId="0" applyFont="1" applyBorder="1" applyAlignment="1">
      <alignment vertical="center" wrapText="1"/>
    </xf>
    <xf numFmtId="0" fontId="0" fillId="19" borderId="1" xfId="0" applyFill="1" applyBorder="1" applyAlignment="1" applyProtection="1">
      <alignment horizontal="center" vertical="center" wrapText="1"/>
      <protection locked="0"/>
    </xf>
    <xf numFmtId="2" fontId="55" fillId="0" borderId="1" xfId="0" applyNumberFormat="1" applyFont="1" applyBorder="1" applyAlignment="1">
      <alignment vertical="center"/>
    </xf>
    <xf numFmtId="0" fontId="2" fillId="0" borderId="14" xfId="0" applyFont="1" applyBorder="1" applyAlignment="1" applyProtection="1">
      <alignment horizontal="center"/>
      <protection locked="0"/>
    </xf>
    <xf numFmtId="0" fontId="56" fillId="0" borderId="1" xfId="0" applyFont="1" applyBorder="1" applyAlignment="1" applyProtection="1">
      <alignment horizontal="center"/>
      <protection locked="0"/>
    </xf>
    <xf numFmtId="0" fontId="24" fillId="0" borderId="1" xfId="0" applyFont="1" applyBorder="1" applyAlignment="1" applyProtection="1">
      <alignment horizontal="left" vertical="center" wrapText="1"/>
      <protection locked="0"/>
    </xf>
    <xf numFmtId="171" fontId="55" fillId="0" borderId="1" xfId="0" applyNumberFormat="1" applyFont="1" applyBorder="1" applyAlignment="1" applyProtection="1">
      <alignment horizontal="center" wrapText="1"/>
      <protection locked="0"/>
    </xf>
    <xf numFmtId="0" fontId="56" fillId="0" borderId="1" xfId="0" applyFont="1" applyBorder="1" applyAlignment="1" applyProtection="1">
      <alignment horizontal="left" vertical="center"/>
      <protection locked="0"/>
    </xf>
    <xf numFmtId="0" fontId="56" fillId="0" borderId="1" xfId="0" applyFont="1" applyBorder="1" applyAlignment="1" applyProtection="1">
      <alignment horizontal="center" vertical="center"/>
      <protection locked="0"/>
    </xf>
    <xf numFmtId="0" fontId="2" fillId="0" borderId="1" xfId="0" applyFont="1" applyBorder="1" applyAlignment="1" applyProtection="1">
      <alignment horizontal="center"/>
      <protection locked="0"/>
    </xf>
    <xf numFmtId="1" fontId="7" fillId="0" borderId="1" xfId="0" applyNumberFormat="1" applyFont="1" applyBorder="1" applyAlignment="1">
      <alignment vertical="center" wrapText="1"/>
    </xf>
    <xf numFmtId="49" fontId="6" fillId="0" borderId="1" xfId="0" applyNumberFormat="1" applyFont="1" applyBorder="1" applyProtection="1">
      <protection locked="0"/>
    </xf>
    <xf numFmtId="1" fontId="6" fillId="0" borderId="1" xfId="0" applyNumberFormat="1" applyFont="1" applyBorder="1" applyProtection="1">
      <protection locked="0"/>
    </xf>
    <xf numFmtId="0" fontId="24" fillId="19" borderId="1" xfId="0" applyFont="1" applyFill="1" applyBorder="1" applyAlignment="1" applyProtection="1">
      <alignment horizontal="left" vertical="center" wrapText="1"/>
      <protection locked="0"/>
    </xf>
    <xf numFmtId="171" fontId="55" fillId="19" borderId="1" xfId="0" applyNumberFormat="1" applyFont="1" applyFill="1" applyBorder="1" applyAlignment="1" applyProtection="1">
      <alignment horizontal="center" wrapText="1"/>
      <protection locked="0"/>
    </xf>
    <xf numFmtId="171" fontId="0" fillId="19" borderId="1" xfId="0" applyNumberFormat="1" applyFill="1" applyBorder="1" applyAlignment="1" applyProtection="1">
      <alignment horizontal="center" vertical="center" wrapText="1"/>
      <protection locked="0"/>
    </xf>
    <xf numFmtId="0" fontId="6" fillId="0" borderId="1" xfId="0" applyFont="1" applyBorder="1" applyProtection="1">
      <protection locked="0"/>
    </xf>
    <xf numFmtId="0" fontId="9" fillId="0" borderId="1" xfId="0" applyFont="1" applyBorder="1"/>
    <xf numFmtId="171" fontId="7" fillId="0" borderId="1" xfId="0" applyNumberFormat="1" applyFont="1" applyBorder="1" applyAlignment="1">
      <alignment vertical="center" wrapText="1"/>
    </xf>
    <xf numFmtId="2" fontId="10" fillId="0" borderId="1" xfId="0" applyNumberFormat="1" applyFont="1" applyBorder="1" applyAlignment="1">
      <alignment vertical="center" wrapText="1"/>
    </xf>
    <xf numFmtId="164" fontId="55" fillId="0" borderId="1" xfId="4" applyFont="1" applyBorder="1" applyAlignment="1">
      <alignment vertical="center"/>
    </xf>
    <xf numFmtId="171" fontId="0" fillId="19" borderId="12" xfId="0" applyNumberFormat="1" applyFill="1" applyBorder="1" applyAlignment="1" applyProtection="1">
      <alignment horizontal="center" vertical="center" wrapText="1"/>
      <protection locked="0"/>
    </xf>
    <xf numFmtId="0" fontId="6" fillId="0" borderId="1" xfId="0" applyFont="1" applyBorder="1" applyAlignment="1" applyProtection="1">
      <alignment horizontal="left" wrapText="1"/>
      <protection locked="0"/>
    </xf>
    <xf numFmtId="0" fontId="57" fillId="0" borderId="1" xfId="0" applyFont="1" applyBorder="1" applyAlignment="1" applyProtection="1">
      <alignment horizontal="left" vertical="center" wrapText="1"/>
      <protection locked="0"/>
    </xf>
    <xf numFmtId="171" fontId="0" fillId="0" borderId="1" xfId="0" applyNumberFormat="1" applyBorder="1" applyAlignment="1" applyProtection="1">
      <alignment vertical="center" wrapText="1"/>
      <protection locked="0"/>
    </xf>
    <xf numFmtId="0" fontId="2" fillId="19" borderId="1" xfId="0" applyFont="1" applyFill="1" applyBorder="1" applyAlignment="1" applyProtection="1">
      <alignment horizontal="center"/>
      <protection locked="0"/>
    </xf>
    <xf numFmtId="171" fontId="56" fillId="0" borderId="1" xfId="0" applyNumberFormat="1" applyFont="1" applyBorder="1" applyAlignment="1" applyProtection="1">
      <alignment horizontal="center"/>
      <protection locked="0"/>
    </xf>
    <xf numFmtId="171" fontId="56" fillId="0" borderId="1" xfId="0" applyNumberFormat="1" applyFont="1" applyBorder="1" applyAlignment="1" applyProtection="1">
      <alignment horizontal="center" vertical="center"/>
      <protection locked="0"/>
    </xf>
    <xf numFmtId="1" fontId="6" fillId="19" borderId="1" xfId="0" applyNumberFormat="1" applyFont="1" applyFill="1" applyBorder="1" applyProtection="1">
      <protection locked="0"/>
    </xf>
    <xf numFmtId="0" fontId="0" fillId="0" borderId="1" xfId="0" applyBorder="1"/>
    <xf numFmtId="0" fontId="58" fillId="19" borderId="1" xfId="0" applyFont="1" applyFill="1" applyBorder="1" applyAlignment="1" applyProtection="1">
      <alignment horizontal="left" vertical="center"/>
      <protection locked="0"/>
    </xf>
    <xf numFmtId="171" fontId="56" fillId="19" borderId="1" xfId="0" applyNumberFormat="1" applyFont="1" applyFill="1" applyBorder="1" applyAlignment="1" applyProtection="1">
      <alignment horizontal="center"/>
      <protection locked="0"/>
    </xf>
    <xf numFmtId="0" fontId="58" fillId="0" borderId="1" xfId="0" applyFont="1" applyBorder="1" applyAlignment="1" applyProtection="1">
      <alignment horizontal="left" vertical="center"/>
      <protection locked="0"/>
    </xf>
    <xf numFmtId="0" fontId="56" fillId="19" borderId="1" xfId="0" applyFont="1" applyFill="1" applyBorder="1" applyAlignment="1" applyProtection="1">
      <alignment horizontal="center"/>
      <protection locked="0"/>
    </xf>
    <xf numFmtId="0" fontId="7" fillId="19" borderId="1" xfId="0" applyFont="1" applyFill="1" applyBorder="1" applyAlignment="1">
      <alignment vertical="center" wrapText="1"/>
    </xf>
    <xf numFmtId="2" fontId="55" fillId="19" borderId="1" xfId="0" applyNumberFormat="1" applyFont="1" applyFill="1" applyBorder="1" applyAlignment="1">
      <alignment vertical="center"/>
    </xf>
    <xf numFmtId="0" fontId="2" fillId="19" borderId="14" xfId="0" applyFont="1" applyFill="1" applyBorder="1" applyAlignment="1" applyProtection="1">
      <alignment horizontal="center"/>
      <protection locked="0"/>
    </xf>
    <xf numFmtId="0" fontId="56" fillId="19" borderId="1" xfId="0" applyFont="1" applyFill="1" applyBorder="1" applyAlignment="1" applyProtection="1">
      <alignment horizontal="left" vertical="center"/>
      <protection locked="0"/>
    </xf>
    <xf numFmtId="0" fontId="56" fillId="19" borderId="1" xfId="0" applyFont="1" applyFill="1" applyBorder="1" applyAlignment="1" applyProtection="1">
      <alignment horizontal="center" vertical="center"/>
      <protection locked="0"/>
    </xf>
    <xf numFmtId="0" fontId="6" fillId="19" borderId="1" xfId="0" applyFont="1" applyFill="1" applyBorder="1" applyAlignment="1" applyProtection="1">
      <alignment horizontal="left" wrapText="1"/>
      <protection locked="0"/>
    </xf>
    <xf numFmtId="1" fontId="7" fillId="19" borderId="1" xfId="0" applyNumberFormat="1" applyFont="1" applyFill="1" applyBorder="1" applyAlignment="1">
      <alignment vertical="center" wrapText="1"/>
    </xf>
    <xf numFmtId="49" fontId="6" fillId="19" borderId="1" xfId="0" applyNumberFormat="1" applyFont="1" applyFill="1" applyBorder="1" applyProtection="1">
      <protection locked="0"/>
    </xf>
    <xf numFmtId="0" fontId="0" fillId="19" borderId="1" xfId="0" applyFill="1" applyBorder="1"/>
    <xf numFmtId="0" fontId="0" fillId="19" borderId="1" xfId="0" applyFill="1" applyBorder="1" applyAlignment="1" applyProtection="1">
      <alignment horizontal="center" vertical="center"/>
      <protection locked="0"/>
    </xf>
    <xf numFmtId="0" fontId="0" fillId="0" borderId="1" xfId="0" applyBorder="1" applyAlignment="1" applyProtection="1">
      <alignment horizontal="center"/>
      <protection locked="0"/>
    </xf>
    <xf numFmtId="0" fontId="55" fillId="19" borderId="1" xfId="0" applyFont="1" applyFill="1" applyBorder="1" applyAlignment="1" applyProtection="1">
      <alignment horizontal="center" vertical="center" wrapText="1"/>
      <protection locked="0"/>
    </xf>
    <xf numFmtId="0" fontId="20" fillId="19" borderId="1" xfId="0" applyFont="1" applyFill="1" applyBorder="1" applyAlignment="1" applyProtection="1">
      <alignment horizontal="center" vertical="center" wrapText="1"/>
      <protection locked="0"/>
    </xf>
    <xf numFmtId="0" fontId="59" fillId="0" borderId="1" xfId="0" applyFont="1" applyBorder="1" applyAlignment="1" applyProtection="1">
      <alignment horizontal="center"/>
      <protection locked="0"/>
    </xf>
    <xf numFmtId="0" fontId="20" fillId="0" borderId="1" xfId="0" applyFont="1" applyBorder="1" applyAlignment="1" applyProtection="1">
      <alignment horizontal="left" vertical="center" wrapText="1"/>
      <protection locked="0"/>
    </xf>
    <xf numFmtId="171" fontId="21" fillId="0" borderId="1" xfId="0" applyNumberFormat="1" applyFont="1" applyBorder="1" applyAlignment="1" applyProtection="1">
      <alignment horizontal="center" wrapText="1"/>
      <protection locked="0"/>
    </xf>
    <xf numFmtId="0" fontId="59" fillId="0" borderId="1" xfId="0" applyFont="1" applyBorder="1" applyAlignment="1" applyProtection="1">
      <alignment horizontal="left"/>
      <protection locked="0"/>
    </xf>
    <xf numFmtId="0" fontId="59" fillId="0" borderId="1" xfId="0" applyFont="1" applyBorder="1" applyAlignment="1" applyProtection="1">
      <alignment horizontal="left" vertical="center"/>
      <protection locked="0"/>
    </xf>
    <xf numFmtId="171" fontId="59" fillId="0" borderId="1" xfId="0" applyNumberFormat="1" applyFont="1" applyBorder="1" applyAlignment="1" applyProtection="1">
      <alignment horizontal="center"/>
      <protection locked="0"/>
    </xf>
    <xf numFmtId="0" fontId="56" fillId="0" borderId="1" xfId="0" applyFont="1" applyBorder="1" applyAlignment="1" applyProtection="1">
      <alignment horizontal="left"/>
      <protection locked="0"/>
    </xf>
    <xf numFmtId="0" fontId="60" fillId="19" borderId="1" xfId="0" applyFont="1" applyFill="1" applyBorder="1" applyAlignment="1" applyProtection="1">
      <alignment horizontal="center"/>
      <protection locked="0"/>
    </xf>
    <xf numFmtId="0" fontId="0" fillId="0" borderId="1" xfId="0" applyBorder="1" applyAlignment="1">
      <alignment horizontal="left"/>
    </xf>
    <xf numFmtId="171" fontId="0" fillId="0" borderId="1" xfId="0" applyNumberFormat="1" applyBorder="1" applyAlignment="1">
      <alignment horizontal="center"/>
    </xf>
    <xf numFmtId="0" fontId="60" fillId="19" borderId="1" xfId="0" applyFont="1" applyFill="1" applyBorder="1" applyAlignment="1" applyProtection="1">
      <alignment horizontal="left" vertical="center"/>
      <protection locked="0"/>
    </xf>
    <xf numFmtId="0" fontId="60" fillId="19" borderId="1" xfId="0" applyFont="1" applyFill="1" applyBorder="1" applyAlignment="1" applyProtection="1">
      <alignment horizontal="center" vertical="center"/>
      <protection locked="0"/>
    </xf>
    <xf numFmtId="0" fontId="59" fillId="19" borderId="1" xfId="0" applyFont="1" applyFill="1" applyBorder="1" applyAlignment="1" applyProtection="1">
      <alignment horizontal="center"/>
      <protection locked="0"/>
    </xf>
    <xf numFmtId="0" fontId="0" fillId="19" borderId="1" xfId="0" applyFill="1" applyBorder="1" applyAlignment="1">
      <alignment horizontal="left"/>
    </xf>
    <xf numFmtId="171" fontId="61" fillId="19" borderId="1" xfId="0" applyNumberFormat="1" applyFont="1" applyFill="1" applyBorder="1" applyAlignment="1" applyProtection="1">
      <alignment horizontal="center" vertical="center"/>
      <protection locked="0"/>
    </xf>
    <xf numFmtId="0" fontId="62" fillId="0" borderId="1" xfId="0" applyFont="1" applyBorder="1" applyAlignment="1" applyProtection="1">
      <alignment horizontal="center"/>
      <protection locked="0"/>
    </xf>
    <xf numFmtId="1" fontId="0" fillId="0" borderId="1" xfId="0" applyNumberFormat="1" applyBorder="1" applyAlignment="1">
      <alignment horizontal="left"/>
    </xf>
    <xf numFmtId="0" fontId="62" fillId="0" borderId="1" xfId="0" applyFont="1" applyBorder="1" applyProtection="1">
      <protection locked="0"/>
    </xf>
    <xf numFmtId="0" fontId="62" fillId="0" borderId="1" xfId="0" applyFont="1" applyBorder="1" applyAlignment="1" applyProtection="1">
      <alignment horizontal="left"/>
      <protection locked="0"/>
    </xf>
    <xf numFmtId="171" fontId="62" fillId="0" borderId="1" xfId="0" applyNumberFormat="1" applyFont="1" applyBorder="1" applyAlignment="1" applyProtection="1">
      <alignment horizontal="left" wrapText="1"/>
      <protection locked="0"/>
    </xf>
    <xf numFmtId="0" fontId="62" fillId="19" borderId="1" xfId="0" applyFont="1" applyFill="1" applyBorder="1" applyAlignment="1" applyProtection="1">
      <alignment horizontal="left"/>
      <protection locked="0"/>
    </xf>
    <xf numFmtId="0" fontId="62" fillId="19" borderId="1" xfId="0" applyFont="1" applyFill="1" applyBorder="1" applyProtection="1">
      <protection locked="0"/>
    </xf>
    <xf numFmtId="171" fontId="62" fillId="19" borderId="1" xfId="0" applyNumberFormat="1" applyFont="1" applyFill="1" applyBorder="1" applyAlignment="1" applyProtection="1">
      <alignment horizontal="left" wrapText="1"/>
      <protection locked="0"/>
    </xf>
    <xf numFmtId="0" fontId="62" fillId="19" borderId="1" xfId="0" applyFont="1" applyFill="1" applyBorder="1" applyAlignment="1" applyProtection="1">
      <alignment horizontal="center"/>
      <protection locked="0"/>
    </xf>
    <xf numFmtId="0" fontId="0" fillId="0" borderId="1" xfId="0" applyBorder="1" applyAlignment="1">
      <alignment horizontal="center"/>
    </xf>
    <xf numFmtId="49" fontId="0" fillId="0" borderId="1" xfId="0" applyNumberFormat="1" applyBorder="1"/>
    <xf numFmtId="0" fontId="7" fillId="0" borderId="1" xfId="0" applyFont="1" applyBorder="1" applyAlignment="1">
      <alignment horizontal="center" vertical="center" wrapText="1"/>
    </xf>
    <xf numFmtId="0" fontId="0" fillId="0" borderId="23" xfId="0" applyBorder="1" applyAlignment="1">
      <alignment horizontal="center"/>
    </xf>
    <xf numFmtId="0" fontId="55" fillId="0" borderId="1" xfId="0" applyFont="1" applyBorder="1" applyAlignment="1">
      <alignment vertical="center"/>
    </xf>
    <xf numFmtId="0" fontId="63" fillId="0" borderId="1" xfId="0" applyFont="1" applyBorder="1" applyAlignment="1">
      <alignment horizontal="left" vertical="top"/>
    </xf>
    <xf numFmtId="0" fontId="63" fillId="0" borderId="1" xfId="0" applyFont="1" applyBorder="1" applyAlignment="1">
      <alignment horizontal="left"/>
    </xf>
    <xf numFmtId="49" fontId="63" fillId="0" borderId="1" xfId="0" applyNumberFormat="1" applyFont="1" applyBorder="1" applyAlignment="1">
      <alignment horizontal="left"/>
    </xf>
    <xf numFmtId="2" fontId="7" fillId="0" borderId="1" xfId="0" applyNumberFormat="1" applyFont="1" applyBorder="1" applyAlignment="1">
      <alignment vertical="center" wrapText="1"/>
    </xf>
    <xf numFmtId="0" fontId="58" fillId="0" borderId="1" xfId="0" applyFont="1" applyBorder="1" applyAlignment="1">
      <alignment horizontal="center" vertical="center" wrapText="1"/>
    </xf>
    <xf numFmtId="2" fontId="7" fillId="19" borderId="1" xfId="0" applyNumberFormat="1" applyFont="1" applyFill="1" applyBorder="1" applyAlignment="1">
      <alignment vertical="center" wrapText="1"/>
    </xf>
    <xf numFmtId="171" fontId="7" fillId="19" borderId="1" xfId="0" applyNumberFormat="1" applyFont="1" applyFill="1" applyBorder="1" applyAlignment="1">
      <alignment vertical="center" wrapText="1"/>
    </xf>
    <xf numFmtId="0" fontId="7" fillId="19" borderId="1" xfId="0" applyFont="1" applyFill="1" applyBorder="1" applyAlignment="1">
      <alignment horizontal="center" vertical="center" wrapText="1"/>
    </xf>
    <xf numFmtId="0" fontId="9" fillId="19" borderId="1" xfId="0" applyFont="1" applyFill="1" applyBorder="1"/>
    <xf numFmtId="171" fontId="6" fillId="0" borderId="1" xfId="0" applyNumberFormat="1" applyFont="1" applyBorder="1" applyAlignment="1" applyProtection="1">
      <alignment horizontal="right" wrapText="1"/>
      <protection locked="0"/>
    </xf>
    <xf numFmtId="171" fontId="6" fillId="19" borderId="1" xfId="0" applyNumberFormat="1" applyFont="1" applyFill="1" applyBorder="1" applyProtection="1">
      <protection locked="0"/>
    </xf>
    <xf numFmtId="49" fontId="7" fillId="19" borderId="1" xfId="0" applyNumberFormat="1" applyFont="1" applyFill="1" applyBorder="1" applyAlignment="1">
      <alignment vertical="center" wrapText="1"/>
    </xf>
    <xf numFmtId="2" fontId="6" fillId="19" borderId="1" xfId="0" applyNumberFormat="1" applyFont="1" applyFill="1" applyBorder="1" applyAlignment="1">
      <alignment vertical="center" wrapText="1"/>
    </xf>
    <xf numFmtId="0" fontId="6" fillId="19" borderId="1" xfId="0" applyFont="1" applyFill="1" applyBorder="1" applyAlignment="1">
      <alignment vertical="center" wrapText="1"/>
    </xf>
    <xf numFmtId="171" fontId="6" fillId="19" borderId="1" xfId="0" applyNumberFormat="1" applyFont="1" applyFill="1" applyBorder="1" applyAlignment="1">
      <alignment vertical="center" wrapText="1"/>
    </xf>
    <xf numFmtId="0" fontId="6" fillId="19" borderId="1" xfId="0" applyFont="1" applyFill="1" applyBorder="1" applyAlignment="1">
      <alignment horizontal="center" vertical="center" wrapText="1"/>
    </xf>
    <xf numFmtId="49" fontId="7" fillId="0" borderId="1" xfId="0" applyNumberFormat="1" applyFont="1" applyBorder="1" applyAlignment="1">
      <alignment vertical="center" wrapText="1"/>
    </xf>
    <xf numFmtId="171" fontId="6" fillId="0" borderId="1" xfId="0" applyNumberFormat="1" applyFont="1" applyBorder="1" applyProtection="1">
      <protection locked="0"/>
    </xf>
    <xf numFmtId="0" fontId="58" fillId="19" borderId="1" xfId="0" applyFont="1" applyFill="1" applyBorder="1" applyAlignment="1">
      <alignment horizontal="center" vertical="center" wrapText="1"/>
    </xf>
    <xf numFmtId="172" fontId="7" fillId="0" borderId="1" xfId="0" applyNumberFormat="1" applyFont="1" applyBorder="1" applyAlignment="1">
      <alignment vertical="center" wrapText="1"/>
    </xf>
    <xf numFmtId="0" fontId="7" fillId="0" borderId="1" xfId="0" applyFont="1" applyBorder="1" applyAlignment="1">
      <alignment horizontal="center" vertical="top"/>
    </xf>
    <xf numFmtId="170" fontId="6" fillId="0" borderId="1" xfId="0" applyNumberFormat="1" applyFont="1" applyBorder="1"/>
    <xf numFmtId="164" fontId="55" fillId="20" borderId="14" xfId="4" applyFont="1" applyFill="1" applyBorder="1" applyAlignment="1">
      <alignment horizontal="center" vertical="center"/>
    </xf>
    <xf numFmtId="3" fontId="55" fillId="0" borderId="1" xfId="0" applyNumberFormat="1" applyFont="1" applyBorder="1" applyAlignment="1">
      <alignment vertical="center"/>
    </xf>
    <xf numFmtId="0" fontId="10" fillId="0" borderId="23" xfId="0" applyFont="1" applyBorder="1" applyAlignment="1">
      <alignment vertical="center" wrapText="1"/>
    </xf>
    <xf numFmtId="0" fontId="10" fillId="0" borderId="1" xfId="0" applyFont="1" applyBorder="1" applyAlignment="1">
      <alignment vertical="center" wrapText="1"/>
    </xf>
    <xf numFmtId="0" fontId="10" fillId="0" borderId="14" xfId="0" applyFont="1" applyBorder="1"/>
    <xf numFmtId="0" fontId="12" fillId="0" borderId="1" xfId="0" applyFont="1" applyBorder="1" applyAlignment="1">
      <alignment horizontal="right" vertical="center"/>
    </xf>
    <xf numFmtId="2" fontId="10" fillId="0" borderId="14" xfId="0" applyNumberFormat="1" applyFont="1" applyBorder="1" applyAlignment="1">
      <alignment vertical="center" wrapText="1"/>
    </xf>
    <xf numFmtId="2" fontId="55" fillId="0" borderId="14" xfId="0" applyNumberFormat="1" applyFont="1" applyBorder="1" applyAlignment="1">
      <alignment vertical="center"/>
    </xf>
    <xf numFmtId="164" fontId="55" fillId="0" borderId="14" xfId="4" applyFont="1" applyBorder="1" applyAlignment="1">
      <alignment vertical="center"/>
    </xf>
    <xf numFmtId="2" fontId="10" fillId="0" borderId="23" xfId="0" applyNumberFormat="1" applyFont="1" applyBorder="1" applyAlignment="1">
      <alignment vertical="center" wrapText="1"/>
    </xf>
    <xf numFmtId="0" fontId="10" fillId="0" borderId="23" xfId="0" applyFont="1" applyBorder="1"/>
    <xf numFmtId="1" fontId="10" fillId="0" borderId="15" xfId="0" applyNumberFormat="1" applyFont="1" applyBorder="1"/>
    <xf numFmtId="0" fontId="0" fillId="0" borderId="14" xfId="0" applyBorder="1"/>
    <xf numFmtId="0" fontId="55" fillId="0" borderId="12" xfId="0" applyFont="1" applyBorder="1" applyAlignment="1">
      <alignment vertical="center"/>
    </xf>
    <xf numFmtId="2" fontId="7" fillId="0" borderId="14" xfId="0" applyNumberFormat="1" applyFont="1" applyBorder="1" applyAlignment="1">
      <alignment vertical="center" wrapText="1"/>
    </xf>
    <xf numFmtId="0" fontId="55" fillId="0" borderId="1" xfId="0" applyFont="1" applyBorder="1" applyAlignment="1">
      <alignment horizontal="right" vertical="center"/>
    </xf>
    <xf numFmtId="1" fontId="7" fillId="0" borderId="14" xfId="0" applyNumberFormat="1" applyFont="1" applyBorder="1" applyAlignment="1">
      <alignment vertical="center" wrapText="1"/>
    </xf>
    <xf numFmtId="2" fontId="7" fillId="19" borderId="14" xfId="0" applyNumberFormat="1" applyFont="1" applyFill="1" applyBorder="1" applyAlignment="1">
      <alignment vertical="center" wrapText="1"/>
    </xf>
    <xf numFmtId="2" fontId="6" fillId="19" borderId="14" xfId="0" applyNumberFormat="1" applyFont="1" applyFill="1" applyBorder="1" applyAlignment="1">
      <alignment vertical="center" wrapText="1"/>
    </xf>
    <xf numFmtId="172" fontId="7" fillId="0" borderId="14" xfId="0" applyNumberFormat="1" applyFont="1" applyBorder="1" applyAlignment="1">
      <alignment vertical="center" wrapText="1"/>
    </xf>
    <xf numFmtId="164" fontId="55" fillId="20" borderId="1" xfId="4" applyFont="1" applyFill="1" applyBorder="1" applyAlignment="1">
      <alignment horizontal="center" vertical="center"/>
    </xf>
    <xf numFmtId="166" fontId="64" fillId="20" borderId="1" xfId="0" applyNumberFormat="1" applyFont="1" applyFill="1" applyBorder="1" applyAlignment="1">
      <alignment vertical="center"/>
    </xf>
    <xf numFmtId="166" fontId="65" fillId="20" borderId="1" xfId="0" applyNumberFormat="1" applyFont="1" applyFill="1" applyBorder="1" applyAlignment="1">
      <alignment vertical="center"/>
    </xf>
    <xf numFmtId="166" fontId="55" fillId="20" borderId="1" xfId="0" applyNumberFormat="1" applyFont="1" applyFill="1" applyBorder="1" applyAlignment="1">
      <alignment vertical="center"/>
    </xf>
    <xf numFmtId="166" fontId="0" fillId="0" borderId="0" xfId="0" applyNumberFormat="1"/>
    <xf numFmtId="166" fontId="64" fillId="0" borderId="0" xfId="0" applyNumberFormat="1" applyFont="1" applyAlignment="1">
      <alignment vertical="center"/>
    </xf>
    <xf numFmtId="166" fontId="33" fillId="20" borderId="1" xfId="0" applyNumberFormat="1" applyFont="1" applyFill="1" applyBorder="1" applyAlignment="1">
      <alignment vertical="center" wrapText="1"/>
    </xf>
    <xf numFmtId="166" fontId="0" fillId="0" borderId="1" xfId="0" applyNumberFormat="1" applyBorder="1"/>
    <xf numFmtId="166" fontId="55" fillId="0" borderId="1" xfId="0" applyNumberFormat="1" applyFont="1" applyBorder="1" applyAlignment="1">
      <alignment vertical="center"/>
    </xf>
    <xf numFmtId="166" fontId="0" fillId="19" borderId="1" xfId="0" applyNumberFormat="1" applyFill="1" applyBorder="1"/>
    <xf numFmtId="166" fontId="55" fillId="19" borderId="1" xfId="0" applyNumberFormat="1" applyFont="1" applyFill="1" applyBorder="1" applyAlignment="1">
      <alignment vertical="center"/>
    </xf>
    <xf numFmtId="0" fontId="1" fillId="0" borderId="1" xfId="0" applyFont="1" applyBorder="1" applyAlignment="1" applyProtection="1">
      <alignment horizontal="center"/>
      <protection locked="0"/>
    </xf>
    <xf numFmtId="49" fontId="0" fillId="19" borderId="1" xfId="0" applyNumberFormat="1" applyFill="1" applyBorder="1" applyAlignment="1" applyProtection="1">
      <alignment horizontal="center" vertical="center" wrapText="1"/>
      <protection locked="0"/>
    </xf>
    <xf numFmtId="49" fontId="56" fillId="0" borderId="1" xfId="0" applyNumberFormat="1" applyFont="1" applyBorder="1" applyAlignment="1" applyProtection="1">
      <alignment horizontal="center"/>
      <protection locked="0"/>
    </xf>
    <xf numFmtId="0" fontId="62" fillId="0" borderId="1" xfId="0" applyFont="1" applyBorder="1" applyAlignment="1" applyProtection="1">
      <alignment horizontal="center" wrapText="1"/>
      <protection locked="0"/>
    </xf>
    <xf numFmtId="0" fontId="1" fillId="0" borderId="1" xfId="0" applyFont="1" applyBorder="1" applyAlignment="1" applyProtection="1">
      <alignment horizontal="center" wrapText="1"/>
      <protection locked="0"/>
    </xf>
    <xf numFmtId="1" fontId="0" fillId="0" borderId="1" xfId="0" applyNumberFormat="1" applyBorder="1" applyAlignment="1">
      <alignment wrapText="1"/>
    </xf>
    <xf numFmtId="0" fontId="0" fillId="0" borderId="1" xfId="0" applyBorder="1" applyAlignment="1">
      <alignment horizontal="center" wrapText="1"/>
    </xf>
    <xf numFmtId="0" fontId="66" fillId="0" borderId="1" xfId="0" applyFont="1" applyBorder="1" applyAlignment="1">
      <alignment horizontal="center" vertical="center" wrapText="1"/>
    </xf>
    <xf numFmtId="0" fontId="66" fillId="0" borderId="12" xfId="0" applyFont="1" applyBorder="1" applyAlignment="1">
      <alignment horizontal="center" vertical="center" wrapText="1"/>
    </xf>
    <xf numFmtId="0" fontId="66" fillId="0" borderId="15" xfId="0" applyFont="1" applyBorder="1" applyAlignment="1">
      <alignment horizontal="center" vertical="center" wrapText="1"/>
    </xf>
    <xf numFmtId="0" fontId="0" fillId="0" borderId="12" xfId="0" applyBorder="1" applyAlignment="1">
      <alignment horizontal="center"/>
    </xf>
    <xf numFmtId="0" fontId="0" fillId="0" borderId="15" xfId="0" applyBorder="1" applyAlignment="1">
      <alignment horizontal="center"/>
    </xf>
    <xf numFmtId="1" fontId="0" fillId="0" borderId="1" xfId="0" applyNumberFormat="1" applyBorder="1" applyAlignment="1">
      <alignment horizontal="center" wrapText="1"/>
    </xf>
    <xf numFmtId="1" fontId="0" fillId="0" borderId="1" xfId="0" applyNumberFormat="1" applyBorder="1" applyAlignment="1">
      <alignment horizontal="center"/>
    </xf>
    <xf numFmtId="0" fontId="67" fillId="0" borderId="1" xfId="0" applyFont="1" applyBorder="1" applyAlignment="1" applyProtection="1">
      <alignment horizontal="left" vertical="center"/>
      <protection locked="0"/>
    </xf>
    <xf numFmtId="1" fontId="67" fillId="0" borderId="1" xfId="0" applyNumberFormat="1" applyFont="1" applyBorder="1" applyAlignment="1" applyProtection="1">
      <alignment horizontal="center" vertical="center"/>
      <protection locked="0"/>
    </xf>
    <xf numFmtId="1" fontId="0" fillId="0" borderId="0" xfId="0" applyNumberFormat="1" applyAlignment="1">
      <alignment horizontal="center"/>
    </xf>
    <xf numFmtId="0" fontId="68" fillId="0" borderId="12" xfId="0" applyFont="1" applyBorder="1" applyAlignment="1">
      <alignment horizontal="center" vertical="center" wrapText="1"/>
    </xf>
    <xf numFmtId="0" fontId="68" fillId="0" borderId="15" xfId="0" applyFont="1" applyBorder="1" applyAlignment="1">
      <alignment horizontal="center" vertical="center" wrapText="1"/>
    </xf>
    <xf numFmtId="1" fontId="0" fillId="0" borderId="12" xfId="0" applyNumberFormat="1" applyBorder="1" applyAlignment="1">
      <alignment horizontal="center" wrapText="1"/>
    </xf>
    <xf numFmtId="1" fontId="0" fillId="0" borderId="32" xfId="0" applyNumberFormat="1" applyBorder="1" applyAlignment="1">
      <alignment horizontal="center" wrapText="1"/>
    </xf>
    <xf numFmtId="1" fontId="0" fillId="0" borderId="15" xfId="0" applyNumberFormat="1" applyBorder="1" applyAlignment="1">
      <alignment horizontal="center" wrapText="1"/>
    </xf>
    <xf numFmtId="14" fontId="7" fillId="0" borderId="1" xfId="0" applyNumberFormat="1" applyFont="1" applyBorder="1" applyAlignment="1">
      <alignment horizontal="center" vertical="center" wrapText="1"/>
    </xf>
    <xf numFmtId="0" fontId="62" fillId="19" borderId="1" xfId="0" applyFont="1" applyFill="1" applyBorder="1" applyAlignment="1" applyProtection="1">
      <alignment horizontal="center" wrapText="1"/>
      <protection locked="0"/>
    </xf>
    <xf numFmtId="0" fontId="56" fillId="0" borderId="15" xfId="0" applyFont="1" applyBorder="1" applyAlignment="1" applyProtection="1">
      <alignment horizontal="center"/>
      <protection locked="0"/>
    </xf>
    <xf numFmtId="0" fontId="62" fillId="0" borderId="15" xfId="0" applyFont="1" applyBorder="1" applyAlignment="1" applyProtection="1">
      <alignment horizontal="center" wrapText="1"/>
      <protection locked="0"/>
    </xf>
    <xf numFmtId="1" fontId="67" fillId="0" borderId="15" xfId="0" applyNumberFormat="1" applyFont="1" applyBorder="1" applyAlignment="1" applyProtection="1">
      <alignment horizontal="center" vertical="center"/>
      <protection locked="0"/>
    </xf>
    <xf numFmtId="0" fontId="1" fillId="0" borderId="15" xfId="0" applyFont="1" applyBorder="1" applyAlignment="1" applyProtection="1">
      <alignment horizontal="center" wrapText="1"/>
      <protection locked="0"/>
    </xf>
    <xf numFmtId="14" fontId="7" fillId="0" borderId="15" xfId="0" applyNumberFormat="1" applyFont="1" applyBorder="1" applyAlignment="1">
      <alignment horizontal="center" vertical="center" wrapText="1"/>
    </xf>
    <xf numFmtId="49" fontId="0" fillId="0" borderId="1" xfId="0" applyNumberFormat="1" applyBorder="1" applyAlignment="1">
      <alignment horizontal="center"/>
    </xf>
    <xf numFmtId="0" fontId="7" fillId="0" borderId="1" xfId="0" applyFont="1" applyBorder="1" applyAlignment="1" applyProtection="1">
      <alignment vertical="center" wrapText="1"/>
    </xf>
    <xf numFmtId="0" fontId="69" fillId="0" borderId="1" xfId="0" applyFont="1" applyBorder="1" applyAlignment="1" applyProtection="1">
      <alignment vertical="center" wrapText="1"/>
    </xf>
    <xf numFmtId="0" fontId="69" fillId="0" borderId="14" xfId="0" applyFont="1" applyBorder="1" applyAlignment="1" applyProtection="1">
      <alignment horizontal="center"/>
      <protection locked="0"/>
    </xf>
    <xf numFmtId="1" fontId="69" fillId="0" borderId="1" xfId="0" applyNumberFormat="1" applyFont="1" applyBorder="1" applyAlignment="1" applyProtection="1">
      <alignment horizontal="center"/>
      <protection locked="0"/>
    </xf>
    <xf numFmtId="0" fontId="69" fillId="19" borderId="1" xfId="0" applyFont="1" applyFill="1" applyBorder="1" applyAlignment="1" applyProtection="1">
      <alignment horizontal="left" vertical="center" wrapText="1"/>
      <protection locked="0"/>
    </xf>
    <xf numFmtId="0" fontId="69" fillId="0" borderId="1" xfId="0" applyFont="1" applyFill="1" applyBorder="1" applyAlignment="1" applyProtection="1">
      <alignment horizontal="left" vertical="center" wrapText="1"/>
      <protection locked="0"/>
    </xf>
    <xf numFmtId="1" fontId="69" fillId="0" borderId="1" xfId="0" applyNumberFormat="1" applyFont="1" applyBorder="1" applyAlignment="1" applyProtection="1">
      <alignment horizontal="center" vertical="center"/>
      <protection locked="0"/>
    </xf>
    <xf numFmtId="0" fontId="69" fillId="0" borderId="1" xfId="0" applyFont="1" applyFill="1" applyBorder="1" applyAlignment="1" applyProtection="1">
      <alignment horizontal="center"/>
      <protection locked="0"/>
    </xf>
    <xf numFmtId="0" fontId="69" fillId="0" borderId="1" xfId="0" applyFont="1" applyFill="1" applyBorder="1" applyAlignment="1" applyProtection="1">
      <alignment horizontal="left" wrapText="1"/>
      <protection locked="0"/>
    </xf>
    <xf numFmtId="1" fontId="69" fillId="0" borderId="1" xfId="0" applyNumberFormat="1" applyFont="1" applyBorder="1" applyAlignment="1" applyProtection="1">
      <alignment vertical="center" wrapText="1"/>
    </xf>
    <xf numFmtId="49" fontId="70" fillId="0" borderId="1" xfId="0" applyNumberFormat="1" applyFont="1" applyBorder="1" applyAlignment="1" applyProtection="1">
      <protection locked="0"/>
    </xf>
    <xf numFmtId="1" fontId="70" fillId="0" borderId="1" xfId="0" applyNumberFormat="1" applyFont="1" applyBorder="1" applyAlignment="1" applyProtection="1">
      <protection locked="0"/>
    </xf>
    <xf numFmtId="0" fontId="70" fillId="0" borderId="1" xfId="0" applyNumberFormat="1" applyFont="1" applyBorder="1" applyAlignment="1" applyProtection="1"/>
    <xf numFmtId="0" fontId="71" fillId="0" borderId="1" xfId="0" applyFont="1" applyBorder="1" applyProtection="1"/>
    <xf numFmtId="170" fontId="70" fillId="0" borderId="1" xfId="0" applyNumberFormat="1" applyFont="1" applyBorder="1" applyAlignment="1" applyProtection="1"/>
    <xf numFmtId="0" fontId="70" fillId="0" borderId="14" xfId="0" applyFont="1" applyBorder="1" applyAlignment="1" applyProtection="1"/>
    <xf numFmtId="168" fontId="70" fillId="0" borderId="11" xfId="0" applyNumberFormat="1" applyFont="1" applyBorder="1" applyAlignment="1" applyProtection="1"/>
    <xf numFmtId="0" fontId="69" fillId="19" borderId="12" xfId="0" applyFont="1" applyFill="1" applyBorder="1" applyAlignment="1" applyProtection="1">
      <alignment horizontal="center" vertical="center" wrapText="1"/>
      <protection locked="0"/>
    </xf>
    <xf numFmtId="0" fontId="69" fillId="19" borderId="12" xfId="0" applyFont="1" applyFill="1" applyBorder="1" applyAlignment="1" applyProtection="1">
      <alignment horizontal="left" vertical="center" wrapText="1"/>
      <protection locked="0"/>
    </xf>
    <xf numFmtId="0" fontId="70" fillId="0" borderId="12" xfId="0" applyNumberFormat="1" applyFont="1" applyBorder="1" applyAlignment="1" applyProtection="1"/>
    <xf numFmtId="0" fontId="71" fillId="0" borderId="12" xfId="0" applyFont="1" applyBorder="1" applyProtection="1"/>
    <xf numFmtId="0" fontId="69" fillId="19" borderId="1" xfId="0" applyFont="1" applyFill="1" applyBorder="1" applyAlignment="1" applyProtection="1">
      <alignment vertical="center" wrapText="1"/>
    </xf>
    <xf numFmtId="0" fontId="69" fillId="19" borderId="14" xfId="0" applyFont="1" applyFill="1" applyBorder="1" applyAlignment="1" applyProtection="1">
      <alignment horizontal="center"/>
      <protection locked="0"/>
    </xf>
    <xf numFmtId="1" fontId="69" fillId="19" borderId="1" xfId="0" applyNumberFormat="1" applyFont="1" applyFill="1" applyBorder="1" applyAlignment="1" applyProtection="1">
      <alignment horizontal="center"/>
      <protection locked="0"/>
    </xf>
    <xf numFmtId="49" fontId="0" fillId="19" borderId="1" xfId="0" applyNumberFormat="1" applyFill="1" applyBorder="1"/>
    <xf numFmtId="1" fontId="69" fillId="19" borderId="1" xfId="0" applyNumberFormat="1" applyFont="1" applyFill="1" applyBorder="1" applyAlignment="1" applyProtection="1">
      <alignment horizontal="center" vertical="center"/>
      <protection locked="0"/>
    </xf>
    <xf numFmtId="0" fontId="69" fillId="19" borderId="1" xfId="0" applyFont="1" applyFill="1" applyBorder="1" applyAlignment="1" applyProtection="1">
      <alignment horizontal="center"/>
      <protection locked="0"/>
    </xf>
    <xf numFmtId="0" fontId="69" fillId="19" borderId="1" xfId="0" applyFont="1" applyFill="1" applyBorder="1" applyAlignment="1" applyProtection="1">
      <alignment horizontal="left" wrapText="1"/>
      <protection locked="0"/>
    </xf>
    <xf numFmtId="1" fontId="69" fillId="19" borderId="1" xfId="0" applyNumberFormat="1" applyFont="1" applyFill="1" applyBorder="1" applyAlignment="1" applyProtection="1">
      <alignment vertical="center" wrapText="1"/>
    </xf>
    <xf numFmtId="49" fontId="70" fillId="19" borderId="1" xfId="0" applyNumberFormat="1" applyFont="1" applyFill="1" applyBorder="1" applyAlignment="1" applyProtection="1">
      <protection locked="0"/>
    </xf>
    <xf numFmtId="1" fontId="70" fillId="19" borderId="1" xfId="0" applyNumberFormat="1" applyFont="1" applyFill="1" applyBorder="1" applyAlignment="1" applyProtection="1">
      <protection locked="0"/>
    </xf>
    <xf numFmtId="0" fontId="70" fillId="19" borderId="1" xfId="0" applyNumberFormat="1" applyFont="1" applyFill="1" applyBorder="1" applyAlignment="1" applyProtection="1"/>
    <xf numFmtId="0" fontId="71" fillId="19" borderId="1" xfId="0" applyFont="1" applyFill="1" applyBorder="1" applyProtection="1"/>
    <xf numFmtId="170" fontId="70" fillId="19" borderId="1" xfId="0" applyNumberFormat="1" applyFont="1" applyFill="1" applyBorder="1" applyAlignment="1" applyProtection="1"/>
    <xf numFmtId="0" fontId="70" fillId="19" borderId="14" xfId="0" applyFont="1" applyFill="1" applyBorder="1" applyAlignment="1" applyProtection="1"/>
    <xf numFmtId="168" fontId="70" fillId="19" borderId="11" xfId="0" applyNumberFormat="1" applyFont="1" applyFill="1" applyBorder="1" applyAlignment="1" applyProtection="1"/>
    <xf numFmtId="0" fontId="6" fillId="19" borderId="0" xfId="0" applyFont="1" applyFill="1" applyProtection="1">
      <protection locked="0"/>
    </xf>
    <xf numFmtId="49" fontId="0" fillId="21" borderId="1" xfId="0" applyNumberFormat="1" applyFill="1" applyBorder="1"/>
    <xf numFmtId="0" fontId="0" fillId="21" borderId="1" xfId="0" applyFill="1" applyBorder="1"/>
    <xf numFmtId="0" fontId="69" fillId="19" borderId="12" xfId="0" applyFont="1" applyFill="1" applyBorder="1" applyAlignment="1" applyProtection="1">
      <alignment vertical="center" wrapText="1"/>
    </xf>
    <xf numFmtId="1" fontId="69" fillId="19" borderId="12" xfId="0" applyNumberFormat="1" applyFont="1" applyFill="1" applyBorder="1" applyAlignment="1" applyProtection="1">
      <alignment horizontal="center" vertical="center"/>
      <protection locked="0"/>
    </xf>
    <xf numFmtId="0" fontId="69" fillId="19" borderId="12" xfId="0" applyFont="1" applyFill="1" applyBorder="1" applyAlignment="1" applyProtection="1">
      <alignment horizontal="center"/>
      <protection locked="0"/>
    </xf>
    <xf numFmtId="0" fontId="69" fillId="19" borderId="12" xfId="0" applyFont="1" applyFill="1" applyBorder="1" applyAlignment="1" applyProtection="1">
      <alignment horizontal="left" wrapText="1"/>
      <protection locked="0"/>
    </xf>
    <xf numFmtId="1" fontId="69" fillId="19" borderId="12" xfId="0" applyNumberFormat="1" applyFont="1" applyFill="1" applyBorder="1" applyAlignment="1" applyProtection="1">
      <alignment vertical="center" wrapText="1"/>
    </xf>
    <xf numFmtId="49" fontId="70" fillId="19" borderId="12" xfId="0" applyNumberFormat="1" applyFont="1" applyFill="1" applyBorder="1" applyAlignment="1" applyProtection="1">
      <protection locked="0"/>
    </xf>
    <xf numFmtId="1" fontId="70" fillId="19" borderId="12" xfId="0" applyNumberFormat="1" applyFont="1" applyFill="1" applyBorder="1" applyAlignment="1" applyProtection="1">
      <protection locked="0"/>
    </xf>
    <xf numFmtId="0" fontId="70" fillId="19" borderId="12" xfId="0" applyNumberFormat="1" applyFont="1" applyFill="1" applyBorder="1" applyAlignment="1" applyProtection="1"/>
    <xf numFmtId="0" fontId="71" fillId="19" borderId="12" xfId="0" applyFont="1" applyFill="1" applyBorder="1" applyProtection="1"/>
    <xf numFmtId="170" fontId="70" fillId="19" borderId="12" xfId="0" applyNumberFormat="1" applyFont="1" applyFill="1" applyBorder="1" applyAlignment="1" applyProtection="1"/>
    <xf numFmtId="0" fontId="70" fillId="19" borderId="21" xfId="0" applyFont="1" applyFill="1" applyBorder="1" applyAlignment="1" applyProtection="1"/>
    <xf numFmtId="168" fontId="70" fillId="19" borderId="2" xfId="0" applyNumberFormat="1" applyFont="1" applyFill="1" applyBorder="1" applyAlignment="1" applyProtection="1"/>
    <xf numFmtId="0" fontId="69" fillId="21" borderId="1" xfId="0" applyFont="1" applyFill="1" applyBorder="1" applyAlignment="1" applyProtection="1">
      <alignment vertical="center" wrapText="1"/>
    </xf>
    <xf numFmtId="0" fontId="69" fillId="21" borderId="14" xfId="0" applyFont="1" applyFill="1" applyBorder="1" applyAlignment="1" applyProtection="1">
      <alignment horizontal="center"/>
      <protection locked="0"/>
    </xf>
    <xf numFmtId="1" fontId="69" fillId="21" borderId="1" xfId="0" applyNumberFormat="1" applyFont="1" applyFill="1" applyBorder="1" applyAlignment="1" applyProtection="1">
      <alignment horizontal="center"/>
      <protection locked="0"/>
    </xf>
    <xf numFmtId="0" fontId="69" fillId="21" borderId="1" xfId="0" applyFont="1" applyFill="1" applyBorder="1" applyAlignment="1" applyProtection="1">
      <alignment horizontal="left" vertical="center" wrapText="1"/>
      <protection locked="0"/>
    </xf>
    <xf numFmtId="0" fontId="7" fillId="21" borderId="1" xfId="0" applyFont="1" applyFill="1" applyBorder="1" applyAlignment="1">
      <alignment horizontal="center" vertical="top"/>
    </xf>
    <xf numFmtId="1" fontId="69" fillId="21" borderId="1" xfId="0" applyNumberFormat="1" applyFont="1" applyFill="1" applyBorder="1" applyAlignment="1" applyProtection="1">
      <alignment horizontal="center" vertical="center"/>
      <protection locked="0"/>
    </xf>
    <xf numFmtId="0" fontId="69" fillId="21" borderId="1" xfId="0" applyFont="1" applyFill="1" applyBorder="1" applyAlignment="1" applyProtection="1">
      <alignment horizontal="center"/>
      <protection locked="0"/>
    </xf>
    <xf numFmtId="0" fontId="69" fillId="21" borderId="1" xfId="0" applyFont="1" applyFill="1" applyBorder="1" applyAlignment="1" applyProtection="1">
      <alignment horizontal="left" wrapText="1"/>
      <protection locked="0"/>
    </xf>
    <xf numFmtId="1" fontId="69" fillId="21" borderId="1" xfId="0" applyNumberFormat="1" applyFont="1" applyFill="1" applyBorder="1" applyAlignment="1" applyProtection="1">
      <alignment vertical="center" wrapText="1"/>
    </xf>
    <xf numFmtId="49" fontId="70" fillId="21" borderId="1" xfId="0" applyNumberFormat="1" applyFont="1" applyFill="1" applyBorder="1" applyAlignment="1" applyProtection="1">
      <protection locked="0"/>
    </xf>
    <xf numFmtId="1" fontId="70" fillId="21" borderId="1" xfId="0" applyNumberFormat="1" applyFont="1" applyFill="1" applyBorder="1" applyAlignment="1" applyProtection="1">
      <protection locked="0"/>
    </xf>
    <xf numFmtId="0" fontId="70" fillId="21" borderId="1" xfId="0" applyNumberFormat="1" applyFont="1" applyFill="1" applyBorder="1" applyAlignment="1" applyProtection="1"/>
    <xf numFmtId="0" fontId="71" fillId="21" borderId="1" xfId="0" applyFont="1" applyFill="1" applyBorder="1" applyProtection="1"/>
    <xf numFmtId="170" fontId="70" fillId="21" borderId="1" xfId="0" applyNumberFormat="1" applyFont="1" applyFill="1" applyBorder="1" applyAlignment="1" applyProtection="1"/>
    <xf numFmtId="0" fontId="70" fillId="21" borderId="14" xfId="0" applyFont="1" applyFill="1" applyBorder="1" applyAlignment="1" applyProtection="1"/>
    <xf numFmtId="168" fontId="70" fillId="21" borderId="11" xfId="0" applyNumberFormat="1" applyFont="1" applyFill="1" applyBorder="1" applyAlignment="1" applyProtection="1"/>
    <xf numFmtId="0" fontId="6" fillId="21" borderId="0" xfId="0" applyFont="1" applyFill="1" applyProtection="1">
      <protection locked="0"/>
    </xf>
    <xf numFmtId="0" fontId="10" fillId="0" borderId="1" xfId="0" applyFont="1" applyBorder="1" applyProtection="1"/>
    <xf numFmtId="0" fontId="10" fillId="0" borderId="1" xfId="0" applyFont="1" applyBorder="1" applyAlignment="1" applyProtection="1">
      <alignment horizontal="center"/>
    </xf>
    <xf numFmtId="0" fontId="71" fillId="21" borderId="1" xfId="0" applyFont="1" applyFill="1" applyBorder="1" applyAlignment="1" applyProtection="1">
      <alignment horizontal="center" vertical="center" wrapText="1"/>
      <protection locked="0"/>
    </xf>
    <xf numFmtId="0" fontId="71" fillId="19" borderId="1" xfId="0" applyFont="1" applyFill="1" applyBorder="1" applyAlignment="1" applyProtection="1">
      <alignment horizontal="center" vertical="center" wrapText="1"/>
      <protection locked="0"/>
    </xf>
    <xf numFmtId="3" fontId="72" fillId="0" borderId="1" xfId="0" applyNumberFormat="1" applyFont="1" applyBorder="1" applyAlignment="1" applyProtection="1">
      <alignment vertical="center"/>
      <protection locked="0"/>
    </xf>
    <xf numFmtId="3" fontId="71" fillId="0" borderId="1" xfId="0" applyNumberFormat="1" applyFont="1" applyBorder="1" applyAlignment="1" applyProtection="1">
      <alignment vertical="center" wrapText="1"/>
    </xf>
    <xf numFmtId="3" fontId="71" fillId="0" borderId="14" xfId="0" applyNumberFormat="1" applyFont="1" applyBorder="1" applyAlignment="1" applyProtection="1">
      <alignment vertical="center" wrapText="1"/>
      <protection locked="0"/>
    </xf>
    <xf numFmtId="3" fontId="72" fillId="0" borderId="1" xfId="0" applyNumberFormat="1" applyFont="1" applyBorder="1" applyAlignment="1" applyProtection="1">
      <alignment horizontal="right" vertical="center"/>
      <protection locked="0"/>
    </xf>
    <xf numFmtId="0" fontId="71" fillId="0" borderId="1" xfId="0" applyFont="1" applyBorder="1" applyAlignment="1" applyProtection="1">
      <alignment horizontal="center"/>
    </xf>
    <xf numFmtId="9" fontId="71" fillId="0" borderId="1" xfId="0" applyNumberFormat="1" applyFont="1" applyBorder="1" applyAlignment="1" applyProtection="1">
      <alignment horizontal="center"/>
    </xf>
    <xf numFmtId="169" fontId="71" fillId="0" borderId="1" xfId="0" applyNumberFormat="1" applyFont="1" applyBorder="1" applyProtection="1"/>
    <xf numFmtId="3" fontId="72" fillId="0" borderId="12" xfId="0" applyNumberFormat="1" applyFont="1" applyBorder="1" applyAlignment="1" applyProtection="1">
      <alignment vertical="center"/>
      <protection locked="0"/>
    </xf>
    <xf numFmtId="3" fontId="71" fillId="0" borderId="12" xfId="0" applyNumberFormat="1" applyFont="1" applyBorder="1" applyAlignment="1" applyProtection="1">
      <alignment vertical="center" wrapText="1"/>
    </xf>
    <xf numFmtId="3" fontId="71" fillId="0" borderId="21" xfId="0" applyNumberFormat="1" applyFont="1" applyBorder="1" applyAlignment="1" applyProtection="1">
      <alignment vertical="center" wrapText="1"/>
      <protection locked="0"/>
    </xf>
    <xf numFmtId="3" fontId="72" fillId="0" borderId="12" xfId="0" applyNumberFormat="1" applyFont="1" applyBorder="1" applyAlignment="1" applyProtection="1">
      <alignment horizontal="right" vertical="center"/>
      <protection locked="0"/>
    </xf>
    <xf numFmtId="0" fontId="71" fillId="0" borderId="12" xfId="0" applyFont="1" applyBorder="1" applyAlignment="1" applyProtection="1">
      <alignment horizontal="center"/>
    </xf>
    <xf numFmtId="9" fontId="71" fillId="0" borderId="12" xfId="0" applyNumberFormat="1" applyFont="1" applyBorder="1" applyAlignment="1" applyProtection="1">
      <alignment horizontal="center"/>
    </xf>
    <xf numFmtId="169" fontId="71" fillId="0" borderId="12" xfId="0" applyNumberFormat="1" applyFont="1" applyBorder="1" applyProtection="1"/>
    <xf numFmtId="166" fontId="12" fillId="0" borderId="1" xfId="0" applyNumberFormat="1" applyFont="1" applyBorder="1" applyAlignment="1" applyProtection="1">
      <alignment vertical="center" wrapText="1"/>
    </xf>
    <xf numFmtId="166" fontId="72" fillId="0" borderId="1" xfId="0" applyNumberFormat="1" applyFont="1" applyBorder="1" applyAlignment="1" applyProtection="1">
      <alignment vertical="center" wrapText="1"/>
    </xf>
    <xf numFmtId="0" fontId="71" fillId="0" borderId="1" xfId="0" applyNumberFormat="1" applyFont="1" applyBorder="1" applyAlignment="1" applyProtection="1">
      <alignment horizontal="center"/>
    </xf>
    <xf numFmtId="166" fontId="72" fillId="0" borderId="12" xfId="0" applyNumberFormat="1" applyFont="1" applyBorder="1" applyAlignment="1" applyProtection="1">
      <alignment vertical="center" wrapText="1"/>
    </xf>
    <xf numFmtId="0" fontId="71" fillId="0" borderId="12" xfId="0" applyNumberFormat="1" applyFont="1" applyBorder="1" applyAlignment="1" applyProtection="1">
      <alignment horizontal="center"/>
    </xf>
    <xf numFmtId="0" fontId="55" fillId="19" borderId="35" xfId="0" applyFont="1" applyFill="1" applyBorder="1" applyAlignment="1">
      <alignment vertical="center"/>
    </xf>
    <xf numFmtId="0" fontId="55" fillId="19" borderId="36" xfId="0" applyFont="1" applyFill="1" applyBorder="1" applyAlignment="1">
      <alignment vertical="center"/>
    </xf>
    <xf numFmtId="0" fontId="6" fillId="0" borderId="1" xfId="0" applyNumberFormat="1" applyFont="1" applyBorder="1" applyAlignment="1" applyProtection="1"/>
    <xf numFmtId="0" fontId="10" fillId="0" borderId="1" xfId="0" applyNumberFormat="1" applyFont="1" applyBorder="1" applyAlignment="1" applyProtection="1">
      <alignment horizontal="center"/>
    </xf>
    <xf numFmtId="0" fontId="55" fillId="21" borderId="33" xfId="0" applyFont="1" applyFill="1" applyBorder="1" applyAlignment="1">
      <alignment vertical="center"/>
    </xf>
    <xf numFmtId="0" fontId="55" fillId="21" borderId="34" xfId="0" applyFont="1" applyFill="1" applyBorder="1" applyAlignment="1">
      <alignment vertical="center"/>
    </xf>
    <xf numFmtId="166" fontId="72" fillId="21" borderId="1" xfId="0" applyNumberFormat="1" applyFont="1" applyFill="1" applyBorder="1" applyAlignment="1" applyProtection="1">
      <alignment vertical="center" wrapText="1"/>
    </xf>
    <xf numFmtId="0" fontId="71" fillId="21" borderId="1" xfId="0" applyNumberFormat="1" applyFont="1" applyFill="1" applyBorder="1" applyAlignment="1" applyProtection="1">
      <alignment horizontal="center"/>
    </xf>
    <xf numFmtId="0" fontId="10" fillId="21" borderId="0" xfId="0" applyFont="1" applyFill="1" applyProtection="1">
      <protection locked="0"/>
    </xf>
    <xf numFmtId="0" fontId="10" fillId="21" borderId="1" xfId="0" applyFont="1" applyFill="1" applyBorder="1" applyAlignment="1" applyProtection="1">
      <alignment horizontal="center" vertical="center" wrapText="1"/>
      <protection locked="0"/>
    </xf>
    <xf numFmtId="0" fontId="6" fillId="21" borderId="1" xfId="0" applyNumberFormat="1" applyFont="1" applyFill="1" applyBorder="1" applyAlignment="1" applyProtection="1"/>
    <xf numFmtId="166" fontId="12" fillId="21" borderId="1" xfId="0" applyNumberFormat="1" applyFont="1" applyFill="1" applyBorder="1" applyAlignment="1" applyProtection="1">
      <alignment vertical="center" wrapText="1"/>
    </xf>
    <xf numFmtId="0" fontId="10" fillId="21" borderId="1" xfId="0" applyNumberFormat="1" applyFont="1" applyFill="1" applyBorder="1" applyAlignment="1" applyProtection="1">
      <alignment horizontal="center"/>
    </xf>
    <xf numFmtId="0" fontId="10" fillId="21" borderId="1" xfId="0" applyFont="1" applyFill="1" applyBorder="1" applyProtection="1"/>
    <xf numFmtId="0" fontId="55" fillId="21" borderId="35" xfId="0" applyFont="1" applyFill="1" applyBorder="1" applyAlignment="1">
      <alignment vertical="center"/>
    </xf>
    <xf numFmtId="0" fontId="55" fillId="21" borderId="36" xfId="0" applyFont="1" applyFill="1" applyBorder="1" applyAlignment="1">
      <alignment vertical="center"/>
    </xf>
    <xf numFmtId="0" fontId="10" fillId="19" borderId="1" xfId="0" applyFont="1" applyFill="1" applyBorder="1" applyAlignment="1" applyProtection="1">
      <alignment horizontal="center" vertical="center" wrapText="1"/>
      <protection locked="0"/>
    </xf>
    <xf numFmtId="0" fontId="10" fillId="19" borderId="12" xfId="0" applyFont="1" applyFill="1" applyBorder="1" applyAlignment="1" applyProtection="1">
      <alignment horizontal="center" vertical="center" wrapText="1"/>
      <protection locked="0"/>
    </xf>
    <xf numFmtId="9" fontId="10" fillId="0" borderId="1" xfId="0" applyNumberFormat="1" applyFont="1" applyBorder="1" applyAlignment="1" applyProtection="1">
      <alignment horizontal="center"/>
    </xf>
    <xf numFmtId="0" fontId="7" fillId="19" borderId="1" xfId="0" applyFont="1" applyFill="1" applyBorder="1" applyAlignment="1" applyProtection="1">
      <alignment horizontal="center" vertical="center" wrapText="1"/>
      <protection locked="0"/>
    </xf>
    <xf numFmtId="0" fontId="7" fillId="19" borderId="12" xfId="0" applyFont="1" applyFill="1" applyBorder="1" applyAlignment="1" applyProtection="1">
      <alignment horizontal="center" vertical="center" wrapText="1"/>
      <protection locked="0"/>
    </xf>
    <xf numFmtId="0" fontId="7" fillId="21" borderId="1" xfId="0" applyFont="1" applyFill="1" applyBorder="1" applyAlignment="1" applyProtection="1">
      <alignment vertical="center" wrapText="1"/>
    </xf>
    <xf numFmtId="1" fontId="7" fillId="0" borderId="1" xfId="0" applyNumberFormat="1" applyFont="1" applyBorder="1" applyAlignment="1" applyProtection="1">
      <alignment vertical="center" wrapText="1"/>
    </xf>
    <xf numFmtId="0" fontId="7" fillId="0" borderId="14" xfId="0" applyFont="1" applyBorder="1" applyAlignment="1" applyProtection="1">
      <alignment horizontal="center"/>
      <protection locked="0"/>
    </xf>
    <xf numFmtId="1" fontId="7" fillId="0" borderId="1" xfId="0" applyNumberFormat="1" applyFont="1" applyBorder="1" applyAlignment="1" applyProtection="1">
      <alignment horizontal="center"/>
      <protection locked="0"/>
    </xf>
    <xf numFmtId="0" fontId="7" fillId="0"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7" fillId="0" borderId="1" xfId="0" applyFont="1" applyBorder="1" applyAlignment="1" applyProtection="1">
      <alignment horizontal="center" vertical="center"/>
      <protection locked="0"/>
    </xf>
    <xf numFmtId="1" fontId="7" fillId="0" borderId="1" xfId="0" applyNumberFormat="1" applyFont="1" applyBorder="1" applyAlignment="1" applyProtection="1">
      <alignment horizontal="center" vertical="center"/>
      <protection locked="0"/>
    </xf>
    <xf numFmtId="0" fontId="7" fillId="0" borderId="1" xfId="0" applyFont="1" applyFill="1" applyBorder="1" applyAlignment="1" applyProtection="1">
      <alignment horizontal="center"/>
      <protection locked="0"/>
    </xf>
    <xf numFmtId="0" fontId="7" fillId="0" borderId="1" xfId="0" applyFont="1" applyFill="1" applyBorder="1" applyAlignment="1" applyProtection="1">
      <alignment horizontal="left" wrapText="1"/>
      <protection locked="0"/>
    </xf>
    <xf numFmtId="49" fontId="6" fillId="0" borderId="1" xfId="0" applyNumberFormat="1" applyFont="1" applyBorder="1" applyAlignment="1" applyProtection="1">
      <protection locked="0"/>
    </xf>
    <xf numFmtId="1" fontId="6" fillId="0" borderId="1" xfId="0" applyNumberFormat="1" applyFont="1" applyBorder="1" applyAlignment="1" applyProtection="1">
      <protection locked="0"/>
    </xf>
    <xf numFmtId="170" fontId="6" fillId="0" borderId="1" xfId="0" applyNumberFormat="1" applyFont="1" applyBorder="1" applyAlignment="1" applyProtection="1"/>
    <xf numFmtId="0" fontId="6" fillId="0" borderId="14" xfId="0" applyFont="1" applyBorder="1" applyAlignment="1" applyProtection="1"/>
    <xf numFmtId="168" fontId="6" fillId="0" borderId="11" xfId="0" applyNumberFormat="1" applyFont="1" applyBorder="1" applyAlignment="1" applyProtection="1"/>
    <xf numFmtId="0" fontId="7" fillId="0" borderId="12" xfId="0" applyFont="1" applyBorder="1" applyAlignment="1" applyProtection="1">
      <alignment vertical="center" wrapText="1"/>
    </xf>
    <xf numFmtId="0" fontId="7" fillId="0" borderId="21" xfId="0" applyFont="1" applyBorder="1" applyAlignment="1" applyProtection="1">
      <alignment horizontal="center"/>
      <protection locked="0"/>
    </xf>
    <xf numFmtId="0" fontId="7" fillId="0" borderId="12" xfId="0" applyFont="1" applyFill="1" applyBorder="1" applyAlignment="1" applyProtection="1">
      <alignment horizontal="left" vertical="center" wrapText="1"/>
      <protection locked="0"/>
    </xf>
    <xf numFmtId="0" fontId="7" fillId="0" borderId="12" xfId="0" applyFont="1" applyBorder="1" applyAlignment="1" applyProtection="1">
      <alignment horizontal="left" vertical="center"/>
      <protection locked="0"/>
    </xf>
    <xf numFmtId="1" fontId="7" fillId="0" borderId="12" xfId="0" applyNumberFormat="1" applyFont="1" applyBorder="1" applyAlignment="1" applyProtection="1">
      <alignment horizontal="center" vertical="center"/>
      <protection locked="0"/>
    </xf>
    <xf numFmtId="0" fontId="7" fillId="0" borderId="12" xfId="0" applyFont="1" applyFill="1" applyBorder="1" applyAlignment="1" applyProtection="1">
      <alignment horizontal="center"/>
      <protection locked="0"/>
    </xf>
    <xf numFmtId="0" fontId="7" fillId="0" borderId="12" xfId="0" applyFont="1" applyFill="1" applyBorder="1" applyAlignment="1" applyProtection="1">
      <alignment horizontal="left" wrapText="1"/>
      <protection locked="0"/>
    </xf>
    <xf numFmtId="1" fontId="7" fillId="0" borderId="12" xfId="0" applyNumberFormat="1" applyFont="1" applyBorder="1" applyAlignment="1" applyProtection="1">
      <alignment vertical="center" wrapText="1"/>
    </xf>
    <xf numFmtId="49" fontId="6" fillId="0" borderId="12" xfId="0" applyNumberFormat="1" applyFont="1" applyBorder="1" applyAlignment="1" applyProtection="1">
      <protection locked="0"/>
    </xf>
    <xf numFmtId="1" fontId="6" fillId="0" borderId="12" xfId="0" applyNumberFormat="1" applyFont="1" applyBorder="1" applyAlignment="1" applyProtection="1">
      <protection locked="0"/>
    </xf>
    <xf numFmtId="0" fontId="6" fillId="0" borderId="12" xfId="0" applyNumberFormat="1" applyFont="1" applyBorder="1" applyAlignment="1" applyProtection="1"/>
    <xf numFmtId="0" fontId="10" fillId="0" borderId="12" xfId="0" applyFont="1" applyBorder="1" applyProtection="1"/>
    <xf numFmtId="170" fontId="6" fillId="0" borderId="12" xfId="0" applyNumberFormat="1" applyFont="1" applyBorder="1" applyAlignment="1" applyProtection="1"/>
    <xf numFmtId="0" fontId="6" fillId="0" borderId="21" xfId="0" applyFont="1" applyBorder="1" applyAlignment="1" applyProtection="1"/>
    <xf numFmtId="168" fontId="6" fillId="0" borderId="2" xfId="0" applyNumberFormat="1" applyFont="1" applyBorder="1" applyAlignment="1" applyProtection="1"/>
    <xf numFmtId="3" fontId="12" fillId="0" borderId="1" xfId="0" applyNumberFormat="1" applyFont="1" applyBorder="1" applyAlignment="1" applyProtection="1">
      <alignment vertical="center"/>
      <protection locked="0"/>
    </xf>
    <xf numFmtId="3" fontId="10" fillId="0" borderId="1" xfId="0" applyNumberFormat="1" applyFont="1" applyBorder="1" applyAlignment="1" applyProtection="1">
      <alignment vertical="center" wrapText="1"/>
    </xf>
    <xf numFmtId="3" fontId="10" fillId="0" borderId="14" xfId="0" applyNumberFormat="1" applyFont="1" applyBorder="1" applyAlignment="1" applyProtection="1">
      <alignment vertical="center" wrapText="1"/>
      <protection locked="0"/>
    </xf>
    <xf numFmtId="3" fontId="12" fillId="0" borderId="1" xfId="0" applyNumberFormat="1" applyFont="1" applyBorder="1" applyAlignment="1" applyProtection="1">
      <alignment horizontal="right" vertical="center"/>
      <protection locked="0"/>
    </xf>
    <xf numFmtId="169" fontId="10" fillId="0" borderId="1" xfId="0" applyNumberFormat="1" applyFont="1" applyBorder="1" applyProtection="1"/>
    <xf numFmtId="3" fontId="12" fillId="0" borderId="12" xfId="0" applyNumberFormat="1" applyFont="1" applyBorder="1" applyAlignment="1" applyProtection="1">
      <alignment vertical="center"/>
      <protection locked="0"/>
    </xf>
    <xf numFmtId="3" fontId="10" fillId="0" borderId="12" xfId="0" applyNumberFormat="1" applyFont="1" applyBorder="1" applyAlignment="1" applyProtection="1">
      <alignment vertical="center" wrapText="1"/>
    </xf>
    <xf numFmtId="3" fontId="10" fillId="0" borderId="21" xfId="0" applyNumberFormat="1" applyFont="1" applyBorder="1" applyAlignment="1" applyProtection="1">
      <alignment vertical="center" wrapText="1"/>
      <protection locked="0"/>
    </xf>
    <xf numFmtId="3" fontId="12" fillId="0" borderId="12" xfId="0" applyNumberFormat="1" applyFont="1" applyBorder="1" applyAlignment="1" applyProtection="1">
      <alignment horizontal="right" vertical="center"/>
      <protection locked="0"/>
    </xf>
    <xf numFmtId="0" fontId="10" fillId="0" borderId="12" xfId="0" applyFont="1" applyBorder="1" applyAlignment="1" applyProtection="1">
      <alignment horizontal="center"/>
    </xf>
    <xf numFmtId="9" fontId="10" fillId="0" borderId="12" xfId="0" applyNumberFormat="1" applyFont="1" applyBorder="1" applyAlignment="1" applyProtection="1">
      <alignment horizontal="center"/>
    </xf>
    <xf numFmtId="169" fontId="10" fillId="0" borderId="12" xfId="0" applyNumberFormat="1" applyFont="1" applyBorder="1" applyProtection="1"/>
    <xf numFmtId="166" fontId="12" fillId="0" borderId="12" xfId="0" applyNumberFormat="1" applyFont="1" applyBorder="1" applyAlignment="1" applyProtection="1">
      <alignment vertical="center" wrapText="1"/>
    </xf>
    <xf numFmtId="0" fontId="10" fillId="0" borderId="12" xfId="0" applyNumberFormat="1" applyFont="1" applyBorder="1" applyAlignment="1" applyProtection="1">
      <alignment horizontal="center"/>
    </xf>
    <xf numFmtId="0" fontId="55" fillId="20" borderId="33" xfId="0" applyFont="1" applyFill="1" applyBorder="1" applyAlignment="1">
      <alignment vertical="center"/>
    </xf>
    <xf numFmtId="0" fontId="55" fillId="20" borderId="34" xfId="0" applyFont="1" applyFill="1" applyBorder="1" applyAlignment="1">
      <alignment vertical="center"/>
    </xf>
    <xf numFmtId="0" fontId="55" fillId="20" borderId="35" xfId="0" applyFont="1" applyFill="1" applyBorder="1" applyAlignment="1">
      <alignment vertical="center"/>
    </xf>
    <xf numFmtId="0" fontId="55" fillId="20" borderId="36" xfId="0" applyFont="1" applyFill="1" applyBorder="1" applyAlignment="1">
      <alignment vertical="center"/>
    </xf>
    <xf numFmtId="0" fontId="7" fillId="21" borderId="1" xfId="0" applyFont="1" applyFill="1" applyBorder="1" applyAlignment="1" applyProtection="1">
      <alignment horizontal="center" vertical="center" wrapText="1"/>
      <protection locked="0"/>
    </xf>
    <xf numFmtId="0" fontId="7" fillId="21" borderId="1" xfId="0" applyFont="1" applyFill="1" applyBorder="1" applyAlignment="1">
      <alignment vertical="center" wrapText="1"/>
    </xf>
    <xf numFmtId="0" fontId="7" fillId="21" borderId="14" xfId="0" applyFont="1" applyFill="1" applyBorder="1" applyAlignment="1" applyProtection="1">
      <alignment horizontal="center"/>
      <protection locked="0"/>
    </xf>
    <xf numFmtId="1" fontId="7" fillId="21" borderId="1" xfId="0" applyNumberFormat="1" applyFont="1" applyFill="1" applyBorder="1" applyAlignment="1" applyProtection="1">
      <alignment horizontal="center"/>
      <protection locked="0"/>
    </xf>
    <xf numFmtId="0" fontId="7" fillId="21" borderId="1" xfId="0" applyFont="1" applyFill="1" applyBorder="1" applyAlignment="1" applyProtection="1">
      <alignment horizontal="left" vertical="center" wrapText="1"/>
      <protection locked="0"/>
    </xf>
    <xf numFmtId="0" fontId="7" fillId="21" borderId="1" xfId="0" applyFont="1" applyFill="1" applyBorder="1" applyAlignment="1" applyProtection="1">
      <alignment horizontal="center" vertical="center"/>
      <protection locked="0"/>
    </xf>
    <xf numFmtId="1" fontId="7" fillId="21" borderId="1" xfId="0" applyNumberFormat="1" applyFont="1" applyFill="1" applyBorder="1" applyAlignment="1" applyProtection="1">
      <alignment horizontal="center" vertical="center"/>
      <protection locked="0"/>
    </xf>
    <xf numFmtId="0" fontId="7" fillId="21" borderId="1" xfId="0" applyFont="1" applyFill="1" applyBorder="1" applyAlignment="1" applyProtection="1">
      <alignment horizontal="center"/>
      <protection locked="0"/>
    </xf>
    <xf numFmtId="0" fontId="7" fillId="21" borderId="1" xfId="0" applyFont="1" applyFill="1" applyBorder="1" applyAlignment="1" applyProtection="1">
      <alignment horizontal="left" wrapText="1"/>
      <protection locked="0"/>
    </xf>
    <xf numFmtId="1" fontId="7" fillId="21" borderId="1" xfId="0" applyNumberFormat="1" applyFont="1" applyFill="1" applyBorder="1" applyAlignment="1" applyProtection="1">
      <alignment vertical="center" wrapText="1"/>
    </xf>
    <xf numFmtId="49" fontId="6" fillId="21" borderId="1" xfId="0" applyNumberFormat="1" applyFont="1" applyFill="1" applyBorder="1" applyAlignment="1" applyProtection="1">
      <protection locked="0"/>
    </xf>
    <xf numFmtId="1" fontId="6" fillId="21" borderId="1" xfId="0" applyNumberFormat="1" applyFont="1" applyFill="1" applyBorder="1" applyAlignment="1" applyProtection="1">
      <protection locked="0"/>
    </xf>
    <xf numFmtId="170" fontId="6" fillId="21" borderId="1" xfId="0" applyNumberFormat="1" applyFont="1" applyFill="1" applyBorder="1" applyAlignment="1" applyProtection="1"/>
    <xf numFmtId="0" fontId="6" fillId="21" borderId="14" xfId="0" applyFont="1" applyFill="1" applyBorder="1" applyAlignment="1" applyProtection="1"/>
    <xf numFmtId="168" fontId="6" fillId="21" borderId="11" xfId="0" applyNumberFormat="1" applyFont="1" applyFill="1" applyBorder="1" applyAlignment="1" applyProtection="1"/>
    <xf numFmtId="0" fontId="7" fillId="21" borderId="12" xfId="0" applyFont="1" applyFill="1" applyBorder="1" applyAlignment="1" applyProtection="1">
      <alignment horizontal="center" vertical="center" wrapText="1"/>
      <protection locked="0"/>
    </xf>
    <xf numFmtId="0" fontId="7" fillId="21" borderId="12" xfId="0" applyFont="1" applyFill="1" applyBorder="1" applyAlignment="1" applyProtection="1">
      <alignment horizontal="left" vertical="center" wrapText="1"/>
      <protection locked="0"/>
    </xf>
    <xf numFmtId="1" fontId="7" fillId="21" borderId="12" xfId="0" applyNumberFormat="1" applyFont="1" applyFill="1" applyBorder="1" applyAlignment="1" applyProtection="1">
      <alignment horizontal="center" vertical="center"/>
      <protection locked="0"/>
    </xf>
    <xf numFmtId="0" fontId="7" fillId="21" borderId="12" xfId="0" applyFont="1" applyFill="1" applyBorder="1" applyAlignment="1" applyProtection="1">
      <alignment horizontal="center"/>
      <protection locked="0"/>
    </xf>
    <xf numFmtId="0" fontId="7" fillId="21" borderId="12" xfId="0" applyFont="1" applyFill="1" applyBorder="1" applyAlignment="1" applyProtection="1">
      <alignment vertical="center" wrapText="1"/>
    </xf>
    <xf numFmtId="0" fontId="7" fillId="21" borderId="12" xfId="0" applyFont="1" applyFill="1" applyBorder="1" applyAlignment="1" applyProtection="1">
      <alignment horizontal="left" wrapText="1"/>
      <protection locked="0"/>
    </xf>
    <xf numFmtId="1" fontId="7" fillId="21" borderId="12" xfId="0" applyNumberFormat="1" applyFont="1" applyFill="1" applyBorder="1" applyAlignment="1" applyProtection="1">
      <alignment vertical="center" wrapText="1"/>
    </xf>
    <xf numFmtId="49" fontId="6" fillId="21" borderId="12" xfId="0" applyNumberFormat="1" applyFont="1" applyFill="1" applyBorder="1" applyAlignment="1" applyProtection="1">
      <protection locked="0"/>
    </xf>
    <xf numFmtId="1" fontId="6" fillId="21" borderId="12" xfId="0" applyNumberFormat="1" applyFont="1" applyFill="1" applyBorder="1" applyAlignment="1" applyProtection="1">
      <protection locked="0"/>
    </xf>
    <xf numFmtId="0" fontId="6" fillId="21" borderId="12" xfId="0" applyNumberFormat="1" applyFont="1" applyFill="1" applyBorder="1" applyAlignment="1" applyProtection="1"/>
    <xf numFmtId="0" fontId="10" fillId="21" borderId="12" xfId="0" applyFont="1" applyFill="1" applyBorder="1" applyProtection="1"/>
    <xf numFmtId="170" fontId="6" fillId="21" borderId="12" xfId="0" applyNumberFormat="1" applyFont="1" applyFill="1" applyBorder="1" applyAlignment="1" applyProtection="1"/>
    <xf numFmtId="0" fontId="6" fillId="21" borderId="21" xfId="0" applyFont="1" applyFill="1" applyBorder="1" applyAlignment="1" applyProtection="1"/>
    <xf numFmtId="168" fontId="6" fillId="21" borderId="2" xfId="0" applyNumberFormat="1" applyFont="1" applyFill="1" applyBorder="1" applyAlignment="1" applyProtection="1"/>
    <xf numFmtId="0" fontId="10" fillId="21" borderId="1" xfId="0" applyFont="1" applyFill="1" applyBorder="1"/>
    <xf numFmtId="3" fontId="12" fillId="21" borderId="1" xfId="0" applyNumberFormat="1" applyFont="1" applyFill="1" applyBorder="1" applyAlignment="1" applyProtection="1">
      <alignment vertical="center"/>
      <protection locked="0"/>
    </xf>
    <xf numFmtId="3" fontId="10" fillId="21" borderId="1" xfId="0" applyNumberFormat="1" applyFont="1" applyFill="1" applyBorder="1" applyAlignment="1" applyProtection="1">
      <alignment vertical="center" wrapText="1"/>
    </xf>
    <xf numFmtId="3" fontId="10" fillId="21" borderId="14" xfId="0" applyNumberFormat="1" applyFont="1" applyFill="1" applyBorder="1" applyAlignment="1" applyProtection="1">
      <alignment vertical="center" wrapText="1"/>
      <protection locked="0"/>
    </xf>
    <xf numFmtId="3" fontId="12" fillId="21" borderId="1" xfId="0" applyNumberFormat="1" applyFont="1" applyFill="1" applyBorder="1" applyAlignment="1" applyProtection="1">
      <alignment horizontal="right" vertical="center"/>
      <protection locked="0"/>
    </xf>
    <xf numFmtId="0" fontId="10" fillId="21" borderId="1" xfId="0" applyFont="1" applyFill="1" applyBorder="1" applyAlignment="1" applyProtection="1">
      <alignment horizontal="center"/>
    </xf>
    <xf numFmtId="9" fontId="10" fillId="21" borderId="1" xfId="0" applyNumberFormat="1" applyFont="1" applyFill="1" applyBorder="1" applyAlignment="1" applyProtection="1">
      <alignment horizontal="center"/>
    </xf>
    <xf numFmtId="169" fontId="10" fillId="21" borderId="1" xfId="0" applyNumberFormat="1" applyFont="1" applyFill="1" applyBorder="1" applyProtection="1"/>
    <xf numFmtId="0" fontId="10" fillId="21" borderId="0" xfId="0" applyFont="1" applyFill="1"/>
    <xf numFmtId="0" fontId="10" fillId="21" borderId="12" xfId="0" applyFont="1" applyFill="1" applyBorder="1" applyAlignment="1" applyProtection="1">
      <alignment horizontal="center" vertical="center" wrapText="1"/>
      <protection locked="0"/>
    </xf>
    <xf numFmtId="166" fontId="12" fillId="21" borderId="12" xfId="0" applyNumberFormat="1" applyFont="1" applyFill="1" applyBorder="1" applyAlignment="1" applyProtection="1">
      <alignment vertical="center" wrapText="1"/>
    </xf>
    <xf numFmtId="0" fontId="10" fillId="21" borderId="12" xfId="0" applyNumberFormat="1" applyFont="1" applyFill="1" applyBorder="1" applyAlignment="1" applyProtection="1">
      <alignment horizontal="center"/>
    </xf>
    <xf numFmtId="1" fontId="10" fillId="0" borderId="23" xfId="0" applyNumberFormat="1" applyFont="1" applyBorder="1" applyAlignment="1" applyProtection="1">
      <alignment vertical="center" wrapText="1"/>
    </xf>
    <xf numFmtId="1" fontId="10" fillId="0" borderId="22" xfId="0" applyNumberFormat="1" applyFont="1" applyBorder="1" applyAlignment="1" applyProtection="1">
      <alignment vertical="center" wrapText="1"/>
    </xf>
    <xf numFmtId="1" fontId="10" fillId="21" borderId="23" xfId="0" applyNumberFormat="1" applyFont="1" applyFill="1" applyBorder="1" applyAlignment="1" applyProtection="1">
      <alignment vertical="center" wrapText="1"/>
    </xf>
    <xf numFmtId="0" fontId="7" fillId="21" borderId="21" xfId="0" applyFont="1" applyFill="1" applyBorder="1" applyAlignment="1" applyProtection="1">
      <alignment horizontal="center"/>
      <protection locked="0"/>
    </xf>
    <xf numFmtId="0" fontId="7" fillId="21" borderId="12" xfId="0" applyFont="1" applyFill="1" applyBorder="1" applyAlignment="1" applyProtection="1">
      <alignment horizontal="left" vertical="center"/>
      <protection locked="0"/>
    </xf>
    <xf numFmtId="0" fontId="7" fillId="21" borderId="1" xfId="0" applyFont="1" applyFill="1" applyBorder="1" applyAlignment="1">
      <alignment horizontal="center" vertical="center" wrapText="1"/>
    </xf>
    <xf numFmtId="0" fontId="7" fillId="21" borderId="1" xfId="0" applyFont="1" applyFill="1" applyBorder="1" applyAlignment="1" applyProtection="1">
      <alignment horizontal="left" vertical="center"/>
      <protection locked="0"/>
    </xf>
    <xf numFmtId="1" fontId="71" fillId="0" borderId="23" xfId="0" applyNumberFormat="1" applyFont="1" applyBorder="1" applyAlignment="1" applyProtection="1">
      <alignment vertical="center" wrapText="1"/>
    </xf>
    <xf numFmtId="1" fontId="71" fillId="0" borderId="22" xfId="0" applyNumberFormat="1" applyFont="1" applyBorder="1" applyAlignment="1" applyProtection="1">
      <alignment vertical="center" wrapText="1"/>
    </xf>
    <xf numFmtId="0" fontId="31" fillId="0" borderId="1" xfId="6" applyFont="1" applyBorder="1" applyAlignment="1">
      <alignment horizontal="left" vertical="center" wrapText="1"/>
    </xf>
    <xf numFmtId="0" fontId="10" fillId="0" borderId="0" xfId="6" applyFont="1" applyAlignment="1">
      <alignment horizontal="left" vertical="top" wrapText="1"/>
    </xf>
    <xf numFmtId="0" fontId="10" fillId="0" borderId="0" xfId="6" applyFont="1" applyAlignment="1">
      <alignment horizontal="left" vertical="center" wrapText="1"/>
    </xf>
    <xf numFmtId="0" fontId="11" fillId="14" borderId="1" xfId="6" applyFont="1" applyFill="1" applyBorder="1" applyAlignment="1">
      <alignment horizontal="left" vertical="center" wrapText="1"/>
    </xf>
    <xf numFmtId="0" fontId="10" fillId="14" borderId="1" xfId="6" applyFont="1" applyFill="1" applyBorder="1" applyAlignment="1">
      <alignment horizontal="left" vertical="center" wrapText="1"/>
    </xf>
    <xf numFmtId="0" fontId="8" fillId="14" borderId="1" xfId="6" applyFont="1" applyFill="1" applyBorder="1" applyAlignment="1">
      <alignment horizontal="left" vertical="center" wrapText="1"/>
    </xf>
    <xf numFmtId="0" fontId="11" fillId="14" borderId="1" xfId="6" applyFont="1" applyFill="1" applyBorder="1" applyAlignment="1">
      <alignment horizontal="center" vertical="center" wrapText="1"/>
    </xf>
    <xf numFmtId="0" fontId="32" fillId="14" borderId="1" xfId="6" applyFont="1" applyFill="1" applyBorder="1" applyAlignment="1">
      <alignment horizontal="left" vertical="center" wrapText="1"/>
    </xf>
    <xf numFmtId="0" fontId="10" fillId="0" borderId="1" xfId="6" applyFont="1" applyBorder="1" applyAlignment="1">
      <alignment horizontal="left" vertical="center" wrapText="1"/>
    </xf>
    <xf numFmtId="14" fontId="10" fillId="0" borderId="1" xfId="6" applyNumberFormat="1" applyFont="1" applyBorder="1" applyAlignment="1">
      <alignment horizontal="left" vertical="center" wrapText="1"/>
    </xf>
    <xf numFmtId="0" fontId="31" fillId="0" borderId="1" xfId="6" applyFont="1" applyBorder="1" applyAlignment="1">
      <alignment horizontal="left" vertical="top" wrapText="1"/>
    </xf>
    <xf numFmtId="0" fontId="10" fillId="0" borderId="21" xfId="6" applyFont="1" applyBorder="1" applyAlignment="1">
      <alignment horizontal="left" vertical="top" wrapText="1"/>
    </xf>
    <xf numFmtId="0" fontId="10" fillId="0" borderId="10" xfId="6" applyFont="1" applyBorder="1" applyAlignment="1">
      <alignment horizontal="left" vertical="top" wrapText="1"/>
    </xf>
    <xf numFmtId="0" fontId="10" fillId="0" borderId="22" xfId="6" applyFont="1" applyBorder="1" applyAlignment="1">
      <alignment horizontal="left" vertical="top" wrapText="1"/>
    </xf>
    <xf numFmtId="0" fontId="10" fillId="0" borderId="20" xfId="6" applyFont="1" applyBorder="1" applyAlignment="1">
      <alignment horizontal="left" vertical="top" wrapText="1"/>
    </xf>
    <xf numFmtId="0" fontId="10" fillId="0" borderId="18" xfId="6" applyFont="1" applyBorder="1" applyAlignment="1">
      <alignment horizontal="left" vertical="top" wrapText="1"/>
    </xf>
    <xf numFmtId="0" fontId="35" fillId="0" borderId="0" xfId="6" applyFont="1" applyAlignment="1">
      <alignment horizontal="left" vertical="center" wrapText="1"/>
    </xf>
    <xf numFmtId="0" fontId="40" fillId="11" borderId="6" xfId="0" applyFont="1" applyFill="1" applyBorder="1" applyAlignment="1">
      <alignment horizontal="center" vertical="center" wrapText="1"/>
    </xf>
    <xf numFmtId="0" fontId="40" fillId="11" borderId="7" xfId="0" applyFont="1" applyFill="1" applyBorder="1" applyAlignment="1">
      <alignment horizontal="center" vertical="center" wrapText="1"/>
    </xf>
    <xf numFmtId="1" fontId="40" fillId="7" borderId="4" xfId="0" applyNumberFormat="1" applyFont="1" applyFill="1" applyBorder="1" applyAlignment="1">
      <alignment horizontal="center" vertical="center" wrapText="1"/>
    </xf>
    <xf numFmtId="1" fontId="40" fillId="7" borderId="3" xfId="0" applyNumberFormat="1" applyFont="1" applyFill="1" applyBorder="1" applyAlignment="1">
      <alignment horizontal="center" vertical="center" wrapText="1"/>
    </xf>
    <xf numFmtId="0" fontId="40" fillId="5" borderId="3" xfId="0" applyFont="1" applyFill="1" applyBorder="1" applyAlignment="1">
      <alignment horizontal="center" vertical="center" wrapText="1"/>
    </xf>
    <xf numFmtId="0" fontId="40" fillId="5" borderId="5" xfId="0" applyFont="1" applyFill="1" applyBorder="1" applyAlignment="1">
      <alignment horizontal="center" vertical="center" wrapText="1"/>
    </xf>
    <xf numFmtId="0" fontId="40" fillId="4" borderId="2" xfId="0" applyFont="1" applyFill="1" applyBorder="1" applyAlignment="1">
      <alignment horizontal="center" vertical="center" wrapText="1"/>
    </xf>
    <xf numFmtId="0" fontId="40" fillId="6" borderId="8" xfId="0" applyFont="1" applyFill="1" applyBorder="1" applyAlignment="1">
      <alignment horizontal="center" vertical="center" wrapText="1"/>
    </xf>
    <xf numFmtId="0" fontId="40" fillId="6" borderId="6" xfId="0" applyFont="1" applyFill="1" applyBorder="1" applyAlignment="1">
      <alignment horizontal="center" vertical="center" wrapText="1"/>
    </xf>
    <xf numFmtId="0" fontId="45" fillId="8" borderId="6" xfId="0" applyFont="1" applyFill="1" applyBorder="1" applyAlignment="1">
      <alignment horizontal="center"/>
    </xf>
    <xf numFmtId="0" fontId="45" fillId="9" borderId="6" xfId="0" applyFont="1" applyFill="1" applyBorder="1" applyAlignment="1">
      <alignment horizontal="center"/>
    </xf>
    <xf numFmtId="0" fontId="41" fillId="3" borderId="16" xfId="0" applyFont="1" applyFill="1" applyBorder="1" applyAlignment="1">
      <alignment horizontal="center" vertical="center" wrapText="1"/>
    </xf>
    <xf numFmtId="0" fontId="41" fillId="3" borderId="17" xfId="0" applyFont="1" applyFill="1" applyBorder="1" applyAlignment="1">
      <alignment horizontal="center" vertical="center" wrapText="1"/>
    </xf>
    <xf numFmtId="0" fontId="50" fillId="0" borderId="0" xfId="0" applyFont="1" applyAlignment="1">
      <alignment horizontal="left" vertical="center" wrapText="1"/>
    </xf>
  </cellXfs>
  <cellStyles count="9">
    <cellStyle name="Accent1" xfId="8" builtinId="29"/>
    <cellStyle name="Lien hypertexte" xfId="7" builtinId="8"/>
    <cellStyle name="Milliers" xfId="4" builtinId="3"/>
    <cellStyle name="Normal" xfId="0" builtinId="0"/>
    <cellStyle name="Normal 2" xfId="5" xr:uid="{00000000-0005-0000-0000-000004000000}"/>
    <cellStyle name="Normal 3" xfId="6" xr:uid="{00000000-0005-0000-0000-000005000000}"/>
    <cellStyle name="Pourcentage" xfId="2" builtinId="5"/>
    <cellStyle name="Satisfaisant" xfId="1" builtinId="26"/>
    <cellStyle name="Titre 1" xfId="3" builtinId="16"/>
  </cellStyles>
  <dxfs count="110">
    <dxf>
      <font>
        <b val="0"/>
        <i val="0"/>
        <strike val="0"/>
        <condense val="0"/>
        <extend val="0"/>
        <outline val="0"/>
        <shadow val="0"/>
        <u val="none"/>
        <vertAlign val="baseline"/>
        <sz val="11"/>
        <color auto="1"/>
        <name val="Calibri"/>
        <scheme val="minor"/>
      </font>
      <fill>
        <patternFill patternType="none">
          <fgColor indexed="64"/>
          <bgColor indexed="65"/>
        </patternFill>
      </fill>
    </dxf>
    <dxf>
      <font>
        <b/>
        <i val="0"/>
        <strike val="0"/>
        <condense val="0"/>
        <extend val="0"/>
        <outline val="0"/>
        <shadow val="0"/>
        <u val="none"/>
        <vertAlign val="baseline"/>
        <sz val="11"/>
        <color theme="1"/>
        <name val="Calibri"/>
        <scheme val="minor"/>
      </font>
      <fill>
        <patternFill patternType="none">
          <fgColor indexed="64"/>
          <bgColor indexed="65"/>
        </patternFill>
      </fill>
    </dxf>
    <dxf>
      <font>
        <b/>
        <i val="0"/>
        <strike val="0"/>
        <condense val="0"/>
        <extend val="0"/>
        <outline val="0"/>
        <shadow val="0"/>
        <u val="none"/>
        <vertAlign val="baseline"/>
        <sz val="11"/>
        <color theme="1"/>
        <name val="Calibri"/>
        <scheme val="minor"/>
      </font>
      <fill>
        <patternFill patternType="none">
          <fgColor indexed="64"/>
          <bgColor indexed="65"/>
        </patternFill>
      </fill>
    </dxf>
    <dxf>
      <font>
        <b/>
        <i val="0"/>
        <strike val="0"/>
        <condense val="0"/>
        <extend val="0"/>
        <outline val="0"/>
        <shadow val="0"/>
        <u val="none"/>
        <vertAlign val="baseline"/>
        <sz val="11"/>
        <color theme="1"/>
        <name val="Calibri"/>
        <scheme val="minor"/>
      </font>
      <fill>
        <patternFill patternType="none">
          <fgColor indexed="64"/>
          <bgColor indexed="65"/>
        </patternFill>
      </fill>
    </dxf>
    <dxf>
      <font>
        <b/>
        <i val="0"/>
        <strike val="0"/>
        <condense val="0"/>
        <extend val="0"/>
        <outline val="0"/>
        <shadow val="0"/>
        <u val="none"/>
        <vertAlign val="baseline"/>
        <sz val="11"/>
        <color theme="1"/>
        <name val="Calibri"/>
        <scheme val="minor"/>
      </font>
      <fill>
        <patternFill patternType="none">
          <fgColor indexed="64"/>
          <bgColor indexed="6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74706"/>
      </font>
      <fill>
        <patternFill>
          <bgColor rgb="FFFFEC8B"/>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0"/>
        <color theme="1"/>
        <name val="Century Gothic"/>
        <scheme val="none"/>
      </font>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entury Gothic"/>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rgb="FF000000"/>
        <name val="Century Gothic"/>
        <scheme val="none"/>
      </font>
      <numFmt numFmtId="166" formatCode="0.000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rgb="FF000000"/>
        <name val="Century Gothic"/>
        <scheme val="none"/>
      </font>
      <numFmt numFmtId="166" formatCode="0.00000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orbel"/>
        <scheme val="none"/>
      </font>
      <numFmt numFmtId="0" formatCode="Genera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rgb="FF000000"/>
        <name val="Corbel"/>
        <scheme val="none"/>
      </font>
      <numFmt numFmtId="166" formatCode="0.000000"/>
      <fill>
        <patternFill patternType="solid">
          <fgColor indexed="64"/>
          <bgColor rgb="FFFFFF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Corbel"/>
        <scheme val="none"/>
      </font>
      <numFmt numFmtId="166" formatCode="0.000000"/>
      <fill>
        <patternFill patternType="solid">
          <fgColor indexed="64"/>
          <bgColor rgb="FFFFFF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Century Gothic"/>
        <scheme val="none"/>
      </font>
      <numFmt numFmtId="2" formatCode="0.00"/>
      <fill>
        <patternFill patternType="solid">
          <fgColor indexed="64"/>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rgb="FF000000"/>
        <name val="Century Gothic"/>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entury Gothic"/>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left style="thin">
          <color indexed="64"/>
        </left>
        <bottom style="thin">
          <color indexed="64"/>
        </bottom>
      </border>
    </dxf>
    <dxf>
      <font>
        <b val="0"/>
        <i val="0"/>
        <strike val="0"/>
        <condense val="0"/>
        <extend val="0"/>
        <outline val="0"/>
        <shadow val="0"/>
        <u val="none"/>
        <vertAlign val="baseline"/>
        <sz val="12"/>
        <color theme="0"/>
        <name val="Century Gothic"/>
        <scheme val="none"/>
      </font>
      <fill>
        <patternFill patternType="solid">
          <fgColor indexed="64"/>
          <bgColor rgb="FF175259"/>
        </patternFill>
      </fill>
      <alignment horizontal="center" vertical="center" textRotation="0" wrapText="1" indent="0" justifyLastLine="0" shrinkToFit="0" readingOrder="0"/>
      <border diagonalUp="0" diagonalDown="0" outline="0">
        <left style="thin">
          <color theme="0"/>
        </left>
        <right style="thin">
          <color theme="0"/>
        </right>
        <top/>
        <bottom/>
      </border>
      <protection locked="1" hidden="0"/>
    </dxf>
    <dxf>
      <font>
        <color rgb="FF9C0006"/>
      </font>
      <fill>
        <patternFill patternType="solid">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i val="0"/>
        <color rgb="FFC00000"/>
      </font>
    </dxf>
    <dxf>
      <font>
        <b val="0"/>
        <i val="0"/>
        <strike val="0"/>
        <condense val="0"/>
        <extend val="0"/>
        <outline val="0"/>
        <shadow val="0"/>
        <u val="none"/>
        <vertAlign val="baseline"/>
        <sz val="10"/>
        <color theme="1"/>
        <name val="Century Gothic"/>
        <scheme val="none"/>
      </font>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entury Gothic"/>
        <scheme val="none"/>
      </font>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entury Gothic"/>
        <scheme val="none"/>
      </font>
      <numFmt numFmtId="169" formatCode="_(* #,##0_);_(* \(#,##0\);_(* &quot;-&quot;??_);_(@_)"/>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entury Gothic"/>
        <scheme val="none"/>
      </font>
      <numFmt numFmtId="169" formatCode="_(* #,##0_);_(* \(#,##0\);_(* &quot;-&quot;??_);_(@_)"/>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entury Gothic"/>
        <scheme val="none"/>
      </font>
      <numFmt numFmtId="13" formatCode="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entury Gothic"/>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entury Gothic"/>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orbel"/>
        <scheme val="none"/>
      </font>
      <numFmt numFmtId="0" formatCode="Genera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orbel"/>
        <scheme val="none"/>
      </font>
      <numFmt numFmtId="0" formatCode="Genera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rgb="FF000000"/>
        <name val="Century Gothic"/>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entury Gothic"/>
        <scheme val="none"/>
      </font>
      <numFmt numFmtId="3" formatCode="#,##0"/>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entury Gothic"/>
        <scheme val="none"/>
      </font>
      <numFmt numFmtId="3" formatCode="#,##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entury Gothic"/>
        <scheme val="none"/>
      </font>
      <numFmt numFmtId="2" formatCode="0.00"/>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rgb="FF000000"/>
        <name val="Century Gothic"/>
        <scheme val="none"/>
      </font>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rgb="FF000000"/>
        <name val="Century Gothic"/>
        <scheme val="none"/>
      </font>
      <numFmt numFmtId="2" formatCode="0.00"/>
      <fill>
        <patternFill patternType="solid">
          <fgColor indexed="64"/>
          <bgColor rgb="FFFFFFFF"/>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entury Gothic"/>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entury Gothic"/>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entury Gothic"/>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left style="thin">
          <color indexed="64"/>
        </left>
        <bottom style="thin">
          <color indexed="64"/>
        </bottom>
      </border>
    </dxf>
    <dxf>
      <font>
        <b val="0"/>
        <i val="0"/>
        <strike val="0"/>
        <condense val="0"/>
        <extend val="0"/>
        <outline val="0"/>
        <shadow val="0"/>
        <u val="none"/>
        <vertAlign val="baseline"/>
        <sz val="12"/>
        <color theme="0"/>
        <name val="Century Gothic"/>
        <scheme val="none"/>
      </font>
      <fill>
        <patternFill patternType="solid">
          <fgColor indexed="64"/>
          <bgColor rgb="FF175259"/>
        </patternFill>
      </fill>
      <alignment horizontal="center" vertical="center" textRotation="0" wrapText="1" indent="0" justifyLastLine="0" shrinkToFit="0" readingOrder="0"/>
      <border diagonalUp="0" diagonalDown="0" outline="0">
        <left style="thin">
          <color theme="0"/>
        </left>
        <right style="thin">
          <color theme="0"/>
        </right>
        <top/>
        <bottom/>
      </border>
      <protection locked="1" hidden="0"/>
    </dxf>
    <dxf>
      <font>
        <color rgb="FF9C0006"/>
      </font>
      <fill>
        <patternFill patternType="solid">
          <bgColor rgb="FFFFC7CE"/>
        </patternFill>
      </fill>
    </dxf>
    <dxf>
      <font>
        <color rgb="FF9C5700"/>
      </font>
      <fill>
        <patternFill>
          <bgColor rgb="FFFFEB9C"/>
        </patternFill>
      </fill>
    </dxf>
    <dxf>
      <font>
        <color rgb="FF9C5700"/>
      </font>
      <fill>
        <patternFill>
          <bgColor rgb="FFFFEB9C"/>
        </patternFill>
      </fill>
    </dxf>
    <dxf>
      <fill>
        <patternFill patternType="none">
          <bgColor auto="1"/>
        </patternFill>
      </fill>
    </dxf>
    <dxf>
      <font>
        <color rgb="FF9C0006"/>
      </font>
      <fill>
        <patternFill patternType="none">
          <bgColor auto="1"/>
        </patternFill>
      </fill>
    </dxf>
    <dxf>
      <font>
        <color rgb="FF9C0006"/>
      </font>
      <fill>
        <patternFill>
          <bgColor rgb="FFFFC7CE"/>
        </patternFill>
      </fill>
    </dxf>
    <dxf>
      <font>
        <b val="0"/>
        <i val="0"/>
        <strike val="0"/>
        <condense val="0"/>
        <extend val="0"/>
        <outline val="0"/>
        <shadow val="0"/>
        <u val="none"/>
        <vertAlign val="baseline"/>
        <sz val="10"/>
        <color theme="1"/>
        <name val="Corbel"/>
        <scheme val="none"/>
      </font>
      <numFmt numFmtId="168" formatCode="_(* #,##0.0_);_(* \(#,##0.0\);_(* &quot;-&quot;??_);_(@_)"/>
      <alignment horizontal="general"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0"/>
        <color theme="1"/>
        <name val="Corbel"/>
        <scheme val="none"/>
      </font>
      <alignment horizontal="general"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orbel"/>
        <scheme val="none"/>
      </font>
      <numFmt numFmtId="170" formatCode="d/m/yyyy"/>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entury Gothic"/>
        <scheme val="none"/>
      </font>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orbel"/>
        <scheme val="none"/>
      </font>
      <numFmt numFmtId="0" formatCode="Genera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orbel"/>
        <scheme val="none"/>
      </font>
      <numFmt numFmtId="0" formatCode="Genera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orbel"/>
        <scheme val="none"/>
      </font>
      <numFmt numFmtId="1" formatCode="0"/>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orbel"/>
        <scheme val="none"/>
      </font>
      <numFmt numFmtId="1" formatCode="0"/>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orbel"/>
        <scheme val="none"/>
      </font>
      <numFmt numFmtId="1" formatCode="0"/>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orbel"/>
        <scheme val="none"/>
      </font>
      <numFmt numFmtId="30" formatCode="@"/>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orbel"/>
        <scheme val="none"/>
      </font>
      <numFmt numFmtId="1" formatCode="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Corbel"/>
        <scheme val="none"/>
      </font>
      <numFmt numFmtId="1" formatCode="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Corbe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Corbe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Corbe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Corbel"/>
        <scheme val="none"/>
      </font>
      <fill>
        <patternFill patternType="none">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orbe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Corbe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orbel"/>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orbel"/>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orbel"/>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orbel"/>
        <scheme val="none"/>
      </font>
      <numFmt numFmtId="171" formatCode="0#&quot; &quot;##&quot; &quot;##&quot; &quot;##&quot; &quo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orbe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orbel"/>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orbel"/>
        <scheme val="none"/>
      </font>
      <numFmt numFmtId="1" formatCode="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orbel"/>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orbe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rgb="FF000000"/>
        <name val="Corbel"/>
        <scheme val="none"/>
      </font>
      <numFmt numFmtId="2"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orbe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Corbe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Corbe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Corbe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orbe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orbe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Corbel"/>
        <scheme val="none"/>
      </font>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left style="thin">
          <color indexed="64"/>
        </left>
      </border>
    </dxf>
    <dxf>
      <font>
        <strike val="0"/>
        <outline val="0"/>
        <shadow val="0"/>
        <u val="none"/>
        <vertAlign val="baseline"/>
        <sz val="12"/>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s>
  <tableStyles count="0" defaultTableStyle="TableStyleMedium2" defaultPivotStyle="PivotStyleLight16"/>
  <colors>
    <mruColors>
      <color rgb="FFA6A6A6"/>
      <color rgb="FFFFEC8B"/>
      <color rgb="FF974706"/>
      <color rgb="FFFFC7CE"/>
      <color rgb="FF9C0006"/>
      <color rgb="FFC6EFCE"/>
      <color rgb="FF006100"/>
      <color rgb="FF175259"/>
      <color rgb="FFFF7373"/>
      <color rgb="FFDE8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customXml" Target="../customXml/item1.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sharedStrings" Target="sharedStrings.xml" /><Relationship Id="rId5" Type="http://schemas.openxmlformats.org/officeDocument/2006/relationships/worksheet" Target="worksheets/sheet5.xml" /><Relationship Id="rId15" Type="http://schemas.openxmlformats.org/officeDocument/2006/relationships/customXml" Target="../customXml/item3.xml" /><Relationship Id="rId10"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theme" Target="theme/theme1.xml" /><Relationship Id="rId14" Type="http://schemas.openxmlformats.org/officeDocument/2006/relationships/customXml" Target="../customXml/item2.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52632</xdr:rowOff>
    </xdr:from>
    <xdr:to>
      <xdr:col>4</xdr:col>
      <xdr:colOff>588733</xdr:colOff>
      <xdr:row>23</xdr:row>
      <xdr:rowOff>74819</xdr:rowOff>
    </xdr:to>
    <xdr:pic>
      <xdr:nvPicPr>
        <xdr:cNvPr id="2" name="Picture 1">
          <a:extLst>
            <a:ext uri="{FF2B5EF4-FFF2-40B4-BE49-F238E27FC236}">
              <a16:creationId xmlns:a16="http://schemas.microsoft.com/office/drawing/2014/main" id="{8D231ACD-05EF-4CCB-ACB9-CBDDC893B23C}"/>
            </a:ext>
          </a:extLst>
        </xdr:cNvPr>
        <xdr:cNvPicPr>
          <a:picLocks noChangeAspect="1"/>
        </xdr:cNvPicPr>
      </xdr:nvPicPr>
      <xdr:blipFill>
        <a:blip xmlns:r="http://schemas.openxmlformats.org/officeDocument/2006/relationships" r:embed="rId1"/>
        <a:stretch>
          <a:fillRect/>
        </a:stretch>
      </xdr:blipFill>
      <xdr:spPr>
        <a:xfrm>
          <a:off x="0" y="1134672"/>
          <a:ext cx="3545293" cy="477833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GroupMember" displayName="GroupMember" ref="A2:AI1081" totalsRowShown="0" headerRowDxfId="105" tableBorderDxfId="104">
  <autoFilter ref="A2:AI1081" xr:uid="{00000000-000C-0000-FFFF-FFFF00000000}"/>
  <tableColumns count="35">
    <tableColumn id="1" xr3:uid="{00000000-0010-0000-0000-000001000000}" name="1. Identifiant interne d’exploitation agricole*" dataDxfId="103"/>
    <tableColumn id="2" xr3:uid="{00000000-0010-0000-0000-000002000000}" name="2. Identifiant national d’exploitation agricole**" dataDxfId="102"/>
    <tableColumn id="3" xr3:uid="{00000000-0010-0000-0000-000003000000}" name="3. Identifiant interne d’exploitation agricole*" dataDxfId="101"/>
    <tableColumn id="4" xr3:uid="{00000000-0010-0000-0000-000004000000}" name="4. Village*" dataDxfId="100"/>
    <tableColumn id="5" xr3:uid="{00000000-0010-0000-0000-000005000000}" name="5. Ville" dataDxfId="99"/>
    <tableColumn id="6" xr3:uid="{00000000-0010-0000-0000-000006000000}" name="6. District/État/Province*" dataDxfId="98"/>
    <tableColumn id="7" xr3:uid="{00000000-0010-0000-0000-000007000000}" name="7. Région d’inspection interne" dataDxfId="97"/>
    <tableColumn id="8" xr3:uid="{00000000-0010-0000-0000-000008000000}" name="8. Superficie totale de l’exploitation agricole (ha)*" dataDxfId="96"/>
    <tableColumn id="9" xr3:uid="{00000000-0010-0000-0000-000009000000}" name="9. Type d’exploitation agricole*" dataDxfId="95"/>
    <tableColumn id="10" xr3:uid="{00000000-0010-0000-0000-00000A000000}" name="10. Nombre d’unités agricoles*" dataDxfId="94"/>
    <tableColumn id="11" xr3:uid="{00000000-0010-0000-0000-00000B000000}" name="11. Première année de certification RA*" dataDxfId="93"/>
    <tableColumn id="12" xr3:uid="{00000000-0010-0000-0000-00000C000000}" name="12. Prénom*" dataDxfId="92"/>
    <tableColumn id="13" xr3:uid="{00000000-0010-0000-0000-00000D000000}" name="13. Nom*" dataDxfId="91"/>
    <tableColumn id="14" xr3:uid="{00000000-0010-0000-0000-00000E000000}" name="14. Numéro de téléphone**" dataDxfId="90"/>
    <tableColumn id="15" xr3:uid="{00000000-0010-0000-0000-00000F000000}" name="15. Numéro d’identification national**" dataDxfId="89"/>
    <tableColumn id="16" xr3:uid="{00000000-0010-0000-0000-000010000000}" name="16. Genre*" dataDxfId="88"/>
    <tableColumn id="17" xr3:uid="{00000000-0010-0000-0000-000011000000}" name="17. Année de naissance*" dataDxfId="87"/>
    <tableColumn id="18" xr3:uid="{00000000-0010-0000-0000-000012000000}" name="18. Taille du ménage*" dataDxfId="86"/>
    <tableColumn id="19" xr3:uid="{00000000-0010-0000-0000-000013000000}" name="19. Nom" dataDxfId="85"/>
    <tableColumn id="20" xr3:uid="{00000000-0010-0000-0000-000014000000}" name="20. Nom" dataDxfId="84"/>
    <tableColumn id="21" xr3:uid="{00000000-0010-0000-0000-000015000000}" name="21. Numéro de téléphone" dataDxfId="83"/>
    <tableColumn id="22" xr3:uid="{00000000-0010-0000-0000-000016000000}" name="22. Numéro d’identification national" dataDxfId="82"/>
    <tableColumn id="23" xr3:uid="{00000000-0010-0000-0000-000017000000}" name="23. Genre" dataDxfId="81"/>
    <tableColumn id="24" xr3:uid="{00000000-0010-0000-0000-000018000000}" name="24. Nombre de travailleurs permanents*" dataDxfId="80"/>
    <tableColumn id="25" xr3:uid="{00000000-0010-0000-0000-000019000000}" name="25. Estimation du nombre de travailleurs temporaires par an*" dataDxfId="79"/>
    <tableColumn id="26" xr3:uid="{00000000-0010-0000-0000-00001A000000}" name="26. Nom de l’inspecteur interne*" dataDxfId="78"/>
    <tableColumn id="27" xr3:uid="{00000000-0010-0000-0000-00001B000000}" name="27. Année de l’inspection interne*" dataDxfId="77"/>
    <tableColumn id="28" xr3:uid="{00000000-0010-0000-0000-00001C000000}" name="28. Mois de l’inspection interne*" dataDxfId="76"/>
    <tableColumn id="29" xr3:uid="{00000000-0010-0000-0000-00001D000000}" name="29. Jour de l’inspection interne*" dataDxfId="75"/>
    <tableColumn id="30" xr3:uid="{00000000-0010-0000-0000-00001E000000}" name="1. Identifiant interne de membre du groupe présent sur la feuille 2. Produit agricole certifié" dataDxfId="74">
      <calculatedColumnFormula>IF(ISBLANK(GroupMember[[#This Row],[1. Identifiant interne d’exploitation agricole*]]),"",IF(ISERROR(MATCH(GroupMember[[#This Row],[1. Identifiant interne d’exploitation agricole*]],CertifiedCrop[1. Identifiant interne d’exploitation agricole*],0)),FALSE,TRUE))</calculatedColumnFormula>
    </tableColumn>
    <tableColumn id="36" xr3:uid="{00000000-0010-0000-0000-000024000000}" name="1. Identifiant interne de membre du groupe présent sur la feuille 3. Unité agricole" dataDxfId="73">
      <calculatedColumnFormula>IF(ISBLANK(GroupMember[[#This Row],[1. Identifiant interne d’exploitation agricole*]]),"",IF(ISERROR(MATCH(GroupMember[[#This Row],[1. Identifiant interne d’exploitation agricole*]],FarmUnit[1. Identifiant interne d’exploitation agricole*],0)),FALSE,TRUE))</calculatedColumnFormula>
    </tableColumn>
    <tableColumn id="35" xr3:uid="{00000000-0010-0000-0000-000023000000}" name="Nom des membres du groupe" dataDxfId="72">
      <calculatedColumnFormula>IFERROR(CONCATENATE(L3," ",M3),"")</calculatedColumnFormula>
    </tableColumn>
    <tableColumn id="31" xr3:uid="{00000000-0010-0000-0000-00001F000000}" name="Date d’inspection interne" dataDxfId="71">
      <calculatedColumnFormula>CONCATENATE(AC3,"/",AB3,"/",AA3)</calculatedColumnFormula>
    </tableColumn>
    <tableColumn id="32" xr3:uid="{00000000-0010-0000-0000-000020000000}" name="Nbre d’inspections internes effectuées ce jour-là par cet inspecteur" dataDxfId="70">
      <calculatedColumnFormula>COUNTIFS(Z:Z,Z3,AG:AG,AG3)</calculatedColumnFormula>
    </tableColumn>
    <tableColumn id="33" xr3:uid="{00000000-0010-0000-0000-000021000000}" name="Nbre total de travailleurs (si temporaire = 1 mois)" dataDxfId="69">
      <calculatedColumnFormula>IF((X3+Y3/12)&lt;0,"",(X3+Y3/12))</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ertifiedCrop" displayName="CertifiedCrop" ref="A2:R1081" totalsRowShown="0" headerRowDxfId="62" tableBorderDxfId="61">
  <autoFilter ref="A2:R1081" xr:uid="{00000000-0009-0000-0100-000002000000}"/>
  <tableColumns count="18">
    <tableColumn id="1" xr3:uid="{00000000-0010-0000-0100-000001000000}" name="1. Identifiant interne d’exploitation agricole*" dataDxfId="60"/>
    <tableColumn id="2" xr3:uid="{00000000-0010-0000-0100-000002000000}" name="2. Produit agricole certifié*" dataDxfId="59"/>
    <tableColumn id="3" xr3:uid="{00000000-0010-0000-0100-000003000000}" name="3. Variété**" dataDxfId="58"/>
    <tableColumn id="4" xr3:uid="{00000000-0010-0000-0100-000004000000}" name="4. Superficie des produits agricoles certifiés * _x000a_(ha)" dataDxfId="57" dataCellStyle="Milliers"/>
    <tableColumn id="5" xr3:uid="{00000000-0010-0000-0100-000005000000}" name="5. Estimation totale de la récolte de l’année en cours* _x000a_(en kg ou en tiges de fleurs)" dataDxfId="56"/>
    <tableColumn id="6" xr3:uid="{00000000-0010-0000-0100-000006000000}" name="6. Récolte totale de l’année précédente* _x000a_(en kg ou en tiges de fleurs)" dataDxfId="55"/>
    <tableColumn id="7" xr3:uid="{00000000-0010-0000-0100-000007000000}" name="7. Volume vendu/livré au groupe l’année précédente *_x000a_(en kg ou en tiges de fleurs)" dataDxfId="54"/>
    <tableColumn id="8" xr3:uid="{00000000-0010-0000-0100-000008000000}" name="8. Volume vendu/livré au groupe les 2 années précédentes **_x000a_(en kg ou en tiges de fleurs)" dataDxfId="53"/>
    <tableColumn id="9" xr3:uid="{00000000-0010-0000-0100-000009000000}" name="9. Volume vendu/livré au groupe les 3 années précédentes **_x000a_(en kg ou en tiges de fleurs)" dataDxfId="52"/>
    <tableColumn id="17" xr3:uid="{00000000-0010-0000-0100-000011000000}" name="1. Identifiant interne de l’exploitation agricole présent sur la feuille 1. Membre du groupe" dataDxfId="51">
      <calculatedColumnFormula>IF(ISBLANK(CertifiedCrop[[#This Row],[1. Identifiant interne d’exploitation agricole*]]),"",IF(ISERROR(MATCH(CertifiedCrop[[#This Row],[1. Identifiant interne d’exploitation agricole*]],GroupMember[1. Identifiant interne d’exploitation agricole*],0)),FALSE,TRUE))</calculatedColumnFormula>
    </tableColumn>
    <tableColumn id="18" xr3:uid="{00000000-0010-0000-0100-000012000000}" name="2. Produit agricole certifié et 3. La combinaison de variétés est présente sur la liste des produits agricoles de la feuille." dataDxfId="50">
      <calculatedColumnFormula array="1">IF(ISBLANK(CertifiedCrop[[#This Row],[2. Produit agricole certifié*]]),"",IF(ISERROR(MATCH(1,(#REF!=CertifiedCrop[[#This Row],[2. Produit agricole certifié*]])*(#REF!=CertifiedCrop[[#This Row],[3. Variété**]]),0)),FALSE,TRUE))</calculatedColumnFormula>
    </tableColumn>
    <tableColumn id="10" xr3:uid="{00000000-0010-0000-0100-00000A000000}" name="Le volume vendu est supérieur à la récolte totale" dataDxfId="49">
      <calculatedColumnFormula>IF((F3-G3)&lt;0,"!","")</calculatedColumnFormula>
    </tableColumn>
    <tableColumn id="11" xr3:uid="{00000000-0010-0000-0100-00000B000000}" name="Croissance de la récolte" dataDxfId="48">
      <calculatedColumnFormula>IFERROR(IF((F3-G3)/G3&gt;25%,"!",IF((F3-G3)/G3&lt;-25%,"!","")),"")</calculatedColumnFormula>
    </tableColumn>
    <tableColumn id="12" xr3:uid="{00000000-0010-0000-0100-00000C000000}" name="Croissance du volume des ventes" dataDxfId="47">
      <calculatedColumnFormula>IFERROR(IF((G3-H3)/H3&gt;25%,"!",IF((G3-H3)/H3&lt;-25%,"!","")),"")</calculatedColumnFormula>
    </tableColumn>
    <tableColumn id="13" xr3:uid="{00000000-0010-0000-0100-00000D000000}" name="Rendement _x000a_estimé/ha" dataDxfId="46">
      <calculatedColumnFormula>IFERROR(E3/D3,"")</calculatedColumnFormula>
    </tableColumn>
    <tableColumn id="14" xr3:uid="{00000000-0010-0000-0100-00000E000000}" name="Rendement/ha_x000a_de l’année précédente" dataDxfId="45">
      <calculatedColumnFormula>IFERROR(F3/D3,"")</calculatedColumnFormula>
    </tableColumn>
    <tableColumn id="15" xr3:uid="{00000000-0010-0000-0100-00000F000000}" name="Superficie certifiée moins la superficie totale de l’exploitation" dataDxfId="44">
      <calculatedColumnFormula>IFERROR((VLOOKUP(A3,GM_Table,8,FALSE)-SUMIFS(D:D,A:A,A3,B:B,B3,C:C,C3)),"")</calculatedColumnFormula>
    </tableColumn>
    <tableColumn id="16" xr3:uid="{00000000-0010-0000-0100-000010000000}" name="Membre du groupe" dataDxfId="43">
      <calculatedColumnFormula>IFERROR(CONCATENATE(VLOOKUP(A3,GM_Table,12,FALSE)," ",(VLOOKUP(A3,GM_Table,13,FALSE))),"")</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FarmUnit" displayName="FarmUnit" ref="A2:J1081" totalsRowShown="0" headerRowDxfId="31" tableBorderDxfId="30">
  <autoFilter ref="A2:J1081" xr:uid="{00000000-0009-0000-0100-000003000000}"/>
  <tableColumns count="10">
    <tableColumn id="1" xr3:uid="{00000000-0010-0000-0200-000001000000}" name="1. Identifiant interne d’exploitation agricole*" dataDxfId="29"/>
    <tableColumn id="2" xr3:uid="{00000000-0010-0000-0200-000002000000}" name="2. Identifiant d’unité agricole*" dataDxfId="28"/>
    <tableColumn id="3" xr3:uid="{00000000-0010-0000-0200-000003000000}" name="3. Superficie de l’unité agricole (ha)*" dataDxfId="27" dataCellStyle="Milliers"/>
    <tableColumn id="4" xr3:uid="{00000000-0010-0000-0200-000004000000}" name="4. Latitude (format DD)**" dataDxfId="26"/>
    <tableColumn id="5" xr3:uid="{00000000-0010-0000-0200-000005000000}" name="5. Longitude (format DD)**" dataDxfId="25"/>
    <tableColumn id="10" xr3:uid="{00000000-0010-0000-0200-00000A000000}" name="1. Identifiant interne de l’exploitation agricole présent sur la feuille 1. Membre du groupe" dataDxfId="24">
      <calculatedColumnFormula>IF(ISBLANK(FarmUnit[[#This Row],[1. Identifiant interne d’exploitation agricole*]]),"",IF(ISERROR(MATCH(FarmUnit[[#This Row],[1. Identifiant interne d’exploitation agricole*]],GroupMember[1. Identifiant interne d’exploitation agricole*],0)),FALSE,TRUE))</calculatedColumnFormula>
    </tableColumn>
    <tableColumn id="6" xr3:uid="{00000000-0010-0000-0200-000006000000}" name="Vérification de la latitude" dataDxfId="23">
      <calculatedColumnFormula>IF(D3=0,"",D3)</calculatedColumnFormula>
    </tableColumn>
    <tableColumn id="7" xr3:uid="{00000000-0010-0000-0200-000007000000}" name="Vérification de la longitude" dataDxfId="22">
      <calculatedColumnFormula>IF(E3=0,"",E3)</calculatedColumnFormula>
    </tableColumn>
    <tableColumn id="8" xr3:uid="{00000000-0010-0000-0200-000008000000}" name="S’agit-il de la plus grande unité agricole" dataDxfId="21">
      <calculatedColumnFormula array="1">IF(ISBLANK(C3),"",IF(C3=MAX(IF(FarmUnit[1. Identifiant interne d’exploitation agricole*]=A3,FarmUnit[3. Superficie de l’unité agricole (ha)*])),"!","-"))</calculatedColumnFormula>
    </tableColumn>
    <tableColumn id="9" xr3:uid="{00000000-0010-0000-0200-000009000000}" name="Membre du groupe" dataDxfId="20">
      <calculatedColumnFormula>IFERROR(CONCATENATE(VLOOKUP(A3,GM_Table,12,FALSE)," ",(VLOOKUP(A3,GM_Table,13,FALSE))),"")</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Croplist6" displayName="Croplist6" ref="A1:D372" totalsRowShown="0" dataDxfId="4">
  <autoFilter ref="A1:D372" xr:uid="{00000000-0009-0000-0100-000005000000}"/>
  <tableColumns count="4">
    <tableColumn id="1" xr3:uid="{00000000-0010-0000-0300-000001000000}" name="Nom final du produit agricole" dataDxfId="3"/>
    <tableColumn id="2" xr3:uid="{00000000-0010-0000-0300-000002000000}" name="Variété finale" dataDxfId="2"/>
    <tableColumn id="3" xr3:uid="{00000000-0010-0000-0300-000003000000}" name="Champ d’application de la certification (si aucun autre produit agricole RA)" dataDxfId="1"/>
    <tableColumn id="4" xr3:uid="{00000000-0010-0000-0300-000004000000}" name="Catégorie" dataDxfId="0"/>
  </tableColumns>
  <tableStyleInfo name="TableStyleMedium2" showFirstColumn="0" showLastColumn="0" showRowStripes="1" showColumnStripes="0"/>
</table>
</file>

<file path=xl/theme/theme1.xml><?xml version="1.0" encoding="utf-8"?>
<a:theme xmlns:a="http://schemas.openxmlformats.org/drawingml/2006/main" name="Office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 /><Relationship Id="rId1" Type="http://schemas.openxmlformats.org/officeDocument/2006/relationships/printerSettings" Target="../printerSettings/printerSettings2.bin" /></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 /><Relationship Id="rId1" Type="http://schemas.openxmlformats.org/officeDocument/2006/relationships/printerSettings" Target="../printerSettings/printerSettings3.bin" /></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 /><Relationship Id="rId1" Type="http://schemas.openxmlformats.org/officeDocument/2006/relationships/printerSettings" Target="../printerSettings/printerSettings4.bin" /></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 /><Relationship Id="rId1" Type="http://schemas.openxmlformats.org/officeDocument/2006/relationships/printerSettings" Target="../printerSettings/printerSettings7.bin" /></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5259"/>
  </sheetPr>
  <dimension ref="A1:M36"/>
  <sheetViews>
    <sheetView showGridLines="0" showWhiteSpace="0" zoomScaleNormal="100" workbookViewId="0">
      <selection activeCell="D32" sqref="D32"/>
    </sheetView>
  </sheetViews>
  <sheetFormatPr defaultColWidth="10.76171875" defaultRowHeight="15" x14ac:dyDescent="0.2"/>
  <cols>
    <col min="1" max="5" width="10.76171875" style="25"/>
    <col min="6" max="6" width="11.703125" style="25" customWidth="1"/>
    <col min="7" max="7" width="15.46875" style="25" customWidth="1"/>
    <col min="8" max="16384" width="10.76171875" style="25"/>
  </cols>
  <sheetData>
    <row r="1" spans="1:13" ht="45.75" x14ac:dyDescent="0.2">
      <c r="A1" s="24" t="s">
        <v>297</v>
      </c>
    </row>
    <row r="2" spans="1:13" ht="24.75" x14ac:dyDescent="0.2">
      <c r="A2" s="26" t="s">
        <v>298</v>
      </c>
    </row>
    <row r="3" spans="1:13" ht="17.25" x14ac:dyDescent="0.2">
      <c r="A3" s="27" t="s">
        <v>0</v>
      </c>
    </row>
    <row r="4" spans="1:13" ht="16.149999999999999" customHeight="1" x14ac:dyDescent="0.2">
      <c r="F4" s="28" t="s">
        <v>299</v>
      </c>
    </row>
    <row r="5" spans="1:13" ht="18" customHeight="1" x14ac:dyDescent="0.2">
      <c r="A5" s="27"/>
      <c r="F5" s="516" t="s">
        <v>300</v>
      </c>
      <c r="G5" s="516"/>
      <c r="H5" s="516"/>
      <c r="I5" s="516"/>
      <c r="J5" s="516"/>
      <c r="K5" s="516"/>
      <c r="L5" s="516"/>
      <c r="M5" s="516"/>
    </row>
    <row r="6" spans="1:13" x14ac:dyDescent="0.2">
      <c r="F6" s="516"/>
      <c r="G6" s="516"/>
      <c r="H6" s="516"/>
      <c r="I6" s="516"/>
      <c r="J6" s="516"/>
      <c r="K6" s="516"/>
      <c r="L6" s="516"/>
      <c r="M6" s="516"/>
    </row>
    <row r="7" spans="1:13" x14ac:dyDescent="0.2">
      <c r="F7" s="516"/>
      <c r="G7" s="516"/>
      <c r="H7" s="516"/>
      <c r="I7" s="516"/>
      <c r="J7" s="516"/>
      <c r="K7" s="516"/>
      <c r="L7" s="516"/>
      <c r="M7" s="516"/>
    </row>
    <row r="8" spans="1:13" x14ac:dyDescent="0.2">
      <c r="F8" s="516"/>
      <c r="G8" s="516"/>
      <c r="H8" s="516"/>
      <c r="I8" s="516"/>
      <c r="J8" s="516"/>
      <c r="K8" s="516"/>
      <c r="L8" s="516"/>
      <c r="M8" s="516"/>
    </row>
    <row r="9" spans="1:13" ht="16.149999999999999" customHeight="1" x14ac:dyDescent="0.2">
      <c r="F9" s="29" t="s">
        <v>301</v>
      </c>
    </row>
    <row r="10" spans="1:13" ht="16.149999999999999" customHeight="1" x14ac:dyDescent="0.2">
      <c r="F10" s="517" t="s">
        <v>302</v>
      </c>
      <c r="G10" s="517"/>
      <c r="H10" s="517"/>
      <c r="I10" s="517"/>
      <c r="J10" s="517"/>
      <c r="K10" s="517"/>
      <c r="L10" s="517"/>
      <c r="M10" s="517"/>
    </row>
    <row r="11" spans="1:13" ht="23.65" customHeight="1" x14ac:dyDescent="0.2">
      <c r="F11" s="517"/>
      <c r="G11" s="517"/>
      <c r="H11" s="517"/>
      <c r="I11" s="517"/>
      <c r="J11" s="517"/>
      <c r="K11" s="517"/>
      <c r="L11" s="517"/>
      <c r="M11" s="517"/>
    </row>
    <row r="12" spans="1:13" ht="16.149999999999999" customHeight="1" x14ac:dyDescent="0.2">
      <c r="F12" s="120"/>
      <c r="G12" s="120"/>
      <c r="H12" s="120"/>
      <c r="I12" s="120"/>
      <c r="J12" s="120"/>
      <c r="K12" s="120"/>
      <c r="L12" s="120"/>
      <c r="M12" s="120"/>
    </row>
    <row r="13" spans="1:13" ht="18.600000000000001" customHeight="1" x14ac:dyDescent="0.2">
      <c r="F13" s="518" t="s">
        <v>303</v>
      </c>
      <c r="G13" s="519"/>
      <c r="H13" s="519"/>
      <c r="I13" s="519"/>
      <c r="J13" s="520" t="s">
        <v>304</v>
      </c>
      <c r="K13" s="520"/>
      <c r="L13" s="520" t="s">
        <v>305</v>
      </c>
      <c r="M13" s="520"/>
    </row>
    <row r="14" spans="1:13" ht="22.15" customHeight="1" x14ac:dyDescent="0.2">
      <c r="F14" s="515" t="s">
        <v>306</v>
      </c>
      <c r="G14" s="515"/>
      <c r="H14" s="515"/>
      <c r="I14" s="515"/>
      <c r="J14" s="515" t="s">
        <v>1</v>
      </c>
      <c r="K14" s="515"/>
      <c r="L14" s="515">
        <v>1.2</v>
      </c>
      <c r="M14" s="515"/>
    </row>
    <row r="15" spans="1:13" s="30" customFormat="1" ht="31.9" customHeight="1" x14ac:dyDescent="0.2">
      <c r="F15" s="521" t="s">
        <v>307</v>
      </c>
      <c r="G15" s="521"/>
      <c r="H15" s="522" t="s">
        <v>308</v>
      </c>
      <c r="I15" s="522"/>
      <c r="J15" s="518" t="s">
        <v>309</v>
      </c>
      <c r="K15" s="518"/>
      <c r="L15" s="518" t="s">
        <v>310</v>
      </c>
      <c r="M15" s="518"/>
    </row>
    <row r="16" spans="1:13" ht="18.600000000000001" customHeight="1" x14ac:dyDescent="0.2">
      <c r="F16" s="523" t="s">
        <v>311</v>
      </c>
      <c r="G16" s="523"/>
      <c r="H16" s="524" t="s">
        <v>2</v>
      </c>
      <c r="I16" s="523"/>
      <c r="J16" s="523" t="s">
        <v>312</v>
      </c>
      <c r="K16" s="523"/>
      <c r="L16" s="523" t="s">
        <v>313</v>
      </c>
      <c r="M16" s="523"/>
    </row>
    <row r="17" spans="1:13" ht="18.600000000000001" customHeight="1" x14ac:dyDescent="0.2">
      <c r="F17" s="521" t="s">
        <v>314</v>
      </c>
      <c r="G17" s="521"/>
      <c r="H17" s="521"/>
      <c r="I17" s="521"/>
      <c r="J17" s="521" t="s">
        <v>315</v>
      </c>
      <c r="K17" s="521"/>
      <c r="L17" s="521"/>
      <c r="M17" s="521"/>
    </row>
    <row r="18" spans="1:13" ht="26.65" customHeight="1" x14ac:dyDescent="0.2">
      <c r="F18" s="525" t="s">
        <v>316</v>
      </c>
      <c r="G18" s="525"/>
      <c r="H18" s="525"/>
      <c r="I18" s="525"/>
      <c r="J18" s="525" t="s">
        <v>317</v>
      </c>
      <c r="K18" s="525"/>
      <c r="L18" s="525"/>
      <c r="M18" s="525"/>
    </row>
    <row r="19" spans="1:13" ht="18.600000000000001" customHeight="1" x14ac:dyDescent="0.2">
      <c r="F19" s="518" t="s">
        <v>318</v>
      </c>
      <c r="G19" s="518"/>
      <c r="H19" s="518"/>
      <c r="I19" s="518"/>
      <c r="J19" s="518"/>
      <c r="K19" s="518"/>
      <c r="L19" s="518"/>
      <c r="M19" s="518"/>
    </row>
    <row r="20" spans="1:13" ht="18.600000000000001" customHeight="1" x14ac:dyDescent="0.2">
      <c r="F20" s="526" t="s">
        <v>319</v>
      </c>
      <c r="G20" s="527"/>
      <c r="H20" s="527"/>
      <c r="I20" s="527"/>
      <c r="J20" s="527"/>
      <c r="K20" s="527"/>
      <c r="L20" s="527"/>
      <c r="M20" s="528"/>
    </row>
    <row r="21" spans="1:13" ht="18.600000000000001" customHeight="1" x14ac:dyDescent="0.2">
      <c r="F21" s="529"/>
      <c r="G21" s="516"/>
      <c r="H21" s="516"/>
      <c r="I21" s="516"/>
      <c r="J21" s="516"/>
      <c r="K21" s="516"/>
      <c r="L21" s="516"/>
      <c r="M21" s="530"/>
    </row>
    <row r="22" spans="1:13" ht="18.600000000000001" customHeight="1" x14ac:dyDescent="0.2">
      <c r="F22" s="529"/>
      <c r="G22" s="516"/>
      <c r="H22" s="516"/>
      <c r="I22" s="516"/>
      <c r="J22" s="516"/>
      <c r="K22" s="516"/>
      <c r="L22" s="516"/>
      <c r="M22" s="530"/>
    </row>
    <row r="23" spans="1:13" ht="18.600000000000001" customHeight="1" x14ac:dyDescent="0.2">
      <c r="F23" s="518" t="s">
        <v>320</v>
      </c>
      <c r="G23" s="518"/>
      <c r="H23" s="518"/>
      <c r="I23" s="518"/>
      <c r="J23" s="518"/>
      <c r="K23" s="518"/>
      <c r="L23" s="518"/>
      <c r="M23" s="518"/>
    </row>
    <row r="24" spans="1:13" ht="18.600000000000001" customHeight="1" x14ac:dyDescent="0.2">
      <c r="F24" s="515"/>
      <c r="G24" s="515"/>
      <c r="H24" s="515"/>
      <c r="I24" s="515"/>
      <c r="J24" s="515"/>
      <c r="K24" s="515"/>
      <c r="L24" s="515"/>
      <c r="M24" s="515"/>
    </row>
    <row r="25" spans="1:13" ht="18.600000000000001" customHeight="1" x14ac:dyDescent="0.2">
      <c r="F25" s="518" t="s">
        <v>321</v>
      </c>
      <c r="G25" s="518"/>
      <c r="H25" s="518"/>
      <c r="I25" s="518"/>
      <c r="J25" s="518"/>
      <c r="K25" s="518"/>
      <c r="L25" s="518"/>
      <c r="M25" s="518"/>
    </row>
    <row r="26" spans="1:13" ht="18.600000000000001" customHeight="1" x14ac:dyDescent="0.2">
      <c r="F26" s="523" t="s">
        <v>322</v>
      </c>
      <c r="G26" s="523"/>
      <c r="H26" s="523"/>
      <c r="I26" s="523"/>
      <c r="J26" s="523"/>
      <c r="K26" s="523"/>
      <c r="L26" s="523"/>
      <c r="M26" s="523"/>
    </row>
    <row r="27" spans="1:13" ht="18.600000000000001" customHeight="1" x14ac:dyDescent="0.2">
      <c r="F27" s="518" t="s">
        <v>323</v>
      </c>
      <c r="G27" s="518"/>
      <c r="H27" s="518"/>
      <c r="I27" s="518"/>
      <c r="J27" s="518"/>
      <c r="K27" s="518"/>
      <c r="L27" s="518"/>
      <c r="M27" s="518"/>
    </row>
    <row r="28" spans="1:13" ht="18.600000000000001" customHeight="1" x14ac:dyDescent="0.2">
      <c r="F28" s="515" t="s">
        <v>324</v>
      </c>
      <c r="G28" s="515"/>
      <c r="H28" s="515"/>
      <c r="I28" s="515"/>
      <c r="J28" s="515"/>
      <c r="K28" s="515"/>
      <c r="L28" s="515"/>
      <c r="M28" s="515"/>
    </row>
    <row r="29" spans="1:13" ht="18.600000000000001" customHeight="1" x14ac:dyDescent="0.2">
      <c r="F29" s="518" t="s">
        <v>325</v>
      </c>
      <c r="G29" s="518"/>
      <c r="H29" s="518"/>
      <c r="I29" s="518"/>
      <c r="J29" s="518" t="s">
        <v>326</v>
      </c>
      <c r="K29" s="518"/>
      <c r="L29" s="518"/>
      <c r="M29" s="518"/>
    </row>
    <row r="30" spans="1:13" ht="18.75" customHeight="1" x14ac:dyDescent="0.2">
      <c r="A30" s="31" t="s">
        <v>329</v>
      </c>
      <c r="F30" s="525" t="s">
        <v>327</v>
      </c>
      <c r="G30" s="525"/>
      <c r="H30" s="525"/>
      <c r="I30" s="525"/>
      <c r="J30" s="525" t="s">
        <v>328</v>
      </c>
      <c r="K30" s="525"/>
      <c r="L30" s="525"/>
      <c r="M30" s="525"/>
    </row>
    <row r="31" spans="1:13" ht="21" customHeight="1" x14ac:dyDescent="0.2">
      <c r="F31" s="525"/>
      <c r="G31" s="525"/>
      <c r="H31" s="525"/>
      <c r="I31" s="525"/>
      <c r="J31" s="525"/>
      <c r="K31" s="525"/>
      <c r="L31" s="525"/>
      <c r="M31" s="525"/>
    </row>
    <row r="32" spans="1:13" ht="21" customHeight="1" x14ac:dyDescent="0.2">
      <c r="F32" s="59"/>
      <c r="G32" s="59"/>
      <c r="H32" s="59"/>
      <c r="I32" s="59"/>
      <c r="J32" s="59"/>
      <c r="K32" s="59"/>
      <c r="L32" s="59"/>
      <c r="M32" s="59"/>
    </row>
    <row r="33" spans="1:13" x14ac:dyDescent="0.2">
      <c r="A33" s="32" t="s">
        <v>3</v>
      </c>
      <c r="F33" s="3" t="s">
        <v>330</v>
      </c>
    </row>
    <row r="34" spans="1:13" ht="14.65" customHeight="1" x14ac:dyDescent="0.2">
      <c r="F34" s="531" t="s">
        <v>331</v>
      </c>
      <c r="G34" s="531"/>
      <c r="H34" s="531"/>
      <c r="I34" s="531"/>
      <c r="J34" s="531"/>
      <c r="K34" s="531"/>
      <c r="L34" s="531"/>
      <c r="M34" s="531"/>
    </row>
    <row r="35" spans="1:13" x14ac:dyDescent="0.2">
      <c r="F35" s="531"/>
      <c r="G35" s="531"/>
      <c r="H35" s="531"/>
      <c r="I35" s="531"/>
      <c r="J35" s="531"/>
      <c r="K35" s="531"/>
      <c r="L35" s="531"/>
      <c r="M35" s="531"/>
    </row>
    <row r="36" spans="1:13" x14ac:dyDescent="0.2">
      <c r="F36" s="33"/>
    </row>
  </sheetData>
  <sheetProtection algorithmName="SHA-512" hashValue="FBOKYiufou14CmGAYklUalrWoY41bzI/A6pIQuo7azZeN/xW7LzXNEr4GQZVVOYTZBBqdPpx84WEgf0xRcMtoA==" saltValue="fqHO2eVL0KNLdkVIVVnSTA==" spinCount="100000" sheet="1" objects="1" scenarios="1"/>
  <mergeCells count="33">
    <mergeCell ref="F29:I29"/>
    <mergeCell ref="J29:M29"/>
    <mergeCell ref="F30:I31"/>
    <mergeCell ref="J30:M31"/>
    <mergeCell ref="F34:M35"/>
    <mergeCell ref="F28:M28"/>
    <mergeCell ref="F17:I17"/>
    <mergeCell ref="J17:M17"/>
    <mergeCell ref="F18:I18"/>
    <mergeCell ref="J18:M18"/>
    <mergeCell ref="F19:M19"/>
    <mergeCell ref="F20:M22"/>
    <mergeCell ref="F23:M23"/>
    <mergeCell ref="F24:M24"/>
    <mergeCell ref="F25:M25"/>
    <mergeCell ref="F26:M26"/>
    <mergeCell ref="F27:M27"/>
    <mergeCell ref="F15:G15"/>
    <mergeCell ref="H15:I15"/>
    <mergeCell ref="J15:K15"/>
    <mergeCell ref="L15:M15"/>
    <mergeCell ref="F16:G16"/>
    <mergeCell ref="H16:I16"/>
    <mergeCell ref="J16:K16"/>
    <mergeCell ref="L16:M16"/>
    <mergeCell ref="F14:I14"/>
    <mergeCell ref="J14:K14"/>
    <mergeCell ref="L14:M14"/>
    <mergeCell ref="F5:M8"/>
    <mergeCell ref="F10:M11"/>
    <mergeCell ref="F13:I13"/>
    <mergeCell ref="J13:K13"/>
    <mergeCell ref="L13:M13"/>
  </mergeCell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tabColor rgb="FF94BA29"/>
    <pageSetUpPr fitToPage="1"/>
  </sheetPr>
  <dimension ref="A1:AP1081"/>
  <sheetViews>
    <sheetView tabSelected="1" topLeftCell="A1054" zoomScale="80" zoomScaleNormal="80" zoomScalePageLayoutView="75" workbookViewId="0">
      <pane xSplit="1" topLeftCell="B1054" activePane="topRight" state="frozen"/>
      <selection activeCell="B4" sqref="B4"/>
      <selection pane="topRight" activeCell="C1066" sqref="C1066"/>
    </sheetView>
  </sheetViews>
  <sheetFormatPr defaultColWidth="8.7421875" defaultRowHeight="14.25" x14ac:dyDescent="0.2"/>
  <cols>
    <col min="1" max="1" width="22.328125" style="1" customWidth="1"/>
    <col min="2" max="2" width="23.40625" style="1" customWidth="1"/>
    <col min="3" max="3" width="21.65625" style="1" customWidth="1"/>
    <col min="4" max="4" width="18.29296875" style="1" customWidth="1"/>
    <col min="5" max="5" width="20.4453125" style="1" customWidth="1"/>
    <col min="6" max="6" width="22.328125" style="1" customWidth="1"/>
    <col min="7" max="7" width="21.38671875" style="1" customWidth="1"/>
    <col min="8" max="8" width="19.7734375" style="2" customWidth="1"/>
    <col min="9" max="9" width="20.71484375" style="1" customWidth="1"/>
    <col min="10" max="10" width="18.5625" style="1" customWidth="1"/>
    <col min="11" max="11" width="21.65625" style="2" customWidth="1"/>
    <col min="12" max="12" width="22.59765625" style="1" customWidth="1"/>
    <col min="13" max="13" width="20.71484375" style="1" customWidth="1"/>
    <col min="14" max="14" width="23.26953125" style="1" customWidth="1"/>
    <col min="15" max="15" width="22.05859375" style="1" customWidth="1"/>
    <col min="16" max="17" width="20.71484375" style="1" customWidth="1"/>
    <col min="18" max="18" width="18.96484375" style="1" customWidth="1"/>
    <col min="19" max="20" width="20.71484375" style="1" customWidth="1"/>
    <col min="21" max="21" width="21.25390625" style="1" customWidth="1"/>
    <col min="22" max="22" width="25.9609375" style="1" customWidth="1"/>
    <col min="23" max="23" width="20.71484375" style="1" customWidth="1"/>
    <col min="24" max="24" width="24.6171875" style="2" customWidth="1"/>
    <col min="25" max="25" width="34.97265625" style="2" customWidth="1"/>
    <col min="26" max="26" width="25.69140625" style="45" customWidth="1"/>
    <col min="27" max="27" width="23.9453125" style="46" customWidth="1"/>
    <col min="28" max="28" width="22.734375" style="45" customWidth="1"/>
    <col min="29" max="29" width="21.25390625" style="45" customWidth="1"/>
    <col min="30" max="32" width="23.67578125" style="52" customWidth="1"/>
    <col min="33" max="33" width="18.0234375" style="52" customWidth="1"/>
    <col min="34" max="35" width="21.38671875" style="53" customWidth="1"/>
    <col min="36" max="36" width="31.609375" style="1" customWidth="1"/>
    <col min="37" max="37" width="13.046875" style="1" customWidth="1"/>
    <col min="38" max="16384" width="8.7421875" style="1"/>
  </cols>
  <sheetData>
    <row r="1" spans="1:42" s="62" customFormat="1" ht="55.9" customHeight="1" x14ac:dyDescent="0.2">
      <c r="A1" s="124" t="s">
        <v>99</v>
      </c>
      <c r="B1" s="532" t="s">
        <v>110</v>
      </c>
      <c r="C1" s="532"/>
      <c r="D1" s="532"/>
      <c r="E1" s="532"/>
      <c r="F1" s="532"/>
      <c r="G1" s="532"/>
      <c r="H1" s="532"/>
      <c r="I1" s="532"/>
      <c r="J1" s="532"/>
      <c r="K1" s="533"/>
      <c r="L1" s="538" t="s">
        <v>118</v>
      </c>
      <c r="M1" s="538"/>
      <c r="N1" s="538"/>
      <c r="O1" s="538"/>
      <c r="P1" s="538"/>
      <c r="Q1" s="538"/>
      <c r="R1" s="538"/>
      <c r="S1" s="536" t="s">
        <v>124</v>
      </c>
      <c r="T1" s="537"/>
      <c r="U1" s="537"/>
      <c r="V1" s="537"/>
      <c r="W1" s="537"/>
      <c r="X1" s="534" t="s">
        <v>127</v>
      </c>
      <c r="Y1" s="535"/>
      <c r="Z1" s="539" t="s">
        <v>132</v>
      </c>
      <c r="AA1" s="540"/>
      <c r="AB1" s="540"/>
      <c r="AC1" s="540"/>
      <c r="AD1" s="60"/>
      <c r="AE1" s="60" t="s">
        <v>139</v>
      </c>
      <c r="AF1" s="60" t="s">
        <v>140</v>
      </c>
      <c r="AG1" s="60" t="s">
        <v>141</v>
      </c>
      <c r="AH1" s="60"/>
      <c r="AI1" s="60"/>
      <c r="AJ1" s="61"/>
      <c r="AK1" s="61"/>
      <c r="AL1" s="61"/>
      <c r="AM1" s="61"/>
      <c r="AN1" s="61"/>
      <c r="AO1" s="61"/>
      <c r="AP1" s="61"/>
    </row>
    <row r="2" spans="1:42" s="67" customFormat="1" ht="87.75" x14ac:dyDescent="0.2">
      <c r="A2" s="63" t="s">
        <v>100</v>
      </c>
      <c r="B2" s="125" t="s">
        <v>101</v>
      </c>
      <c r="C2" s="125" t="s">
        <v>102</v>
      </c>
      <c r="D2" s="125" t="s">
        <v>4</v>
      </c>
      <c r="E2" s="125" t="s">
        <v>103</v>
      </c>
      <c r="F2" s="125" t="s">
        <v>104</v>
      </c>
      <c r="G2" s="125" t="s">
        <v>105</v>
      </c>
      <c r="H2" s="126" t="s">
        <v>106</v>
      </c>
      <c r="I2" s="125" t="s">
        <v>107</v>
      </c>
      <c r="J2" s="125" t="s">
        <v>108</v>
      </c>
      <c r="K2" s="126" t="s">
        <v>109</v>
      </c>
      <c r="L2" s="127" t="s">
        <v>111</v>
      </c>
      <c r="M2" s="127" t="s">
        <v>112</v>
      </c>
      <c r="N2" s="127" t="s">
        <v>113</v>
      </c>
      <c r="O2" s="127" t="s">
        <v>114</v>
      </c>
      <c r="P2" s="127" t="s">
        <v>115</v>
      </c>
      <c r="Q2" s="127" t="s">
        <v>116</v>
      </c>
      <c r="R2" s="128" t="s">
        <v>117</v>
      </c>
      <c r="S2" s="129" t="s">
        <v>119</v>
      </c>
      <c r="T2" s="129" t="s">
        <v>120</v>
      </c>
      <c r="U2" s="129" t="s">
        <v>121</v>
      </c>
      <c r="V2" s="129" t="s">
        <v>122</v>
      </c>
      <c r="W2" s="129" t="s">
        <v>123</v>
      </c>
      <c r="X2" s="64" t="s">
        <v>125</v>
      </c>
      <c r="Y2" s="64" t="s">
        <v>126</v>
      </c>
      <c r="Z2" s="130" t="s">
        <v>128</v>
      </c>
      <c r="AA2" s="131" t="s">
        <v>129</v>
      </c>
      <c r="AB2" s="130" t="s">
        <v>130</v>
      </c>
      <c r="AC2" s="132" t="s">
        <v>131</v>
      </c>
      <c r="AD2" s="60" t="s">
        <v>133</v>
      </c>
      <c r="AE2" s="60" t="s">
        <v>134</v>
      </c>
      <c r="AF2" s="60" t="s">
        <v>135</v>
      </c>
      <c r="AG2" s="60" t="s">
        <v>136</v>
      </c>
      <c r="AH2" s="60" t="s">
        <v>137</v>
      </c>
      <c r="AI2" s="60" t="s">
        <v>138</v>
      </c>
      <c r="AJ2" s="65" t="s">
        <v>142</v>
      </c>
      <c r="AK2" s="66"/>
      <c r="AL2" s="66"/>
      <c r="AM2" s="66"/>
      <c r="AN2" s="66"/>
      <c r="AO2" s="66"/>
      <c r="AP2" s="66"/>
    </row>
    <row r="3" spans="1:42" ht="13.15" customHeight="1" x14ac:dyDescent="0.2">
      <c r="A3" s="145" t="s">
        <v>667</v>
      </c>
      <c r="B3" s="146" t="s">
        <v>668</v>
      </c>
      <c r="C3" s="145" t="s">
        <v>667</v>
      </c>
      <c r="D3" s="147" t="s">
        <v>669</v>
      </c>
      <c r="E3" s="146" t="s">
        <v>670</v>
      </c>
      <c r="F3" s="146" t="s">
        <v>671</v>
      </c>
      <c r="G3" s="146" t="s">
        <v>672</v>
      </c>
      <c r="H3" s="148">
        <v>3</v>
      </c>
      <c r="I3" s="146" t="s">
        <v>673</v>
      </c>
      <c r="J3" s="149">
        <v>1</v>
      </c>
      <c r="K3" s="150">
        <v>2021</v>
      </c>
      <c r="L3" s="151" t="s">
        <v>674</v>
      </c>
      <c r="M3" s="151" t="s">
        <v>675</v>
      </c>
      <c r="N3" s="152"/>
      <c r="O3" s="153"/>
      <c r="P3" s="154" t="s">
        <v>676</v>
      </c>
      <c r="Q3" s="154"/>
      <c r="R3" s="155">
        <v>6</v>
      </c>
      <c r="S3" s="146"/>
      <c r="T3" s="146"/>
      <c r="U3" s="146"/>
      <c r="V3" s="146"/>
      <c r="W3" s="146"/>
      <c r="X3" s="156">
        <v>0</v>
      </c>
      <c r="Y3" s="156">
        <v>0</v>
      </c>
      <c r="Z3" s="157" t="s">
        <v>677</v>
      </c>
      <c r="AA3" s="158">
        <v>2021</v>
      </c>
      <c r="AB3" s="158">
        <v>7</v>
      </c>
      <c r="AC3" s="158">
        <v>3</v>
      </c>
      <c r="AD3" s="121" t="b">
        <f>IF(ISBLANK(GroupMember[[#This Row],[1. Identifiant interne d’exploitation agricole*]]),"",IF(ISERROR(MATCH(GroupMember[[#This Row],[1. Identifiant interne d’exploitation agricole*]],CertifiedCrop[1. Identifiant interne d’exploitation agricole*],0)),FALSE,TRUE))</f>
        <v>1</v>
      </c>
      <c r="AE3" s="121" t="b">
        <f>IF(ISBLANK(GroupMember[[#This Row],[1. Identifiant interne d’exploitation agricole*]]),"",IF(ISERROR(MATCH(GroupMember[[#This Row],[1. Identifiant interne d’exploitation agricole*]],FarmUnit[1. Identifiant interne d’exploitation agricole*],0)),FALSE,TRUE))</f>
        <v>1</v>
      </c>
      <c r="AF3" s="9" t="str">
        <f t="shared" ref="AF3:AF50" si="0">IFERROR(CONCATENATE(L3," ",M3),"")</f>
        <v>ZRANHIREU  BAGUI HONORE</v>
      </c>
      <c r="AG3" s="47" t="str">
        <f>CONCATENATE(AC3,"/",AB3,"/",AA3)</f>
        <v>3/7/2021</v>
      </c>
      <c r="AH3" s="48">
        <f>COUNTIFS(Z:Z,Z3,AG:AG,AG3)</f>
        <v>4</v>
      </c>
      <c r="AI3" s="49">
        <f t="shared" ref="AI3:AI50" si="1">IF((X3+Y3/12)&lt;0,"",(X3+Y3/12))</f>
        <v>0</v>
      </c>
    </row>
    <row r="4" spans="1:42" ht="13.15" customHeight="1" x14ac:dyDescent="0.2">
      <c r="A4" s="145" t="s">
        <v>678</v>
      </c>
      <c r="B4" s="146" t="s">
        <v>668</v>
      </c>
      <c r="C4" s="145" t="s">
        <v>678</v>
      </c>
      <c r="D4" s="147" t="s">
        <v>669</v>
      </c>
      <c r="E4" s="146" t="s">
        <v>670</v>
      </c>
      <c r="F4" s="146" t="s">
        <v>671</v>
      </c>
      <c r="G4" s="146" t="s">
        <v>672</v>
      </c>
      <c r="H4" s="148">
        <v>2.2599999999999998</v>
      </c>
      <c r="I4" s="146" t="s">
        <v>673</v>
      </c>
      <c r="J4" s="149">
        <v>1</v>
      </c>
      <c r="K4" s="150">
        <v>2021</v>
      </c>
      <c r="L4" s="151" t="s">
        <v>679</v>
      </c>
      <c r="M4" s="151" t="s">
        <v>680</v>
      </c>
      <c r="N4" s="152"/>
      <c r="O4" s="153"/>
      <c r="P4" s="154" t="s">
        <v>676</v>
      </c>
      <c r="Q4" s="154"/>
      <c r="R4" s="155">
        <v>5</v>
      </c>
      <c r="S4" s="146"/>
      <c r="T4" s="146"/>
      <c r="U4" s="146"/>
      <c r="V4" s="146"/>
      <c r="W4" s="146"/>
      <c r="X4" s="156">
        <v>0</v>
      </c>
      <c r="Y4" s="156">
        <v>0</v>
      </c>
      <c r="Z4" s="157" t="s">
        <v>677</v>
      </c>
      <c r="AA4" s="158">
        <v>2021</v>
      </c>
      <c r="AB4" s="158">
        <v>7</v>
      </c>
      <c r="AC4" s="158">
        <v>6</v>
      </c>
      <c r="AD4" s="122" t="b">
        <f>IF(ISBLANK(GroupMember[[#This Row],[1. Identifiant interne d’exploitation agricole*]]),"",IF(ISERROR(MATCH(GroupMember[[#This Row],[1. Identifiant interne d’exploitation agricole*]],CertifiedCrop[1. Identifiant interne d’exploitation agricole*],0)),FALSE,TRUE))</f>
        <v>1</v>
      </c>
      <c r="AE4" s="122" t="b">
        <f>IF(ISBLANK(GroupMember[[#This Row],[1. Identifiant interne d’exploitation agricole*]]),"",IF(ISERROR(MATCH(GroupMember[[#This Row],[1. Identifiant interne d’exploitation agricole*]],FarmUnit[1. Identifiant interne d’exploitation agricole*],0)),FALSE,TRUE))</f>
        <v>1</v>
      </c>
      <c r="AF4" s="9" t="str">
        <f t="shared" si="0"/>
        <v>DAIWA  ZOURH BILLY</v>
      </c>
      <c r="AG4" s="50" t="str">
        <f t="shared" ref="AG4:AG50" si="2">CONCATENATE(AC4,"/",AB4,"/",AA4)</f>
        <v>6/7/2021</v>
      </c>
      <c r="AH4" s="51">
        <f>COUNTIFS(Z:Z,Z4,AG:AG,AG4)</f>
        <v>4</v>
      </c>
      <c r="AI4" s="49">
        <f t="shared" si="1"/>
        <v>0</v>
      </c>
    </row>
    <row r="5" spans="1:42" ht="13.15" customHeight="1" x14ac:dyDescent="0.2">
      <c r="A5" s="145" t="s">
        <v>681</v>
      </c>
      <c r="B5" s="146" t="s">
        <v>668</v>
      </c>
      <c r="C5" s="145" t="s">
        <v>681</v>
      </c>
      <c r="D5" s="147" t="s">
        <v>669</v>
      </c>
      <c r="E5" s="146" t="s">
        <v>670</v>
      </c>
      <c r="F5" s="146" t="s">
        <v>671</v>
      </c>
      <c r="G5" s="146" t="s">
        <v>672</v>
      </c>
      <c r="H5" s="148">
        <v>3</v>
      </c>
      <c r="I5" s="146" t="s">
        <v>673</v>
      </c>
      <c r="J5" s="149">
        <v>1</v>
      </c>
      <c r="K5" s="150">
        <v>2021</v>
      </c>
      <c r="L5" s="151" t="s">
        <v>682</v>
      </c>
      <c r="M5" s="151" t="s">
        <v>683</v>
      </c>
      <c r="N5" s="152"/>
      <c r="O5" s="153" t="s">
        <v>684</v>
      </c>
      <c r="P5" s="154" t="s">
        <v>676</v>
      </c>
      <c r="Q5" s="154">
        <v>1981</v>
      </c>
      <c r="R5" s="155">
        <v>9</v>
      </c>
      <c r="S5" s="146"/>
      <c r="T5" s="146"/>
      <c r="U5" s="146"/>
      <c r="V5" s="146"/>
      <c r="W5" s="146"/>
      <c r="X5" s="156">
        <v>0</v>
      </c>
      <c r="Y5" s="156">
        <v>0</v>
      </c>
      <c r="Z5" s="157" t="s">
        <v>677</v>
      </c>
      <c r="AA5" s="158">
        <v>2021</v>
      </c>
      <c r="AB5" s="158">
        <v>7</v>
      </c>
      <c r="AC5" s="158">
        <v>10</v>
      </c>
      <c r="AD5" s="122" t="b">
        <f>IF(ISBLANK(GroupMember[[#This Row],[1. Identifiant interne d’exploitation agricole*]]),"",IF(ISERROR(MATCH(GroupMember[[#This Row],[1. Identifiant interne d’exploitation agricole*]],CertifiedCrop[1. Identifiant interne d’exploitation agricole*],0)),FALSE,TRUE))</f>
        <v>1</v>
      </c>
      <c r="AE5" s="122" t="b">
        <f>IF(ISBLANK(GroupMember[[#This Row],[1. Identifiant interne d’exploitation agricole*]]),"",IF(ISERROR(MATCH(GroupMember[[#This Row],[1. Identifiant interne d’exploitation agricole*]],FarmUnit[1. Identifiant interne d’exploitation agricole*],0)),FALSE,TRUE))</f>
        <v>1</v>
      </c>
      <c r="AF5" s="9" t="str">
        <f t="shared" si="0"/>
        <v>SANGARE  TIEMOKO</v>
      </c>
      <c r="AG5" s="50" t="str">
        <f t="shared" si="2"/>
        <v>10/7/2021</v>
      </c>
      <c r="AH5" s="51">
        <f>COUNTIFS(Z:Z,Z5,AG:AG,AG5)</f>
        <v>4</v>
      </c>
      <c r="AI5" s="49">
        <f t="shared" si="1"/>
        <v>0</v>
      </c>
    </row>
    <row r="6" spans="1:42" ht="13.15" customHeight="1" x14ac:dyDescent="0.2">
      <c r="A6" s="145" t="s">
        <v>685</v>
      </c>
      <c r="B6" s="146" t="s">
        <v>668</v>
      </c>
      <c r="C6" s="145" t="s">
        <v>685</v>
      </c>
      <c r="D6" s="147" t="s">
        <v>669</v>
      </c>
      <c r="E6" s="146" t="s">
        <v>670</v>
      </c>
      <c r="F6" s="146" t="s">
        <v>671</v>
      </c>
      <c r="G6" s="146" t="s">
        <v>672</v>
      </c>
      <c r="H6" s="148">
        <v>3</v>
      </c>
      <c r="I6" s="146" t="s">
        <v>673</v>
      </c>
      <c r="J6" s="149">
        <v>1</v>
      </c>
      <c r="K6" s="150">
        <v>2021</v>
      </c>
      <c r="L6" s="151" t="s">
        <v>686</v>
      </c>
      <c r="M6" s="151" t="s">
        <v>687</v>
      </c>
      <c r="N6" s="152" t="s">
        <v>688</v>
      </c>
      <c r="O6" s="153" t="s">
        <v>689</v>
      </c>
      <c r="P6" s="154" t="s">
        <v>676</v>
      </c>
      <c r="Q6" s="154">
        <v>1975</v>
      </c>
      <c r="R6" s="155">
        <v>5</v>
      </c>
      <c r="S6" s="146"/>
      <c r="T6" s="146"/>
      <c r="U6" s="146"/>
      <c r="V6" s="146"/>
      <c r="W6" s="146"/>
      <c r="X6" s="156">
        <v>0</v>
      </c>
      <c r="Y6" s="156">
        <v>0</v>
      </c>
      <c r="Z6" s="157" t="s">
        <v>677</v>
      </c>
      <c r="AA6" s="158">
        <v>2021</v>
      </c>
      <c r="AB6" s="158">
        <v>7</v>
      </c>
      <c r="AC6" s="158">
        <v>19</v>
      </c>
      <c r="AD6" s="122" t="b">
        <f>IF(ISBLANK(GroupMember[[#This Row],[1. Identifiant interne d’exploitation agricole*]]),"",IF(ISERROR(MATCH(GroupMember[[#This Row],[1. Identifiant interne d’exploitation agricole*]],CertifiedCrop[1. Identifiant interne d’exploitation agricole*],0)),FALSE,TRUE))</f>
        <v>1</v>
      </c>
      <c r="AE6" s="122" t="b">
        <f>IF(ISBLANK(GroupMember[[#This Row],[1. Identifiant interne d’exploitation agricole*]]),"",IF(ISERROR(MATCH(GroupMember[[#This Row],[1. Identifiant interne d’exploitation agricole*]],FarmUnit[1. Identifiant interne d’exploitation agricole*],0)),FALSE,TRUE))</f>
        <v>1</v>
      </c>
      <c r="AF6" s="9" t="str">
        <f t="shared" si="0"/>
        <v>DAMBRE PASCAL</v>
      </c>
      <c r="AG6" s="50" t="str">
        <f t="shared" si="2"/>
        <v>19/7/2021</v>
      </c>
      <c r="AH6" s="51">
        <f>COUNTIFS(Z:Z,Z6,AG:AG,AG6)</f>
        <v>4</v>
      </c>
      <c r="AI6" s="49">
        <f t="shared" si="1"/>
        <v>0</v>
      </c>
    </row>
    <row r="7" spans="1:42" ht="13.15" customHeight="1" x14ac:dyDescent="0.2">
      <c r="A7" s="145" t="s">
        <v>690</v>
      </c>
      <c r="B7" s="146" t="s">
        <v>668</v>
      </c>
      <c r="C7" s="145" t="s">
        <v>690</v>
      </c>
      <c r="D7" s="147" t="s">
        <v>669</v>
      </c>
      <c r="E7" s="146" t="s">
        <v>670</v>
      </c>
      <c r="F7" s="146" t="s">
        <v>671</v>
      </c>
      <c r="G7" s="146" t="s">
        <v>672</v>
      </c>
      <c r="H7" s="148">
        <v>4.5</v>
      </c>
      <c r="I7" s="146" t="s">
        <v>673</v>
      </c>
      <c r="J7" s="149">
        <v>1</v>
      </c>
      <c r="K7" s="150">
        <v>2021</v>
      </c>
      <c r="L7" s="159" t="s">
        <v>691</v>
      </c>
      <c r="M7" s="159" t="s">
        <v>692</v>
      </c>
      <c r="N7" s="160"/>
      <c r="O7" s="153"/>
      <c r="P7" s="154" t="s">
        <v>676</v>
      </c>
      <c r="Q7" s="154"/>
      <c r="R7" s="155">
        <v>6</v>
      </c>
      <c r="S7" s="146"/>
      <c r="T7" s="146"/>
      <c r="U7" s="146"/>
      <c r="V7" s="146"/>
      <c r="W7" s="146"/>
      <c r="X7" s="156">
        <v>0</v>
      </c>
      <c r="Y7" s="156">
        <v>0</v>
      </c>
      <c r="Z7" s="157" t="s">
        <v>677</v>
      </c>
      <c r="AA7" s="158">
        <v>2021</v>
      </c>
      <c r="AB7" s="158">
        <v>7</v>
      </c>
      <c r="AC7" s="158">
        <v>21</v>
      </c>
      <c r="AD7" s="122" t="b">
        <f>IF(ISBLANK(GroupMember[[#This Row],[1. Identifiant interne d’exploitation agricole*]]),"",IF(ISERROR(MATCH(GroupMember[[#This Row],[1. Identifiant interne d’exploitation agricole*]],CertifiedCrop[1. Identifiant interne d’exploitation agricole*],0)),FALSE,TRUE))</f>
        <v>1</v>
      </c>
      <c r="AE7" s="122" t="b">
        <f>IF(ISBLANK(GroupMember[[#This Row],[1. Identifiant interne d’exploitation agricole*]]),"",IF(ISERROR(MATCH(GroupMember[[#This Row],[1. Identifiant interne d’exploitation agricole*]],FarmUnit[1. Identifiant interne d’exploitation agricole*],0)),FALSE,TRUE))</f>
        <v>1</v>
      </c>
      <c r="AF7" s="9" t="str">
        <f t="shared" si="0"/>
        <v>BEIPEUNAKEU JONAS 1</v>
      </c>
      <c r="AG7" s="50" t="str">
        <f t="shared" si="2"/>
        <v>21/7/2021</v>
      </c>
      <c r="AH7" s="51">
        <f>COUNTIFS(Z:Z,Z7,AG:AG,AG7)</f>
        <v>5</v>
      </c>
      <c r="AI7" s="49">
        <f t="shared" si="1"/>
        <v>0</v>
      </c>
    </row>
    <row r="8" spans="1:42" ht="13.15" customHeight="1" x14ac:dyDescent="0.2">
      <c r="A8" s="145" t="s">
        <v>693</v>
      </c>
      <c r="B8" s="146" t="s">
        <v>668</v>
      </c>
      <c r="C8" s="145" t="s">
        <v>693</v>
      </c>
      <c r="D8" s="147" t="s">
        <v>669</v>
      </c>
      <c r="E8" s="146" t="s">
        <v>670</v>
      </c>
      <c r="F8" s="146" t="s">
        <v>671</v>
      </c>
      <c r="G8" s="146" t="s">
        <v>672</v>
      </c>
      <c r="H8" s="148">
        <v>5</v>
      </c>
      <c r="I8" s="146" t="s">
        <v>673</v>
      </c>
      <c r="J8" s="149">
        <v>1</v>
      </c>
      <c r="K8" s="150">
        <v>2021</v>
      </c>
      <c r="L8" s="151" t="s">
        <v>694</v>
      </c>
      <c r="M8" s="151" t="s">
        <v>695</v>
      </c>
      <c r="N8" s="161"/>
      <c r="O8" s="153"/>
      <c r="P8" s="154" t="s">
        <v>676</v>
      </c>
      <c r="Q8" s="154"/>
      <c r="R8" s="155">
        <v>7</v>
      </c>
      <c r="S8" s="146"/>
      <c r="T8" s="146"/>
      <c r="U8" s="146"/>
      <c r="V8" s="146"/>
      <c r="W8" s="146"/>
      <c r="X8" s="156">
        <v>0</v>
      </c>
      <c r="Y8" s="156">
        <v>0</v>
      </c>
      <c r="Z8" s="157" t="s">
        <v>677</v>
      </c>
      <c r="AA8" s="158">
        <v>2021</v>
      </c>
      <c r="AB8" s="158">
        <v>7</v>
      </c>
      <c r="AC8" s="158">
        <v>23</v>
      </c>
      <c r="AD8" s="122" t="b">
        <f>IF(ISBLANK(GroupMember[[#This Row],[1. Identifiant interne d’exploitation agricole*]]),"",IF(ISERROR(MATCH(GroupMember[[#This Row],[1. Identifiant interne d’exploitation agricole*]],CertifiedCrop[1. Identifiant interne d’exploitation agricole*],0)),FALSE,TRUE))</f>
        <v>1</v>
      </c>
      <c r="AE8" s="122" t="b">
        <f>IF(ISBLANK(GroupMember[[#This Row],[1. Identifiant interne d’exploitation agricole*]]),"",IF(ISERROR(MATCH(GroupMember[[#This Row],[1. Identifiant interne d’exploitation agricole*]],FarmUnit[1. Identifiant interne d’exploitation agricole*],0)),FALSE,TRUE))</f>
        <v>1</v>
      </c>
      <c r="AF8" s="9" t="str">
        <f t="shared" si="0"/>
        <v>SANKANRA  MAMOUDOU</v>
      </c>
      <c r="AG8" s="50" t="str">
        <f t="shared" si="2"/>
        <v>23/7/2021</v>
      </c>
      <c r="AH8" s="51">
        <f>COUNTIFS(Z:Z,Z8,AG:AG,AG8)</f>
        <v>5</v>
      </c>
      <c r="AI8" s="49">
        <f>IF((X8+Y8/12)&lt;0,"",(X8+Y8/12))</f>
        <v>0</v>
      </c>
    </row>
    <row r="9" spans="1:42" ht="13.15" customHeight="1" x14ac:dyDescent="0.2">
      <c r="A9" s="145" t="s">
        <v>696</v>
      </c>
      <c r="B9" s="146" t="s">
        <v>668</v>
      </c>
      <c r="C9" s="145" t="s">
        <v>696</v>
      </c>
      <c r="D9" s="147" t="s">
        <v>669</v>
      </c>
      <c r="E9" s="146" t="s">
        <v>670</v>
      </c>
      <c r="F9" s="146" t="s">
        <v>671</v>
      </c>
      <c r="G9" s="146" t="s">
        <v>672</v>
      </c>
      <c r="H9" s="148">
        <v>2.62</v>
      </c>
      <c r="I9" s="146" t="s">
        <v>673</v>
      </c>
      <c r="J9" s="149">
        <v>1</v>
      </c>
      <c r="K9" s="150">
        <v>2021</v>
      </c>
      <c r="L9" s="151" t="s">
        <v>697</v>
      </c>
      <c r="M9" s="151" t="s">
        <v>698</v>
      </c>
      <c r="N9" s="161" t="s">
        <v>699</v>
      </c>
      <c r="O9" s="153"/>
      <c r="P9" s="154" t="s">
        <v>676</v>
      </c>
      <c r="Q9" s="154"/>
      <c r="R9" s="155">
        <v>5</v>
      </c>
      <c r="S9" s="146"/>
      <c r="T9" s="146"/>
      <c r="U9" s="146"/>
      <c r="V9" s="146"/>
      <c r="W9" s="146"/>
      <c r="X9" s="156">
        <v>0</v>
      </c>
      <c r="Y9" s="156">
        <v>0</v>
      </c>
      <c r="Z9" s="157" t="s">
        <v>677</v>
      </c>
      <c r="AA9" s="158">
        <v>2021</v>
      </c>
      <c r="AB9" s="158">
        <v>7</v>
      </c>
      <c r="AC9" s="158">
        <v>23</v>
      </c>
      <c r="AD9" s="122" t="b">
        <f>IF(ISBLANK(GroupMember[[#This Row],[1. Identifiant interne d’exploitation agricole*]]),"",IF(ISERROR(MATCH(GroupMember[[#This Row],[1. Identifiant interne d’exploitation agricole*]],CertifiedCrop[1. Identifiant interne d’exploitation agricole*],0)),FALSE,TRUE))</f>
        <v>1</v>
      </c>
      <c r="AE9" s="122" t="b">
        <f>IF(ISBLANK(GroupMember[[#This Row],[1. Identifiant interne d’exploitation agricole*]]),"",IF(ISERROR(MATCH(GroupMember[[#This Row],[1. Identifiant interne d’exploitation agricole*]],FarmUnit[1. Identifiant interne d’exploitation agricole*],0)),FALSE,TRUE))</f>
        <v>1</v>
      </c>
      <c r="AF9" s="9" t="str">
        <f t="shared" si="0"/>
        <v>KAFANDO  JOACHAIN</v>
      </c>
      <c r="AG9" s="50" t="str">
        <f t="shared" si="2"/>
        <v>23/7/2021</v>
      </c>
      <c r="AH9" s="51">
        <f>COUNTIFS(Z:Z,Z9,AG:AG,AG9)</f>
        <v>5</v>
      </c>
      <c r="AI9" s="49">
        <f>IF((X9+Y9/12)&lt;0,"",(X9+Y9/12))</f>
        <v>0</v>
      </c>
    </row>
    <row r="10" spans="1:42" ht="13.15" customHeight="1" x14ac:dyDescent="0.2">
      <c r="A10" s="145" t="s">
        <v>700</v>
      </c>
      <c r="B10" s="146" t="s">
        <v>668</v>
      </c>
      <c r="C10" s="145" t="s">
        <v>700</v>
      </c>
      <c r="D10" s="147" t="s">
        <v>669</v>
      </c>
      <c r="E10" s="146" t="s">
        <v>670</v>
      </c>
      <c r="F10" s="146" t="s">
        <v>671</v>
      </c>
      <c r="G10" s="146" t="s">
        <v>672</v>
      </c>
      <c r="H10" s="148">
        <v>3</v>
      </c>
      <c r="I10" s="146" t="s">
        <v>673</v>
      </c>
      <c r="J10" s="149">
        <v>1</v>
      </c>
      <c r="K10" s="150">
        <v>2021</v>
      </c>
      <c r="L10" s="151" t="s">
        <v>701</v>
      </c>
      <c r="M10" s="151" t="s">
        <v>702</v>
      </c>
      <c r="N10" s="161"/>
      <c r="O10" s="153"/>
      <c r="P10" s="154" t="s">
        <v>676</v>
      </c>
      <c r="Q10" s="154"/>
      <c r="R10" s="155">
        <v>5</v>
      </c>
      <c r="S10" s="146"/>
      <c r="T10" s="146"/>
      <c r="U10" s="146"/>
      <c r="V10" s="146"/>
      <c r="W10" s="146"/>
      <c r="X10" s="156">
        <v>0</v>
      </c>
      <c r="Y10" s="156">
        <v>0</v>
      </c>
      <c r="Z10" s="157" t="s">
        <v>677</v>
      </c>
      <c r="AA10" s="158">
        <v>2021</v>
      </c>
      <c r="AB10" s="158">
        <v>7</v>
      </c>
      <c r="AC10" s="158">
        <v>7</v>
      </c>
      <c r="AD10" s="122" t="b">
        <f>IF(ISBLANK(GroupMember[[#This Row],[1. Identifiant interne d’exploitation agricole*]]),"",IF(ISERROR(MATCH(GroupMember[[#This Row],[1. Identifiant interne d’exploitation agricole*]],CertifiedCrop[1. Identifiant interne d’exploitation agricole*],0)),FALSE,TRUE))</f>
        <v>1</v>
      </c>
      <c r="AE10" s="122" t="b">
        <f>IF(ISBLANK(GroupMember[[#This Row],[1. Identifiant interne d’exploitation agricole*]]),"",IF(ISERROR(MATCH(GroupMember[[#This Row],[1. Identifiant interne d’exploitation agricole*]],FarmUnit[1. Identifiant interne d’exploitation agricole*],0)),FALSE,TRUE))</f>
        <v>1</v>
      </c>
      <c r="AF10" s="9" t="str">
        <f t="shared" si="0"/>
        <v>OUATTARA AMADOU</v>
      </c>
      <c r="AG10" s="50" t="str">
        <f t="shared" si="2"/>
        <v>7/7/2021</v>
      </c>
      <c r="AH10" s="51">
        <f>COUNTIFS(Z:Z,Z10,AG:AG,AG10)</f>
        <v>4</v>
      </c>
      <c r="AI10" s="49">
        <f t="shared" si="1"/>
        <v>0</v>
      </c>
    </row>
    <row r="11" spans="1:42" ht="13.15" customHeight="1" x14ac:dyDescent="0.2">
      <c r="A11" s="145" t="s">
        <v>703</v>
      </c>
      <c r="B11" s="146" t="s">
        <v>668</v>
      </c>
      <c r="C11" s="145" t="s">
        <v>703</v>
      </c>
      <c r="D11" s="147" t="s">
        <v>669</v>
      </c>
      <c r="E11" s="146" t="s">
        <v>670</v>
      </c>
      <c r="F11" s="146" t="s">
        <v>671</v>
      </c>
      <c r="G11" s="146" t="s">
        <v>672</v>
      </c>
      <c r="H11" s="148">
        <v>4</v>
      </c>
      <c r="I11" s="146" t="s">
        <v>673</v>
      </c>
      <c r="J11" s="149">
        <v>1</v>
      </c>
      <c r="K11" s="150">
        <v>2021</v>
      </c>
      <c r="L11" s="151" t="s">
        <v>701</v>
      </c>
      <c r="M11" s="151" t="s">
        <v>704</v>
      </c>
      <c r="N11" s="161"/>
      <c r="O11" s="153" t="s">
        <v>705</v>
      </c>
      <c r="P11" s="154" t="s">
        <v>676</v>
      </c>
      <c r="Q11" s="154">
        <v>1991</v>
      </c>
      <c r="R11" s="155">
        <v>6</v>
      </c>
      <c r="S11" s="146"/>
      <c r="T11" s="146"/>
      <c r="U11" s="146"/>
      <c r="V11" s="146"/>
      <c r="W11" s="146"/>
      <c r="X11" s="156">
        <v>0</v>
      </c>
      <c r="Y11" s="156">
        <v>0</v>
      </c>
      <c r="Z11" s="157" t="s">
        <v>677</v>
      </c>
      <c r="AA11" s="158">
        <v>2021</v>
      </c>
      <c r="AB11" s="158">
        <v>7</v>
      </c>
      <c r="AC11" s="158">
        <v>10</v>
      </c>
      <c r="AD11" s="122" t="b">
        <f>IF(ISBLANK(GroupMember[[#This Row],[1. Identifiant interne d’exploitation agricole*]]),"",IF(ISERROR(MATCH(GroupMember[[#This Row],[1. Identifiant interne d’exploitation agricole*]],CertifiedCrop[1. Identifiant interne d’exploitation agricole*],0)),FALSE,TRUE))</f>
        <v>1</v>
      </c>
      <c r="AE11" s="122" t="b">
        <f>IF(ISBLANK(GroupMember[[#This Row],[1. Identifiant interne d’exploitation agricole*]]),"",IF(ISERROR(MATCH(GroupMember[[#This Row],[1. Identifiant interne d’exploitation agricole*]],FarmUnit[1. Identifiant interne d’exploitation agricole*],0)),FALSE,TRUE))</f>
        <v>1</v>
      </c>
      <c r="AF11" s="9" t="str">
        <f t="shared" si="0"/>
        <v>OUATTARA ADAMA 1</v>
      </c>
      <c r="AG11" s="50" t="str">
        <f t="shared" si="2"/>
        <v>10/7/2021</v>
      </c>
      <c r="AH11" s="51">
        <f>COUNTIFS(Z:Z,Z11,AG:AG,AG11)</f>
        <v>4</v>
      </c>
      <c r="AI11" s="49">
        <f t="shared" si="1"/>
        <v>0</v>
      </c>
    </row>
    <row r="12" spans="1:42" ht="13.15" customHeight="1" x14ac:dyDescent="0.2">
      <c r="A12" s="145" t="s">
        <v>706</v>
      </c>
      <c r="B12" s="146" t="s">
        <v>668</v>
      </c>
      <c r="C12" s="145" t="s">
        <v>706</v>
      </c>
      <c r="D12" s="147" t="s">
        <v>669</v>
      </c>
      <c r="E12" s="146" t="s">
        <v>670</v>
      </c>
      <c r="F12" s="146" t="s">
        <v>671</v>
      </c>
      <c r="G12" s="146" t="s">
        <v>672</v>
      </c>
      <c r="H12" s="148">
        <v>2.79</v>
      </c>
      <c r="I12" s="146" t="s">
        <v>673</v>
      </c>
      <c r="J12" s="149">
        <v>1</v>
      </c>
      <c r="K12" s="150">
        <v>2021</v>
      </c>
      <c r="L12" s="151" t="s">
        <v>707</v>
      </c>
      <c r="M12" s="151" t="s">
        <v>708</v>
      </c>
      <c r="N12" s="161" t="s">
        <v>709</v>
      </c>
      <c r="O12" s="153"/>
      <c r="P12" s="154" t="s">
        <v>676</v>
      </c>
      <c r="Q12" s="154"/>
      <c r="R12" s="155">
        <v>5</v>
      </c>
      <c r="S12" s="146"/>
      <c r="T12" s="146"/>
      <c r="U12" s="146"/>
      <c r="V12" s="146"/>
      <c r="W12" s="146"/>
      <c r="X12" s="156">
        <v>0</v>
      </c>
      <c r="Y12" s="156">
        <v>0</v>
      </c>
      <c r="Z12" s="157" t="s">
        <v>677</v>
      </c>
      <c r="AA12" s="158">
        <v>2021</v>
      </c>
      <c r="AB12" s="158">
        <v>7</v>
      </c>
      <c r="AC12" s="158">
        <v>19</v>
      </c>
      <c r="AD12" s="122" t="b">
        <f>IF(ISBLANK(GroupMember[[#This Row],[1. Identifiant interne d’exploitation agricole*]]),"",IF(ISERROR(MATCH(GroupMember[[#This Row],[1. Identifiant interne d’exploitation agricole*]],CertifiedCrop[1. Identifiant interne d’exploitation agricole*],0)),FALSE,TRUE))</f>
        <v>1</v>
      </c>
      <c r="AE12" s="122" t="b">
        <f>IF(ISBLANK(GroupMember[[#This Row],[1. Identifiant interne d’exploitation agricole*]]),"",IF(ISERROR(MATCH(GroupMember[[#This Row],[1. Identifiant interne d’exploitation agricole*]],FarmUnit[1. Identifiant interne d’exploitation agricole*],0)),FALSE,TRUE))</f>
        <v>1</v>
      </c>
      <c r="AF12" s="9" t="str">
        <f t="shared" si="0"/>
        <v>OUEDRAOGO  KOMYABA SOUMAILA</v>
      </c>
      <c r="AG12" s="50" t="str">
        <f t="shared" si="2"/>
        <v>19/7/2021</v>
      </c>
      <c r="AH12" s="51">
        <f>COUNTIFS(Z:Z,Z12,AG:AG,AG12)</f>
        <v>4</v>
      </c>
      <c r="AI12" s="49">
        <f t="shared" si="1"/>
        <v>0</v>
      </c>
    </row>
    <row r="13" spans="1:42" ht="13.15" customHeight="1" x14ac:dyDescent="0.2">
      <c r="A13" s="145" t="s">
        <v>710</v>
      </c>
      <c r="B13" s="146" t="s">
        <v>668</v>
      </c>
      <c r="C13" s="145" t="s">
        <v>710</v>
      </c>
      <c r="D13" s="147" t="s">
        <v>669</v>
      </c>
      <c r="E13" s="146" t="s">
        <v>670</v>
      </c>
      <c r="F13" s="146" t="s">
        <v>671</v>
      </c>
      <c r="G13" s="146" t="s">
        <v>672</v>
      </c>
      <c r="H13" s="148">
        <v>3</v>
      </c>
      <c r="I13" s="146" t="s">
        <v>673</v>
      </c>
      <c r="J13" s="149">
        <v>1</v>
      </c>
      <c r="K13" s="150">
        <v>2021</v>
      </c>
      <c r="L13" s="151" t="s">
        <v>711</v>
      </c>
      <c r="M13" s="151" t="s">
        <v>712</v>
      </c>
      <c r="N13" s="152"/>
      <c r="O13" s="153" t="s">
        <v>713</v>
      </c>
      <c r="P13" s="154" t="s">
        <v>676</v>
      </c>
      <c r="Q13" s="154">
        <v>1983</v>
      </c>
      <c r="R13" s="155">
        <v>8</v>
      </c>
      <c r="S13" s="146"/>
      <c r="T13" s="146"/>
      <c r="U13" s="146"/>
      <c r="V13" s="146"/>
      <c r="W13" s="146"/>
      <c r="X13" s="156">
        <v>0</v>
      </c>
      <c r="Y13" s="156">
        <v>0</v>
      </c>
      <c r="Z13" s="157" t="s">
        <v>677</v>
      </c>
      <c r="AA13" s="158">
        <v>2021</v>
      </c>
      <c r="AB13" s="158">
        <v>7</v>
      </c>
      <c r="AC13" s="158">
        <v>21</v>
      </c>
      <c r="AD13" s="122" t="b">
        <f>IF(ISBLANK(GroupMember[[#This Row],[1. Identifiant interne d’exploitation agricole*]]),"",IF(ISERROR(MATCH(GroupMember[[#This Row],[1. Identifiant interne d’exploitation agricole*]],CertifiedCrop[1. Identifiant interne d’exploitation agricole*],0)),FALSE,TRUE))</f>
        <v>1</v>
      </c>
      <c r="AE13" s="122" t="b">
        <f>IF(ISBLANK(GroupMember[[#This Row],[1. Identifiant interne d’exploitation agricole*]]),"",IF(ISERROR(MATCH(GroupMember[[#This Row],[1. Identifiant interne d’exploitation agricole*]],FarmUnit[1. Identifiant interne d’exploitation agricole*],0)),FALSE,TRUE))</f>
        <v>1</v>
      </c>
      <c r="AF13" s="9" t="str">
        <f t="shared" si="0"/>
        <v>SAMAKE  SIAKA</v>
      </c>
      <c r="AG13" s="50" t="str">
        <f t="shared" si="2"/>
        <v>21/7/2021</v>
      </c>
      <c r="AH13" s="51">
        <f>COUNTIFS(Z:Z,Z13,AG:AG,AG13)</f>
        <v>5</v>
      </c>
      <c r="AI13" s="49">
        <f t="shared" si="1"/>
        <v>0</v>
      </c>
    </row>
    <row r="14" spans="1:42" ht="13.15" customHeight="1" x14ac:dyDescent="0.2">
      <c r="A14" s="145" t="s">
        <v>714</v>
      </c>
      <c r="B14" s="146" t="s">
        <v>668</v>
      </c>
      <c r="C14" s="145" t="s">
        <v>714</v>
      </c>
      <c r="D14" s="147" t="s">
        <v>669</v>
      </c>
      <c r="E14" s="146" t="s">
        <v>670</v>
      </c>
      <c r="F14" s="146" t="s">
        <v>671</v>
      </c>
      <c r="G14" s="146" t="s">
        <v>672</v>
      </c>
      <c r="H14" s="148">
        <v>4.5</v>
      </c>
      <c r="I14" s="146" t="s">
        <v>673</v>
      </c>
      <c r="J14" s="149">
        <v>1</v>
      </c>
      <c r="K14" s="150">
        <v>2021</v>
      </c>
      <c r="L14" s="151" t="s">
        <v>715</v>
      </c>
      <c r="M14" s="151" t="s">
        <v>716</v>
      </c>
      <c r="N14" s="152" t="s">
        <v>717</v>
      </c>
      <c r="O14" s="153"/>
      <c r="P14" s="154" t="s">
        <v>676</v>
      </c>
      <c r="Q14" s="154"/>
      <c r="R14" s="155">
        <v>7</v>
      </c>
      <c r="S14" s="146"/>
      <c r="T14" s="146"/>
      <c r="U14" s="146"/>
      <c r="V14" s="146"/>
      <c r="W14" s="146"/>
      <c r="X14" s="156">
        <v>0</v>
      </c>
      <c r="Y14" s="156">
        <v>0</v>
      </c>
      <c r="Z14" s="157" t="s">
        <v>677</v>
      </c>
      <c r="AA14" s="158">
        <v>2021</v>
      </c>
      <c r="AB14" s="158">
        <v>7</v>
      </c>
      <c r="AC14" s="158">
        <v>20</v>
      </c>
      <c r="AD14" s="122" t="b">
        <f>IF(ISBLANK(GroupMember[[#This Row],[1. Identifiant interne d’exploitation agricole*]]),"",IF(ISERROR(MATCH(GroupMember[[#This Row],[1. Identifiant interne d’exploitation agricole*]],CertifiedCrop[1. Identifiant interne d’exploitation agricole*],0)),FALSE,TRUE))</f>
        <v>1</v>
      </c>
      <c r="AE14" s="122" t="b">
        <f>IF(ISBLANK(GroupMember[[#This Row],[1. Identifiant interne d’exploitation agricole*]]),"",IF(ISERROR(MATCH(GroupMember[[#This Row],[1. Identifiant interne d’exploitation agricole*]],FarmUnit[1. Identifiant interne d’exploitation agricole*],0)),FALSE,TRUE))</f>
        <v>1</v>
      </c>
      <c r="AF14" s="9" t="str">
        <f t="shared" si="0"/>
        <v>TRAORE  KASSOUM</v>
      </c>
      <c r="AG14" s="50" t="str">
        <f t="shared" si="2"/>
        <v>20/7/2021</v>
      </c>
      <c r="AH14" s="51">
        <f>COUNTIFS(Z:Z,Z14,AG:AG,AG14)</f>
        <v>3</v>
      </c>
      <c r="AI14" s="49">
        <f t="shared" si="1"/>
        <v>0</v>
      </c>
    </row>
    <row r="15" spans="1:42" ht="13.15" customHeight="1" x14ac:dyDescent="0.2">
      <c r="A15" s="145" t="s">
        <v>718</v>
      </c>
      <c r="B15" s="146" t="s">
        <v>668</v>
      </c>
      <c r="C15" s="145" t="s">
        <v>718</v>
      </c>
      <c r="D15" s="147" t="s">
        <v>669</v>
      </c>
      <c r="E15" s="146" t="s">
        <v>670</v>
      </c>
      <c r="F15" s="146" t="s">
        <v>671</v>
      </c>
      <c r="G15" s="146" t="s">
        <v>672</v>
      </c>
      <c r="H15" s="148">
        <v>3</v>
      </c>
      <c r="I15" s="146" t="s">
        <v>673</v>
      </c>
      <c r="J15" s="149">
        <v>1</v>
      </c>
      <c r="K15" s="150">
        <v>2021</v>
      </c>
      <c r="L15" s="151" t="s">
        <v>682</v>
      </c>
      <c r="M15" s="151" t="s">
        <v>719</v>
      </c>
      <c r="N15" s="161" t="s">
        <v>720</v>
      </c>
      <c r="O15" s="153"/>
      <c r="P15" s="154" t="s">
        <v>676</v>
      </c>
      <c r="Q15" s="154"/>
      <c r="R15" s="155">
        <v>4</v>
      </c>
      <c r="S15" s="146"/>
      <c r="T15" s="162"/>
      <c r="U15" s="146"/>
      <c r="V15" s="146"/>
      <c r="W15" s="146"/>
      <c r="X15" s="156">
        <v>0</v>
      </c>
      <c r="Y15" s="156">
        <v>0</v>
      </c>
      <c r="Z15" s="157" t="s">
        <v>677</v>
      </c>
      <c r="AA15" s="158">
        <v>2021</v>
      </c>
      <c r="AB15" s="158">
        <v>7</v>
      </c>
      <c r="AC15" s="158">
        <v>10</v>
      </c>
      <c r="AD15" s="122" t="b">
        <f>IF(ISBLANK(GroupMember[[#This Row],[1. Identifiant interne d’exploitation agricole*]]),"",IF(ISERROR(MATCH(GroupMember[[#This Row],[1. Identifiant interne d’exploitation agricole*]],CertifiedCrop[1. Identifiant interne d’exploitation agricole*],0)),FALSE,TRUE))</f>
        <v>1</v>
      </c>
      <c r="AE15" s="122" t="b">
        <f>IF(ISBLANK(GroupMember[[#This Row],[1. Identifiant interne d’exploitation agricole*]]),"",IF(ISERROR(MATCH(GroupMember[[#This Row],[1. Identifiant interne d’exploitation agricole*]],FarmUnit[1. Identifiant interne d’exploitation agricole*],0)),FALSE,TRUE))</f>
        <v>1</v>
      </c>
      <c r="AF15" s="9" t="str">
        <f t="shared" si="0"/>
        <v>SANGARE  ISSA 1</v>
      </c>
      <c r="AG15" s="50" t="str">
        <f t="shared" si="2"/>
        <v>10/7/2021</v>
      </c>
      <c r="AH15" s="51">
        <f>COUNTIFS(Z:Z,Z15,AG:AG,AG15)</f>
        <v>4</v>
      </c>
      <c r="AI15" s="49">
        <f t="shared" si="1"/>
        <v>0</v>
      </c>
    </row>
    <row r="16" spans="1:42" ht="13.15" customHeight="1" x14ac:dyDescent="0.2">
      <c r="A16" s="145" t="s">
        <v>721</v>
      </c>
      <c r="B16" s="146" t="s">
        <v>668</v>
      </c>
      <c r="C16" s="145" t="s">
        <v>721</v>
      </c>
      <c r="D16" s="147" t="s">
        <v>669</v>
      </c>
      <c r="E16" s="146" t="s">
        <v>670</v>
      </c>
      <c r="F16" s="146" t="s">
        <v>671</v>
      </c>
      <c r="G16" s="146" t="s">
        <v>672</v>
      </c>
      <c r="H16" s="148">
        <v>1.05</v>
      </c>
      <c r="I16" s="146" t="s">
        <v>673</v>
      </c>
      <c r="J16" s="149">
        <v>1</v>
      </c>
      <c r="K16" s="150">
        <v>2021</v>
      </c>
      <c r="L16" s="151" t="s">
        <v>722</v>
      </c>
      <c r="M16" s="151" t="s">
        <v>723</v>
      </c>
      <c r="N16" s="161" t="s">
        <v>724</v>
      </c>
      <c r="O16" s="153"/>
      <c r="P16" s="154" t="s">
        <v>676</v>
      </c>
      <c r="Q16" s="154"/>
      <c r="R16" s="155">
        <v>6</v>
      </c>
      <c r="S16" s="146"/>
      <c r="T16" s="162"/>
      <c r="U16" s="146"/>
      <c r="V16" s="146"/>
      <c r="W16" s="146"/>
      <c r="X16" s="156">
        <v>0</v>
      </c>
      <c r="Y16" s="156">
        <v>0</v>
      </c>
      <c r="Z16" s="157" t="s">
        <v>677</v>
      </c>
      <c r="AA16" s="158">
        <v>2021</v>
      </c>
      <c r="AB16" s="158">
        <v>8</v>
      </c>
      <c r="AC16" s="158">
        <v>23</v>
      </c>
      <c r="AD16" s="122" t="b">
        <f>IF(ISBLANK(GroupMember[[#This Row],[1. Identifiant interne d’exploitation agricole*]]),"",IF(ISERROR(MATCH(GroupMember[[#This Row],[1. Identifiant interne d’exploitation agricole*]],CertifiedCrop[1. Identifiant interne d’exploitation agricole*],0)),FALSE,TRUE))</f>
        <v>1</v>
      </c>
      <c r="AE16" s="122" t="b">
        <f>IF(ISBLANK(GroupMember[[#This Row],[1. Identifiant interne d’exploitation agricole*]]),"",IF(ISERROR(MATCH(GroupMember[[#This Row],[1. Identifiant interne d’exploitation agricole*]],FarmUnit[1. Identifiant interne d’exploitation agricole*],0)),FALSE,TRUE))</f>
        <v>1</v>
      </c>
      <c r="AF16" s="9" t="str">
        <f t="shared" si="0"/>
        <v>KAPIEU  PIERRE MONSOU</v>
      </c>
      <c r="AG16" s="50" t="str">
        <f t="shared" si="2"/>
        <v>23/8/2021</v>
      </c>
      <c r="AH16" s="51">
        <f>COUNTIFS(Z:Z,Z16,AG:AG,AG16)</f>
        <v>4</v>
      </c>
      <c r="AI16" s="49">
        <f t="shared" si="1"/>
        <v>0</v>
      </c>
    </row>
    <row r="17" spans="1:35" ht="13.15" customHeight="1" x14ac:dyDescent="0.2">
      <c r="A17" s="145" t="s">
        <v>725</v>
      </c>
      <c r="B17" s="146" t="s">
        <v>668</v>
      </c>
      <c r="C17" s="145" t="s">
        <v>725</v>
      </c>
      <c r="D17" s="147" t="s">
        <v>669</v>
      </c>
      <c r="E17" s="146" t="s">
        <v>670</v>
      </c>
      <c r="F17" s="146" t="s">
        <v>671</v>
      </c>
      <c r="G17" s="146" t="s">
        <v>672</v>
      </c>
      <c r="H17" s="148">
        <v>4</v>
      </c>
      <c r="I17" s="146" t="s">
        <v>673</v>
      </c>
      <c r="J17" s="149">
        <v>1</v>
      </c>
      <c r="K17" s="150">
        <v>2021</v>
      </c>
      <c r="L17" s="151" t="s">
        <v>726</v>
      </c>
      <c r="M17" s="151" t="s">
        <v>727</v>
      </c>
      <c r="N17" s="161"/>
      <c r="O17" s="153"/>
      <c r="P17" s="154" t="s">
        <v>676</v>
      </c>
      <c r="Q17" s="154"/>
      <c r="R17" s="155">
        <v>5</v>
      </c>
      <c r="S17" s="146"/>
      <c r="T17" s="162"/>
      <c r="U17" s="146"/>
      <c r="V17" s="146"/>
      <c r="W17" s="146"/>
      <c r="X17" s="156">
        <v>0</v>
      </c>
      <c r="Y17" s="156">
        <v>0</v>
      </c>
      <c r="Z17" s="157" t="s">
        <v>677</v>
      </c>
      <c r="AA17" s="158">
        <v>2021</v>
      </c>
      <c r="AB17" s="158">
        <v>7</v>
      </c>
      <c r="AC17" s="158">
        <v>3</v>
      </c>
      <c r="AD17" s="122" t="b">
        <f>IF(ISBLANK(GroupMember[[#This Row],[1. Identifiant interne d’exploitation agricole*]]),"",IF(ISERROR(MATCH(GroupMember[[#This Row],[1. Identifiant interne d’exploitation agricole*]],CertifiedCrop[1. Identifiant interne d’exploitation agricole*],0)),FALSE,TRUE))</f>
        <v>1</v>
      </c>
      <c r="AE17" s="122" t="b">
        <f>IF(ISBLANK(GroupMember[[#This Row],[1. Identifiant interne d’exploitation agricole*]]),"",IF(ISERROR(MATCH(GroupMember[[#This Row],[1. Identifiant interne d’exploitation agricole*]],FarmUnit[1. Identifiant interne d’exploitation agricole*],0)),FALSE,TRUE))</f>
        <v>1</v>
      </c>
      <c r="AF17" s="9" t="str">
        <f t="shared" si="0"/>
        <v>SAHI ENOC</v>
      </c>
      <c r="AG17" s="50" t="str">
        <f t="shared" si="2"/>
        <v>3/7/2021</v>
      </c>
      <c r="AH17" s="51">
        <f>COUNTIFS(Z:Z,Z17,AG:AG,AG17)</f>
        <v>4</v>
      </c>
      <c r="AI17" s="49">
        <f t="shared" si="1"/>
        <v>0</v>
      </c>
    </row>
    <row r="18" spans="1:35" ht="13.15" customHeight="1" x14ac:dyDescent="0.2">
      <c r="A18" s="145" t="s">
        <v>728</v>
      </c>
      <c r="B18" s="146" t="s">
        <v>668</v>
      </c>
      <c r="C18" s="145" t="s">
        <v>728</v>
      </c>
      <c r="D18" s="147" t="s">
        <v>669</v>
      </c>
      <c r="E18" s="146" t="s">
        <v>670</v>
      </c>
      <c r="F18" s="146" t="s">
        <v>671</v>
      </c>
      <c r="G18" s="146" t="s">
        <v>672</v>
      </c>
      <c r="H18" s="148">
        <v>3.51</v>
      </c>
      <c r="I18" s="146" t="s">
        <v>673</v>
      </c>
      <c r="J18" s="149">
        <v>1</v>
      </c>
      <c r="K18" s="150">
        <v>2021</v>
      </c>
      <c r="L18" s="151" t="s">
        <v>729</v>
      </c>
      <c r="M18" s="151" t="s">
        <v>730</v>
      </c>
      <c r="N18" s="161" t="s">
        <v>731</v>
      </c>
      <c r="O18" s="153" t="s">
        <v>732</v>
      </c>
      <c r="P18" s="154" t="s">
        <v>676</v>
      </c>
      <c r="Q18" s="154">
        <v>1975</v>
      </c>
      <c r="R18" s="155">
        <v>8</v>
      </c>
      <c r="S18" s="146"/>
      <c r="T18" s="162"/>
      <c r="U18" s="146"/>
      <c r="V18" s="146"/>
      <c r="W18" s="146"/>
      <c r="X18" s="156">
        <v>0</v>
      </c>
      <c r="Y18" s="156">
        <v>0</v>
      </c>
      <c r="Z18" s="157" t="s">
        <v>677</v>
      </c>
      <c r="AA18" s="158">
        <v>2021</v>
      </c>
      <c r="AB18" s="158">
        <v>7</v>
      </c>
      <c r="AC18" s="158">
        <v>12</v>
      </c>
      <c r="AD18" s="122" t="b">
        <f>IF(ISBLANK(GroupMember[[#This Row],[1. Identifiant interne d’exploitation agricole*]]),"",IF(ISERROR(MATCH(GroupMember[[#This Row],[1. Identifiant interne d’exploitation agricole*]],CertifiedCrop[1. Identifiant interne d’exploitation agricole*],0)),FALSE,TRUE))</f>
        <v>1</v>
      </c>
      <c r="AE18" s="122" t="b">
        <f>IF(ISBLANK(GroupMember[[#This Row],[1. Identifiant interne d’exploitation agricole*]]),"",IF(ISERROR(MATCH(GroupMember[[#This Row],[1. Identifiant interne d’exploitation agricole*]],FarmUnit[1. Identifiant interne d’exploitation agricole*],0)),FALSE,TRUE))</f>
        <v>1</v>
      </c>
      <c r="AF18" s="9" t="str">
        <f t="shared" si="0"/>
        <v>DOUMBIA DAOUDA</v>
      </c>
      <c r="AG18" s="50" t="str">
        <f t="shared" si="2"/>
        <v>12/7/2021</v>
      </c>
      <c r="AH18" s="51">
        <f>COUNTIFS(Z:Z,Z18,AG:AG,AG18)</f>
        <v>3</v>
      </c>
      <c r="AI18" s="49">
        <f t="shared" si="1"/>
        <v>0</v>
      </c>
    </row>
    <row r="19" spans="1:35" ht="13.15" customHeight="1" x14ac:dyDescent="0.2">
      <c r="A19" s="145" t="s">
        <v>733</v>
      </c>
      <c r="B19" s="146" t="s">
        <v>668</v>
      </c>
      <c r="C19" s="145" t="s">
        <v>733</v>
      </c>
      <c r="D19" s="147" t="s">
        <v>669</v>
      </c>
      <c r="E19" s="146" t="s">
        <v>670</v>
      </c>
      <c r="F19" s="146" t="s">
        <v>671</v>
      </c>
      <c r="G19" s="146" t="s">
        <v>672</v>
      </c>
      <c r="H19" s="148">
        <v>0.72</v>
      </c>
      <c r="I19" s="146" t="s">
        <v>673</v>
      </c>
      <c r="J19" s="149">
        <v>1</v>
      </c>
      <c r="K19" s="150">
        <v>2021</v>
      </c>
      <c r="L19" s="151" t="s">
        <v>734</v>
      </c>
      <c r="M19" s="151" t="s">
        <v>735</v>
      </c>
      <c r="N19" s="161" t="s">
        <v>736</v>
      </c>
      <c r="O19" s="153"/>
      <c r="P19" s="154" t="s">
        <v>676</v>
      </c>
      <c r="Q19" s="154"/>
      <c r="R19" s="155">
        <v>7</v>
      </c>
      <c r="S19" s="146"/>
      <c r="T19" s="163"/>
      <c r="U19" s="146"/>
      <c r="V19" s="146"/>
      <c r="W19" s="146"/>
      <c r="X19" s="156">
        <v>0</v>
      </c>
      <c r="Y19" s="156">
        <v>0</v>
      </c>
      <c r="Z19" s="157" t="s">
        <v>677</v>
      </c>
      <c r="AA19" s="158">
        <v>2021</v>
      </c>
      <c r="AB19" s="158">
        <v>7</v>
      </c>
      <c r="AC19" s="158">
        <v>21</v>
      </c>
      <c r="AD19" s="122" t="b">
        <f>IF(ISBLANK(GroupMember[[#This Row],[1. Identifiant interne d’exploitation agricole*]]),"",IF(ISERROR(MATCH(GroupMember[[#This Row],[1. Identifiant interne d’exploitation agricole*]],CertifiedCrop[1. Identifiant interne d’exploitation agricole*],0)),FALSE,TRUE))</f>
        <v>1</v>
      </c>
      <c r="AE19" s="122" t="b">
        <f>IF(ISBLANK(GroupMember[[#This Row],[1. Identifiant interne d’exploitation agricole*]]),"",IF(ISERROR(MATCH(GroupMember[[#This Row],[1. Identifiant interne d’exploitation agricole*]],FarmUnit[1. Identifiant interne d’exploitation agricole*],0)),FALSE,TRUE))</f>
        <v>1</v>
      </c>
      <c r="AF19" s="9" t="str">
        <f t="shared" si="0"/>
        <v>KPANGUEA  KOUIONGBE FELIX</v>
      </c>
      <c r="AG19" s="50" t="str">
        <f t="shared" si="2"/>
        <v>21/7/2021</v>
      </c>
      <c r="AH19" s="51">
        <f>COUNTIFS(Z:Z,Z19,AG:AG,AG19)</f>
        <v>5</v>
      </c>
      <c r="AI19" s="49">
        <f t="shared" si="1"/>
        <v>0</v>
      </c>
    </row>
    <row r="20" spans="1:35" ht="13.15" customHeight="1" x14ac:dyDescent="0.2">
      <c r="A20" s="145" t="s">
        <v>737</v>
      </c>
      <c r="B20" s="146" t="s">
        <v>668</v>
      </c>
      <c r="C20" s="145" t="s">
        <v>737</v>
      </c>
      <c r="D20" s="147" t="s">
        <v>669</v>
      </c>
      <c r="E20" s="146" t="s">
        <v>670</v>
      </c>
      <c r="F20" s="146" t="s">
        <v>671</v>
      </c>
      <c r="G20" s="146" t="s">
        <v>672</v>
      </c>
      <c r="H20" s="148">
        <v>1.1200000000000001</v>
      </c>
      <c r="I20" s="146" t="s">
        <v>673</v>
      </c>
      <c r="J20" s="149">
        <v>1</v>
      </c>
      <c r="K20" s="150">
        <v>2021</v>
      </c>
      <c r="L20" s="151" t="s">
        <v>738</v>
      </c>
      <c r="M20" s="151" t="s">
        <v>739</v>
      </c>
      <c r="N20" s="161" t="s">
        <v>740</v>
      </c>
      <c r="O20" s="153"/>
      <c r="P20" s="154" t="s">
        <v>676</v>
      </c>
      <c r="Q20" s="154"/>
      <c r="R20" s="155">
        <v>7</v>
      </c>
      <c r="S20" s="146"/>
      <c r="T20" s="163"/>
      <c r="U20" s="146"/>
      <c r="V20" s="146"/>
      <c r="W20" s="146"/>
      <c r="X20" s="156">
        <v>0</v>
      </c>
      <c r="Y20" s="156">
        <v>0</v>
      </c>
      <c r="Z20" s="157" t="s">
        <v>677</v>
      </c>
      <c r="AA20" s="158">
        <v>2021</v>
      </c>
      <c r="AB20" s="158">
        <v>7</v>
      </c>
      <c r="AC20" s="158">
        <v>20</v>
      </c>
      <c r="AD20" s="122" t="b">
        <f>IF(ISBLANK(GroupMember[[#This Row],[1. Identifiant interne d’exploitation agricole*]]),"",IF(ISERROR(MATCH(GroupMember[[#This Row],[1. Identifiant interne d’exploitation agricole*]],CertifiedCrop[1. Identifiant interne d’exploitation agricole*],0)),FALSE,TRUE))</f>
        <v>1</v>
      </c>
      <c r="AE20" s="122" t="b">
        <f>IF(ISBLANK(GroupMember[[#This Row],[1. Identifiant interne d’exploitation agricole*]]),"",IF(ISERROR(MATCH(GroupMember[[#This Row],[1. Identifiant interne d’exploitation agricole*]],FarmUnit[1. Identifiant interne d’exploitation agricole*],0)),FALSE,TRUE))</f>
        <v>1</v>
      </c>
      <c r="AF20" s="9" t="str">
        <f t="shared" si="0"/>
        <v>MESSOU TOMPIEU PIERRE</v>
      </c>
      <c r="AG20" s="50" t="str">
        <f t="shared" si="2"/>
        <v>20/7/2021</v>
      </c>
      <c r="AH20" s="51">
        <f>COUNTIFS(Z:Z,Z20,AG:AG,AG20)</f>
        <v>3</v>
      </c>
      <c r="AI20" s="49">
        <f t="shared" si="1"/>
        <v>0</v>
      </c>
    </row>
    <row r="21" spans="1:35" ht="13.15" customHeight="1" x14ac:dyDescent="0.2">
      <c r="A21" s="145" t="s">
        <v>741</v>
      </c>
      <c r="B21" s="146" t="s">
        <v>668</v>
      </c>
      <c r="C21" s="145" t="s">
        <v>741</v>
      </c>
      <c r="D21" s="147" t="s">
        <v>669</v>
      </c>
      <c r="E21" s="146" t="s">
        <v>670</v>
      </c>
      <c r="F21" s="146" t="s">
        <v>671</v>
      </c>
      <c r="G21" s="146" t="s">
        <v>672</v>
      </c>
      <c r="H21" s="148">
        <v>1.75</v>
      </c>
      <c r="I21" s="146" t="s">
        <v>673</v>
      </c>
      <c r="J21" s="149">
        <v>1</v>
      </c>
      <c r="K21" s="150">
        <v>2021</v>
      </c>
      <c r="L21" s="151" t="s">
        <v>742</v>
      </c>
      <c r="M21" s="151" t="s">
        <v>743</v>
      </c>
      <c r="N21" s="161" t="s">
        <v>744</v>
      </c>
      <c r="O21" s="153" t="s">
        <v>745</v>
      </c>
      <c r="P21" s="154" t="s">
        <v>676</v>
      </c>
      <c r="Q21" s="154">
        <v>1970</v>
      </c>
      <c r="R21" s="155">
        <v>8</v>
      </c>
      <c r="S21" s="146"/>
      <c r="T21" s="163"/>
      <c r="U21" s="146"/>
      <c r="V21" s="146"/>
      <c r="W21" s="146"/>
      <c r="X21" s="156">
        <v>0</v>
      </c>
      <c r="Y21" s="156">
        <v>0</v>
      </c>
      <c r="Z21" s="157" t="s">
        <v>677</v>
      </c>
      <c r="AA21" s="158">
        <v>2021</v>
      </c>
      <c r="AB21" s="158">
        <v>7</v>
      </c>
      <c r="AC21" s="158">
        <v>22</v>
      </c>
      <c r="AD21" s="122" t="b">
        <f>IF(ISBLANK(GroupMember[[#This Row],[1. Identifiant interne d’exploitation agricole*]]),"",IF(ISERROR(MATCH(GroupMember[[#This Row],[1. Identifiant interne d’exploitation agricole*]],CertifiedCrop[1. Identifiant interne d’exploitation agricole*],0)),FALSE,TRUE))</f>
        <v>1</v>
      </c>
      <c r="AE21" s="122" t="b">
        <f>IF(ISBLANK(GroupMember[[#This Row],[1. Identifiant interne d’exploitation agricole*]]),"",IF(ISERROR(MATCH(GroupMember[[#This Row],[1. Identifiant interne d’exploitation agricole*]],FarmUnit[1. Identifiant interne d’exploitation agricole*],0)),FALSE,TRUE))</f>
        <v>1</v>
      </c>
      <c r="AF21" s="9" t="str">
        <f t="shared" si="0"/>
        <v>SEUH  GUEU FLORENTIN</v>
      </c>
      <c r="AG21" s="50" t="str">
        <f t="shared" si="2"/>
        <v>22/7/2021</v>
      </c>
      <c r="AH21" s="51">
        <f>COUNTIFS(Z:Z,Z21,AG:AG,AG21)</f>
        <v>3</v>
      </c>
      <c r="AI21" s="49">
        <f t="shared" si="1"/>
        <v>0</v>
      </c>
    </row>
    <row r="22" spans="1:35" ht="13.15" customHeight="1" x14ac:dyDescent="0.2">
      <c r="A22" s="145" t="s">
        <v>746</v>
      </c>
      <c r="B22" s="146" t="s">
        <v>668</v>
      </c>
      <c r="C22" s="145" t="s">
        <v>746</v>
      </c>
      <c r="D22" s="147" t="s">
        <v>669</v>
      </c>
      <c r="E22" s="146" t="s">
        <v>670</v>
      </c>
      <c r="F22" s="146" t="s">
        <v>671</v>
      </c>
      <c r="G22" s="146" t="s">
        <v>672</v>
      </c>
      <c r="H22" s="148">
        <v>0.56999999999999995</v>
      </c>
      <c r="I22" s="146" t="s">
        <v>673</v>
      </c>
      <c r="J22" s="149">
        <v>1</v>
      </c>
      <c r="K22" s="150">
        <v>2021</v>
      </c>
      <c r="L22" s="151" t="s">
        <v>747</v>
      </c>
      <c r="M22" s="151" t="s">
        <v>748</v>
      </c>
      <c r="N22" s="161" t="s">
        <v>749</v>
      </c>
      <c r="O22" s="153" t="s">
        <v>750</v>
      </c>
      <c r="P22" s="154" t="s">
        <v>751</v>
      </c>
      <c r="Q22" s="154">
        <v>1976</v>
      </c>
      <c r="R22" s="155">
        <v>5</v>
      </c>
      <c r="S22" s="146"/>
      <c r="T22" s="163"/>
      <c r="U22" s="146"/>
      <c r="V22" s="146"/>
      <c r="W22" s="146"/>
      <c r="X22" s="156">
        <v>0</v>
      </c>
      <c r="Y22" s="156">
        <v>0</v>
      </c>
      <c r="Z22" s="157" t="s">
        <v>677</v>
      </c>
      <c r="AA22" s="158">
        <v>2021</v>
      </c>
      <c r="AB22" s="158">
        <v>7</v>
      </c>
      <c r="AC22" s="158">
        <v>24</v>
      </c>
      <c r="AD22" s="122" t="b">
        <f>IF(ISBLANK(GroupMember[[#This Row],[1. Identifiant interne d’exploitation agricole*]]),"",IF(ISERROR(MATCH(GroupMember[[#This Row],[1. Identifiant interne d’exploitation agricole*]],CertifiedCrop[1. Identifiant interne d’exploitation agricole*],0)),FALSE,TRUE))</f>
        <v>1</v>
      </c>
      <c r="AE22" s="122" t="b">
        <f>IF(ISBLANK(GroupMember[[#This Row],[1. Identifiant interne d’exploitation agricole*]]),"",IF(ISERROR(MATCH(GroupMember[[#This Row],[1. Identifiant interne d’exploitation agricole*]],FarmUnit[1. Identifiant interne d’exploitation agricole*],0)),FALSE,TRUE))</f>
        <v>1</v>
      </c>
      <c r="AF22" s="9" t="str">
        <f t="shared" si="0"/>
        <v>TOUALY  MANDO VIVIANE</v>
      </c>
      <c r="AG22" s="50" t="str">
        <f t="shared" si="2"/>
        <v>24/7/2021</v>
      </c>
      <c r="AH22" s="51">
        <f>COUNTIFS(Z:Z,Z22,AG:AG,AG22)</f>
        <v>4</v>
      </c>
      <c r="AI22" s="49">
        <f t="shared" si="1"/>
        <v>0</v>
      </c>
    </row>
    <row r="23" spans="1:35" ht="13.15" customHeight="1" x14ac:dyDescent="0.2">
      <c r="A23" s="145" t="s">
        <v>752</v>
      </c>
      <c r="B23" s="146" t="s">
        <v>668</v>
      </c>
      <c r="C23" s="145" t="s">
        <v>752</v>
      </c>
      <c r="D23" s="147" t="s">
        <v>669</v>
      </c>
      <c r="E23" s="146" t="s">
        <v>670</v>
      </c>
      <c r="F23" s="146" t="s">
        <v>671</v>
      </c>
      <c r="G23" s="146" t="s">
        <v>672</v>
      </c>
      <c r="H23" s="148">
        <v>7.45</v>
      </c>
      <c r="I23" s="146" t="s">
        <v>673</v>
      </c>
      <c r="J23" s="149">
        <v>2</v>
      </c>
      <c r="K23" s="150">
        <v>2021</v>
      </c>
      <c r="L23" s="151" t="s">
        <v>753</v>
      </c>
      <c r="M23" s="151" t="s">
        <v>754</v>
      </c>
      <c r="N23" s="161" t="s">
        <v>755</v>
      </c>
      <c r="O23" s="153"/>
      <c r="P23" s="154" t="s">
        <v>676</v>
      </c>
      <c r="Q23" s="154"/>
      <c r="R23" s="155">
        <v>4</v>
      </c>
      <c r="S23" s="146"/>
      <c r="T23" s="163"/>
      <c r="U23" s="146"/>
      <c r="V23" s="146"/>
      <c r="W23" s="146"/>
      <c r="X23" s="156">
        <v>0</v>
      </c>
      <c r="Y23" s="156">
        <v>0</v>
      </c>
      <c r="Z23" s="157" t="s">
        <v>677</v>
      </c>
      <c r="AA23" s="158">
        <v>2021</v>
      </c>
      <c r="AB23" s="158">
        <v>7</v>
      </c>
      <c r="AC23" s="158">
        <v>24</v>
      </c>
      <c r="AD23" s="122" t="b">
        <f>IF(ISBLANK(GroupMember[[#This Row],[1. Identifiant interne d’exploitation agricole*]]),"",IF(ISERROR(MATCH(GroupMember[[#This Row],[1. Identifiant interne d’exploitation agricole*]],CertifiedCrop[1. Identifiant interne d’exploitation agricole*],0)),FALSE,TRUE))</f>
        <v>1</v>
      </c>
      <c r="AE23" s="122" t="b">
        <f>IF(ISBLANK(GroupMember[[#This Row],[1. Identifiant interne d’exploitation agricole*]]),"",IF(ISERROR(MATCH(GroupMember[[#This Row],[1. Identifiant interne d’exploitation agricole*]],FarmUnit[1. Identifiant interne d’exploitation agricole*],0)),FALSE,TRUE))</f>
        <v>1</v>
      </c>
      <c r="AF23" s="9" t="str">
        <f t="shared" si="0"/>
        <v>ADAMA  DIARRA</v>
      </c>
      <c r="AG23" s="50" t="str">
        <f t="shared" si="2"/>
        <v>24/7/2021</v>
      </c>
      <c r="AH23" s="51">
        <f>COUNTIFS(Z:Z,Z23,AG:AG,AG23)</f>
        <v>4</v>
      </c>
      <c r="AI23" s="49">
        <f t="shared" si="1"/>
        <v>0</v>
      </c>
    </row>
    <row r="24" spans="1:35" ht="13.15" customHeight="1" x14ac:dyDescent="0.2">
      <c r="A24" s="145" t="s">
        <v>756</v>
      </c>
      <c r="B24" s="146" t="s">
        <v>668</v>
      </c>
      <c r="C24" s="145" t="s">
        <v>756</v>
      </c>
      <c r="D24" s="147" t="s">
        <v>669</v>
      </c>
      <c r="E24" s="146" t="s">
        <v>670</v>
      </c>
      <c r="F24" s="146" t="s">
        <v>671</v>
      </c>
      <c r="G24" s="146" t="s">
        <v>672</v>
      </c>
      <c r="H24" s="148">
        <v>13.34</v>
      </c>
      <c r="I24" s="146" t="s">
        <v>673</v>
      </c>
      <c r="J24" s="149">
        <v>3</v>
      </c>
      <c r="K24" s="150">
        <v>2021</v>
      </c>
      <c r="L24" s="151" t="s">
        <v>757</v>
      </c>
      <c r="M24" s="151" t="s">
        <v>758</v>
      </c>
      <c r="N24" s="164"/>
      <c r="O24" s="153"/>
      <c r="P24" s="154" t="s">
        <v>676</v>
      </c>
      <c r="Q24" s="297"/>
      <c r="R24" s="155">
        <v>5</v>
      </c>
      <c r="S24" s="146"/>
      <c r="T24" s="163"/>
      <c r="U24" s="146"/>
      <c r="V24" s="146"/>
      <c r="W24" s="146"/>
      <c r="X24" s="156">
        <v>0</v>
      </c>
      <c r="Y24" s="156">
        <v>2</v>
      </c>
      <c r="Z24" s="157" t="s">
        <v>677</v>
      </c>
      <c r="AA24" s="158">
        <v>2021</v>
      </c>
      <c r="AB24" s="158">
        <v>7</v>
      </c>
      <c r="AC24" s="158">
        <v>23</v>
      </c>
      <c r="AD24" s="122" t="b">
        <f>IF(ISBLANK(GroupMember[[#This Row],[1. Identifiant interne d’exploitation agricole*]]),"",IF(ISERROR(MATCH(GroupMember[[#This Row],[1. Identifiant interne d’exploitation agricole*]],CertifiedCrop[1. Identifiant interne d’exploitation agricole*],0)),FALSE,TRUE))</f>
        <v>1</v>
      </c>
      <c r="AE24" s="122" t="b">
        <f>IF(ISBLANK(GroupMember[[#This Row],[1. Identifiant interne d’exploitation agricole*]]),"",IF(ISERROR(MATCH(GroupMember[[#This Row],[1. Identifiant interne d’exploitation agricole*]],FarmUnit[1. Identifiant interne d’exploitation agricole*],0)),FALSE,TRUE))</f>
        <v>1</v>
      </c>
      <c r="AF24" s="9" t="str">
        <f t="shared" si="0"/>
        <v>KIENTEGA PIERRE</v>
      </c>
      <c r="AG24" s="50" t="str">
        <f t="shared" si="2"/>
        <v>23/7/2021</v>
      </c>
      <c r="AH24" s="51">
        <f>COUNTIFS(Z:Z,Z24,AG:AG,AG24)</f>
        <v>5</v>
      </c>
      <c r="AI24" s="49">
        <f t="shared" si="1"/>
        <v>0.16666666666666666</v>
      </c>
    </row>
    <row r="25" spans="1:35" ht="13.15" customHeight="1" x14ac:dyDescent="0.2">
      <c r="A25" s="145" t="s">
        <v>759</v>
      </c>
      <c r="B25" s="146" t="s">
        <v>668</v>
      </c>
      <c r="C25" s="145" t="s">
        <v>759</v>
      </c>
      <c r="D25" s="147" t="s">
        <v>669</v>
      </c>
      <c r="E25" s="146" t="s">
        <v>670</v>
      </c>
      <c r="F25" s="146" t="s">
        <v>671</v>
      </c>
      <c r="G25" s="146" t="s">
        <v>672</v>
      </c>
      <c r="H25" s="165">
        <v>4.38</v>
      </c>
      <c r="I25" s="146" t="s">
        <v>673</v>
      </c>
      <c r="J25" s="149">
        <v>2</v>
      </c>
      <c r="K25" s="150">
        <v>2021</v>
      </c>
      <c r="L25" s="151" t="s">
        <v>760</v>
      </c>
      <c r="M25" s="151" t="s">
        <v>761</v>
      </c>
      <c r="N25" s="164"/>
      <c r="O25" s="153"/>
      <c r="P25" s="154" t="s">
        <v>676</v>
      </c>
      <c r="Q25" s="297"/>
      <c r="R25" s="155">
        <v>6</v>
      </c>
      <c r="S25" s="146"/>
      <c r="T25" s="163"/>
      <c r="U25" s="146"/>
      <c r="V25" s="146"/>
      <c r="W25" s="146"/>
      <c r="X25" s="156">
        <v>0</v>
      </c>
      <c r="Y25" s="156">
        <v>0</v>
      </c>
      <c r="Z25" s="157" t="s">
        <v>677</v>
      </c>
      <c r="AA25" s="158">
        <v>2021</v>
      </c>
      <c r="AB25" s="158">
        <v>7</v>
      </c>
      <c r="AC25" s="158">
        <v>20</v>
      </c>
      <c r="AD25" s="122" t="b">
        <f>IF(ISBLANK(GroupMember[[#This Row],[1. Identifiant interne d’exploitation agricole*]]),"",IF(ISERROR(MATCH(GroupMember[[#This Row],[1. Identifiant interne d’exploitation agricole*]],CertifiedCrop[1. Identifiant interne d’exploitation agricole*],0)),FALSE,TRUE))</f>
        <v>1</v>
      </c>
      <c r="AE25" s="122" t="b">
        <f>IF(ISBLANK(GroupMember[[#This Row],[1. Identifiant interne d’exploitation agricole*]]),"",IF(ISERROR(MATCH(GroupMember[[#This Row],[1. Identifiant interne d’exploitation agricole*]],FarmUnit[1. Identifiant interne d’exploitation agricole*],0)),FALSE,TRUE))</f>
        <v>1</v>
      </c>
      <c r="AF25" s="9" t="str">
        <f t="shared" si="0"/>
        <v>YERBANGA TOUSSAINT</v>
      </c>
      <c r="AG25" s="50" t="str">
        <f t="shared" si="2"/>
        <v>20/7/2021</v>
      </c>
      <c r="AH25" s="51">
        <f>COUNTIFS(Z:Z,Z25,AG:AG,AG25)</f>
        <v>3</v>
      </c>
      <c r="AI25" s="49">
        <f t="shared" si="1"/>
        <v>0</v>
      </c>
    </row>
    <row r="26" spans="1:35" ht="13.15" customHeight="1" x14ac:dyDescent="0.2">
      <c r="A26" s="145" t="s">
        <v>762</v>
      </c>
      <c r="B26" s="146" t="s">
        <v>668</v>
      </c>
      <c r="C26" s="145" t="s">
        <v>762</v>
      </c>
      <c r="D26" s="147" t="s">
        <v>669</v>
      </c>
      <c r="E26" s="146" t="s">
        <v>670</v>
      </c>
      <c r="F26" s="146" t="s">
        <v>671</v>
      </c>
      <c r="G26" s="146" t="s">
        <v>672</v>
      </c>
      <c r="H26" s="148">
        <v>14</v>
      </c>
      <c r="I26" s="146" t="s">
        <v>673</v>
      </c>
      <c r="J26" s="149">
        <v>3</v>
      </c>
      <c r="K26" s="150">
        <v>2021</v>
      </c>
      <c r="L26" s="151" t="s">
        <v>760</v>
      </c>
      <c r="M26" s="151" t="s">
        <v>763</v>
      </c>
      <c r="N26" s="164"/>
      <c r="O26" s="153"/>
      <c r="P26" s="154" t="s">
        <v>676</v>
      </c>
      <c r="Q26" s="297"/>
      <c r="R26" s="155">
        <v>9</v>
      </c>
      <c r="S26" s="146"/>
      <c r="T26" s="163"/>
      <c r="U26" s="146"/>
      <c r="V26" s="146"/>
      <c r="W26" s="146"/>
      <c r="X26" s="156">
        <v>0</v>
      </c>
      <c r="Y26" s="156">
        <v>1</v>
      </c>
      <c r="Z26" s="157" t="s">
        <v>677</v>
      </c>
      <c r="AA26" s="158">
        <v>2021</v>
      </c>
      <c r="AB26" s="158">
        <v>7</v>
      </c>
      <c r="AC26" s="158">
        <v>10</v>
      </c>
      <c r="AD26" s="122" t="b">
        <f>IF(ISBLANK(GroupMember[[#This Row],[1. Identifiant interne d’exploitation agricole*]]),"",IF(ISERROR(MATCH(GroupMember[[#This Row],[1. Identifiant interne d’exploitation agricole*]],CertifiedCrop[1. Identifiant interne d’exploitation agricole*],0)),FALSE,TRUE))</f>
        <v>1</v>
      </c>
      <c r="AE26" s="122" t="b">
        <f>IF(ISBLANK(GroupMember[[#This Row],[1. Identifiant interne d’exploitation agricole*]]),"",IF(ISERROR(MATCH(GroupMember[[#This Row],[1. Identifiant interne d’exploitation agricole*]],FarmUnit[1. Identifiant interne d’exploitation agricole*],0)),FALSE,TRUE))</f>
        <v>1</v>
      </c>
      <c r="AF26" s="9" t="str">
        <f t="shared" si="0"/>
        <v>YERBANGA  PINGUEDA</v>
      </c>
      <c r="AG26" s="50" t="str">
        <f t="shared" si="2"/>
        <v>10/7/2021</v>
      </c>
      <c r="AH26" s="51">
        <f>COUNTIFS(Z:Z,Z26,AG:AG,AG26)</f>
        <v>4</v>
      </c>
      <c r="AI26" s="49">
        <f t="shared" si="1"/>
        <v>8.3333333333333329E-2</v>
      </c>
    </row>
    <row r="27" spans="1:35" ht="13.15" customHeight="1" x14ac:dyDescent="0.2">
      <c r="A27" s="145" t="s">
        <v>764</v>
      </c>
      <c r="B27" s="146" t="s">
        <v>668</v>
      </c>
      <c r="C27" s="145" t="s">
        <v>764</v>
      </c>
      <c r="D27" s="147" t="s">
        <v>669</v>
      </c>
      <c r="E27" s="146" t="s">
        <v>670</v>
      </c>
      <c r="F27" s="146" t="s">
        <v>671</v>
      </c>
      <c r="G27" s="146" t="s">
        <v>672</v>
      </c>
      <c r="H27" s="165">
        <v>3.13</v>
      </c>
      <c r="I27" s="146" t="s">
        <v>673</v>
      </c>
      <c r="J27" s="149">
        <v>2</v>
      </c>
      <c r="K27" s="150">
        <v>2021</v>
      </c>
      <c r="L27" s="151" t="s">
        <v>765</v>
      </c>
      <c r="M27" s="151" t="s">
        <v>766</v>
      </c>
      <c r="N27" s="164"/>
      <c r="O27" s="153"/>
      <c r="P27" s="154" t="s">
        <v>676</v>
      </c>
      <c r="Q27" s="297"/>
      <c r="R27" s="155">
        <v>8</v>
      </c>
      <c r="S27" s="146"/>
      <c r="T27" s="163"/>
      <c r="U27" s="146"/>
      <c r="V27" s="146"/>
      <c r="W27" s="146"/>
      <c r="X27" s="156">
        <v>0</v>
      </c>
      <c r="Y27" s="156">
        <v>0</v>
      </c>
      <c r="Z27" s="157" t="s">
        <v>677</v>
      </c>
      <c r="AA27" s="158">
        <v>2021</v>
      </c>
      <c r="AB27" s="158">
        <v>7</v>
      </c>
      <c r="AC27" s="158">
        <v>21</v>
      </c>
      <c r="AD27" s="122" t="b">
        <f>IF(ISBLANK(GroupMember[[#This Row],[1. Identifiant interne d’exploitation agricole*]]),"",IF(ISERROR(MATCH(GroupMember[[#This Row],[1. Identifiant interne d’exploitation agricole*]],CertifiedCrop[1. Identifiant interne d’exploitation agricole*],0)),FALSE,TRUE))</f>
        <v>1</v>
      </c>
      <c r="AE27" s="122" t="b">
        <f>IF(ISBLANK(GroupMember[[#This Row],[1. Identifiant interne d’exploitation agricole*]]),"",IF(ISERROR(MATCH(GroupMember[[#This Row],[1. Identifiant interne d’exploitation agricole*]],FarmUnit[1. Identifiant interne d’exploitation agricole*],0)),FALSE,TRUE))</f>
        <v>1</v>
      </c>
      <c r="AF27" s="9" t="str">
        <f t="shared" si="0"/>
        <v>KONE SOULEYMANE 1</v>
      </c>
      <c r="AG27" s="50" t="str">
        <f t="shared" si="2"/>
        <v>21/7/2021</v>
      </c>
      <c r="AH27" s="51">
        <f>COUNTIFS(Z:Z,Z27,AG:AG,AG27)</f>
        <v>5</v>
      </c>
      <c r="AI27" s="49">
        <f t="shared" si="1"/>
        <v>0</v>
      </c>
    </row>
    <row r="28" spans="1:35" ht="13.15" customHeight="1" x14ac:dyDescent="0.2">
      <c r="A28" s="145" t="s">
        <v>767</v>
      </c>
      <c r="B28" s="146" t="s">
        <v>668</v>
      </c>
      <c r="C28" s="145" t="s">
        <v>767</v>
      </c>
      <c r="D28" s="147" t="s">
        <v>669</v>
      </c>
      <c r="E28" s="146" t="s">
        <v>670</v>
      </c>
      <c r="F28" s="146" t="s">
        <v>671</v>
      </c>
      <c r="G28" s="146" t="s">
        <v>672</v>
      </c>
      <c r="H28" s="166">
        <v>7</v>
      </c>
      <c r="I28" s="146" t="s">
        <v>673</v>
      </c>
      <c r="J28" s="149">
        <v>2</v>
      </c>
      <c r="K28" s="150">
        <v>2021</v>
      </c>
      <c r="L28" s="151" t="s">
        <v>768</v>
      </c>
      <c r="M28" s="151" t="s">
        <v>769</v>
      </c>
      <c r="N28" s="152" t="s">
        <v>770</v>
      </c>
      <c r="O28" s="153"/>
      <c r="P28" s="154" t="s">
        <v>676</v>
      </c>
      <c r="Q28" s="154"/>
      <c r="R28" s="155">
        <v>6</v>
      </c>
      <c r="S28" s="146"/>
      <c r="T28" s="163"/>
      <c r="U28" s="146"/>
      <c r="V28" s="146"/>
      <c r="W28" s="146"/>
      <c r="X28" s="156">
        <v>0</v>
      </c>
      <c r="Y28" s="156">
        <v>0</v>
      </c>
      <c r="Z28" s="157" t="s">
        <v>677</v>
      </c>
      <c r="AA28" s="158">
        <v>2021</v>
      </c>
      <c r="AB28" s="158">
        <v>7</v>
      </c>
      <c r="AC28" s="158">
        <v>22</v>
      </c>
      <c r="AD28" s="122" t="b">
        <f>IF(ISBLANK(GroupMember[[#This Row],[1. Identifiant interne d’exploitation agricole*]]),"",IF(ISERROR(MATCH(GroupMember[[#This Row],[1. Identifiant interne d’exploitation agricole*]],CertifiedCrop[1. Identifiant interne d’exploitation agricole*],0)),FALSE,TRUE))</f>
        <v>1</v>
      </c>
      <c r="AE28" s="122" t="b">
        <f>IF(ISBLANK(GroupMember[[#This Row],[1. Identifiant interne d’exploitation agricole*]]),"",IF(ISERROR(MATCH(GroupMember[[#This Row],[1. Identifiant interne d’exploitation agricole*]],FarmUnit[1. Identifiant interne d’exploitation agricole*],0)),FALSE,TRUE))</f>
        <v>1</v>
      </c>
      <c r="AF28" s="9" t="str">
        <f t="shared" si="0"/>
        <v>GUEI GOUET RICHARD</v>
      </c>
      <c r="AG28" s="50" t="str">
        <f t="shared" si="2"/>
        <v>22/7/2021</v>
      </c>
      <c r="AH28" s="51">
        <f>COUNTIFS(Z:Z,Z28,AG:AG,AG28)</f>
        <v>3</v>
      </c>
      <c r="AI28" s="49">
        <f t="shared" si="1"/>
        <v>0</v>
      </c>
    </row>
    <row r="29" spans="1:35" ht="13.15" customHeight="1" x14ac:dyDescent="0.2">
      <c r="A29" s="145" t="s">
        <v>771</v>
      </c>
      <c r="B29" s="146" t="s">
        <v>668</v>
      </c>
      <c r="C29" s="145" t="s">
        <v>771</v>
      </c>
      <c r="D29" s="147" t="s">
        <v>669</v>
      </c>
      <c r="E29" s="146" t="s">
        <v>670</v>
      </c>
      <c r="F29" s="146" t="s">
        <v>671</v>
      </c>
      <c r="G29" s="146" t="s">
        <v>672</v>
      </c>
      <c r="H29" s="166">
        <v>4.29</v>
      </c>
      <c r="I29" s="146" t="s">
        <v>673</v>
      </c>
      <c r="J29" s="149">
        <v>1</v>
      </c>
      <c r="K29" s="150">
        <v>2021</v>
      </c>
      <c r="L29" s="159" t="s">
        <v>682</v>
      </c>
      <c r="M29" s="151" t="s">
        <v>772</v>
      </c>
      <c r="N29" s="161"/>
      <c r="O29" s="153"/>
      <c r="P29" s="154" t="s">
        <v>676</v>
      </c>
      <c r="Q29" s="154"/>
      <c r="R29" s="155">
        <v>7</v>
      </c>
      <c r="S29" s="146"/>
      <c r="T29" s="163"/>
      <c r="U29" s="146"/>
      <c r="V29" s="146"/>
      <c r="W29" s="146"/>
      <c r="X29" s="156">
        <v>0</v>
      </c>
      <c r="Y29" s="156">
        <v>0</v>
      </c>
      <c r="Z29" s="157" t="s">
        <v>677</v>
      </c>
      <c r="AA29" s="158">
        <v>2021</v>
      </c>
      <c r="AB29" s="158">
        <v>7</v>
      </c>
      <c r="AC29" s="158">
        <v>24</v>
      </c>
      <c r="AD29" s="122" t="b">
        <f>IF(ISBLANK(GroupMember[[#This Row],[1. Identifiant interne d’exploitation agricole*]]),"",IF(ISERROR(MATCH(GroupMember[[#This Row],[1. Identifiant interne d’exploitation agricole*]],CertifiedCrop[1. Identifiant interne d’exploitation agricole*],0)),FALSE,TRUE))</f>
        <v>1</v>
      </c>
      <c r="AE29" s="122" t="b">
        <f>IF(ISBLANK(GroupMember[[#This Row],[1. Identifiant interne d’exploitation agricole*]]),"",IF(ISERROR(MATCH(GroupMember[[#This Row],[1. Identifiant interne d’exploitation agricole*]],FarmUnit[1. Identifiant interne d’exploitation agricole*],0)),FALSE,TRUE))</f>
        <v>1</v>
      </c>
      <c r="AF29" s="9" t="str">
        <f t="shared" si="0"/>
        <v>SANGARE  SOUMAHILA</v>
      </c>
      <c r="AG29" s="50" t="str">
        <f t="shared" si="2"/>
        <v>24/7/2021</v>
      </c>
      <c r="AH29" s="51">
        <f>COUNTIFS(Z:Z,Z29,AG:AG,AG29)</f>
        <v>4</v>
      </c>
      <c r="AI29" s="49">
        <f t="shared" si="1"/>
        <v>0</v>
      </c>
    </row>
    <row r="30" spans="1:35" ht="13.15" customHeight="1" x14ac:dyDescent="0.2">
      <c r="A30" s="145" t="s">
        <v>773</v>
      </c>
      <c r="B30" s="146" t="s">
        <v>668</v>
      </c>
      <c r="C30" s="145" t="s">
        <v>773</v>
      </c>
      <c r="D30" s="147" t="s">
        <v>669</v>
      </c>
      <c r="E30" s="146" t="s">
        <v>670</v>
      </c>
      <c r="F30" s="146" t="s">
        <v>671</v>
      </c>
      <c r="G30" s="146" t="s">
        <v>672</v>
      </c>
      <c r="H30" s="166">
        <v>3.5</v>
      </c>
      <c r="I30" s="146" t="s">
        <v>673</v>
      </c>
      <c r="J30" s="149">
        <v>1</v>
      </c>
      <c r="K30" s="150">
        <v>2021</v>
      </c>
      <c r="L30" s="159" t="s">
        <v>765</v>
      </c>
      <c r="M30" s="151" t="s">
        <v>774</v>
      </c>
      <c r="N30" s="161"/>
      <c r="O30" s="153"/>
      <c r="P30" s="154" t="s">
        <v>676</v>
      </c>
      <c r="Q30" s="154"/>
      <c r="R30" s="155">
        <v>4</v>
      </c>
      <c r="S30" s="146"/>
      <c r="T30" s="163"/>
      <c r="U30" s="146"/>
      <c r="V30" s="146"/>
      <c r="W30" s="146"/>
      <c r="X30" s="156">
        <v>0</v>
      </c>
      <c r="Y30" s="156">
        <v>0</v>
      </c>
      <c r="Z30" s="157" t="s">
        <v>677</v>
      </c>
      <c r="AA30" s="158">
        <v>2021</v>
      </c>
      <c r="AB30" s="158">
        <v>7</v>
      </c>
      <c r="AC30" s="158">
        <v>12</v>
      </c>
      <c r="AD30" s="122" t="b">
        <f>IF(ISBLANK(GroupMember[[#This Row],[1. Identifiant interne d’exploitation agricole*]]),"",IF(ISERROR(MATCH(GroupMember[[#This Row],[1. Identifiant interne d’exploitation agricole*]],CertifiedCrop[1. Identifiant interne d’exploitation agricole*],0)),FALSE,TRUE))</f>
        <v>1</v>
      </c>
      <c r="AE30" s="122" t="b">
        <f>IF(ISBLANK(GroupMember[[#This Row],[1. Identifiant interne d’exploitation agricole*]]),"",IF(ISERROR(MATCH(GroupMember[[#This Row],[1. Identifiant interne d’exploitation agricole*]],FarmUnit[1. Identifiant interne d’exploitation agricole*],0)),FALSE,TRUE))</f>
        <v>1</v>
      </c>
      <c r="AF30" s="9" t="str">
        <f t="shared" si="0"/>
        <v>KONE BIRAMA</v>
      </c>
      <c r="AG30" s="50" t="str">
        <f t="shared" si="2"/>
        <v>12/7/2021</v>
      </c>
      <c r="AH30" s="51">
        <f>COUNTIFS(Z:Z,Z30,AG:AG,AG30)</f>
        <v>3</v>
      </c>
      <c r="AI30" s="49">
        <f t="shared" si="1"/>
        <v>0</v>
      </c>
    </row>
    <row r="31" spans="1:35" ht="13.15" customHeight="1" x14ac:dyDescent="0.2">
      <c r="A31" s="145" t="s">
        <v>775</v>
      </c>
      <c r="B31" s="146" t="s">
        <v>668</v>
      </c>
      <c r="C31" s="145" t="s">
        <v>775</v>
      </c>
      <c r="D31" s="147" t="s">
        <v>669</v>
      </c>
      <c r="E31" s="146" t="s">
        <v>670</v>
      </c>
      <c r="F31" s="146" t="s">
        <v>671</v>
      </c>
      <c r="G31" s="146" t="s">
        <v>672</v>
      </c>
      <c r="H31" s="166">
        <v>1.38</v>
      </c>
      <c r="I31" s="146" t="s">
        <v>673</v>
      </c>
      <c r="J31" s="149">
        <v>1</v>
      </c>
      <c r="K31" s="150">
        <v>2021</v>
      </c>
      <c r="L31" s="159" t="s">
        <v>776</v>
      </c>
      <c r="M31" s="151" t="s">
        <v>777</v>
      </c>
      <c r="N31" s="161" t="s">
        <v>778</v>
      </c>
      <c r="O31" s="153" t="s">
        <v>779</v>
      </c>
      <c r="P31" s="154" t="s">
        <v>676</v>
      </c>
      <c r="Q31" s="154">
        <v>1972</v>
      </c>
      <c r="R31" s="155">
        <v>5</v>
      </c>
      <c r="S31" s="146"/>
      <c r="T31" s="163"/>
      <c r="U31" s="146"/>
      <c r="V31" s="146"/>
      <c r="W31" s="146"/>
      <c r="X31" s="156">
        <v>0</v>
      </c>
      <c r="Y31" s="156">
        <v>0</v>
      </c>
      <c r="Z31" s="157" t="s">
        <v>677</v>
      </c>
      <c r="AA31" s="158">
        <v>2021</v>
      </c>
      <c r="AB31" s="158">
        <v>7</v>
      </c>
      <c r="AC31" s="158">
        <v>6</v>
      </c>
      <c r="AD31" s="122" t="b">
        <f>IF(ISBLANK(GroupMember[[#This Row],[1. Identifiant interne d’exploitation agricole*]]),"",IF(ISERROR(MATCH(GroupMember[[#This Row],[1. Identifiant interne d’exploitation agricole*]],CertifiedCrop[1. Identifiant interne d’exploitation agricole*],0)),FALSE,TRUE))</f>
        <v>1</v>
      </c>
      <c r="AE31" s="122" t="b">
        <f>IF(ISBLANK(GroupMember[[#This Row],[1. Identifiant interne d’exploitation agricole*]]),"",IF(ISERROR(MATCH(GroupMember[[#This Row],[1. Identifiant interne d’exploitation agricole*]],FarmUnit[1. Identifiant interne d’exploitation agricole*],0)),FALSE,TRUE))</f>
        <v>1</v>
      </c>
      <c r="AF31" s="9" t="str">
        <f t="shared" si="0"/>
        <v>SAMA  ALBERT</v>
      </c>
      <c r="AG31" s="50" t="str">
        <f t="shared" si="2"/>
        <v>6/7/2021</v>
      </c>
      <c r="AH31" s="51">
        <f>COUNTIFS(Z:Z,Z31,AG:AG,AG31)</f>
        <v>4</v>
      </c>
      <c r="AI31" s="49">
        <f t="shared" si="1"/>
        <v>0</v>
      </c>
    </row>
    <row r="32" spans="1:35" ht="13.15" customHeight="1" x14ac:dyDescent="0.2">
      <c r="A32" s="145" t="s">
        <v>780</v>
      </c>
      <c r="B32" s="146" t="s">
        <v>668</v>
      </c>
      <c r="C32" s="145" t="s">
        <v>780</v>
      </c>
      <c r="D32" s="147" t="s">
        <v>669</v>
      </c>
      <c r="E32" s="146" t="s">
        <v>670</v>
      </c>
      <c r="F32" s="146" t="s">
        <v>671</v>
      </c>
      <c r="G32" s="146" t="s">
        <v>672</v>
      </c>
      <c r="H32" s="166">
        <v>4.24</v>
      </c>
      <c r="I32" s="146" t="s">
        <v>673</v>
      </c>
      <c r="J32" s="149">
        <v>1</v>
      </c>
      <c r="K32" s="150">
        <v>2021</v>
      </c>
      <c r="L32" s="159" t="s">
        <v>781</v>
      </c>
      <c r="M32" s="159" t="s">
        <v>782</v>
      </c>
      <c r="N32" s="167" t="s">
        <v>783</v>
      </c>
      <c r="O32" s="153" t="s">
        <v>784</v>
      </c>
      <c r="P32" s="154" t="s">
        <v>676</v>
      </c>
      <c r="Q32" s="154">
        <v>1988</v>
      </c>
      <c r="R32" s="155">
        <v>8</v>
      </c>
      <c r="S32" s="146"/>
      <c r="T32" s="163"/>
      <c r="U32" s="146"/>
      <c r="V32" s="146"/>
      <c r="W32" s="146"/>
      <c r="X32" s="156">
        <v>0</v>
      </c>
      <c r="Y32" s="156">
        <v>0</v>
      </c>
      <c r="Z32" s="157" t="s">
        <v>677</v>
      </c>
      <c r="AA32" s="158">
        <v>2021</v>
      </c>
      <c r="AB32" s="158">
        <v>7</v>
      </c>
      <c r="AC32" s="158">
        <v>23</v>
      </c>
      <c r="AD32" s="122" t="b">
        <f>IF(ISBLANK(GroupMember[[#This Row],[1. Identifiant interne d’exploitation agricole*]]),"",IF(ISERROR(MATCH(GroupMember[[#This Row],[1. Identifiant interne d’exploitation agricole*]],CertifiedCrop[1. Identifiant interne d’exploitation agricole*],0)),FALSE,TRUE))</f>
        <v>1</v>
      </c>
      <c r="AE32" s="122" t="b">
        <f>IF(ISBLANK(GroupMember[[#This Row],[1. Identifiant interne d’exploitation agricole*]]),"",IF(ISERROR(MATCH(GroupMember[[#This Row],[1. Identifiant interne d’exploitation agricole*]],FarmUnit[1. Identifiant interne d’exploitation agricole*],0)),FALSE,TRUE))</f>
        <v>1</v>
      </c>
      <c r="AF32" s="9" t="str">
        <f t="shared" si="0"/>
        <v>SOH MAHONTO   GUY MACOS</v>
      </c>
      <c r="AG32" s="50" t="str">
        <f t="shared" si="2"/>
        <v>23/7/2021</v>
      </c>
      <c r="AH32" s="51">
        <f>COUNTIFS(Z:Z,Z32,AG:AG,AG32)</f>
        <v>5</v>
      </c>
      <c r="AI32" s="49">
        <f t="shared" si="1"/>
        <v>0</v>
      </c>
    </row>
    <row r="33" spans="1:35" ht="13.15" customHeight="1" x14ac:dyDescent="0.2">
      <c r="A33" s="145" t="s">
        <v>785</v>
      </c>
      <c r="B33" s="146" t="s">
        <v>668</v>
      </c>
      <c r="C33" s="145" t="s">
        <v>785</v>
      </c>
      <c r="D33" s="147" t="s">
        <v>669</v>
      </c>
      <c r="E33" s="146" t="s">
        <v>670</v>
      </c>
      <c r="F33" s="146" t="s">
        <v>671</v>
      </c>
      <c r="G33" s="146" t="s">
        <v>672</v>
      </c>
      <c r="H33" s="165">
        <v>5.09</v>
      </c>
      <c r="I33" s="146" t="s">
        <v>673</v>
      </c>
      <c r="J33" s="149">
        <v>2</v>
      </c>
      <c r="K33" s="150">
        <v>2021</v>
      </c>
      <c r="L33" s="159" t="s">
        <v>786</v>
      </c>
      <c r="M33" s="151" t="s">
        <v>787</v>
      </c>
      <c r="N33" s="167" t="s">
        <v>788</v>
      </c>
      <c r="O33" s="153"/>
      <c r="P33" s="154" t="s">
        <v>676</v>
      </c>
      <c r="Q33" s="297"/>
      <c r="R33" s="155">
        <v>4</v>
      </c>
      <c r="S33" s="146"/>
      <c r="T33" s="163"/>
      <c r="U33" s="146"/>
      <c r="V33" s="146"/>
      <c r="W33" s="146"/>
      <c r="X33" s="156">
        <v>0</v>
      </c>
      <c r="Y33" s="156">
        <v>0</v>
      </c>
      <c r="Z33" s="157" t="s">
        <v>677</v>
      </c>
      <c r="AA33" s="158">
        <v>2021</v>
      </c>
      <c r="AB33" s="158">
        <v>7</v>
      </c>
      <c r="AC33" s="158">
        <v>21</v>
      </c>
      <c r="AD33" s="122" t="b">
        <f>IF(ISBLANK(GroupMember[[#This Row],[1. Identifiant interne d’exploitation agricole*]]),"",IF(ISERROR(MATCH(GroupMember[[#This Row],[1. Identifiant interne d’exploitation agricole*]],CertifiedCrop[1. Identifiant interne d’exploitation agricole*],0)),FALSE,TRUE))</f>
        <v>1</v>
      </c>
      <c r="AE33" s="122" t="b">
        <f>IF(ISBLANK(GroupMember[[#This Row],[1. Identifiant interne d’exploitation agricole*]]),"",IF(ISERROR(MATCH(GroupMember[[#This Row],[1. Identifiant interne d’exploitation agricole*]],FarmUnit[1. Identifiant interne d’exploitation agricole*],0)),FALSE,TRUE))</f>
        <v>1</v>
      </c>
      <c r="AF33" s="9" t="str">
        <f t="shared" si="0"/>
        <v>BIEU  TIEU PAUL</v>
      </c>
      <c r="AG33" s="50" t="str">
        <f t="shared" si="2"/>
        <v>21/7/2021</v>
      </c>
      <c r="AH33" s="51">
        <f>COUNTIFS(Z:Z,Z33,AG:AG,AG33)</f>
        <v>5</v>
      </c>
      <c r="AI33" s="49">
        <f t="shared" si="1"/>
        <v>0</v>
      </c>
    </row>
    <row r="34" spans="1:35" ht="13.15" customHeight="1" x14ac:dyDescent="0.2">
      <c r="A34" s="145" t="s">
        <v>789</v>
      </c>
      <c r="B34" s="146" t="s">
        <v>668</v>
      </c>
      <c r="C34" s="145" t="s">
        <v>789</v>
      </c>
      <c r="D34" s="147" t="s">
        <v>669</v>
      </c>
      <c r="E34" s="146" t="s">
        <v>670</v>
      </c>
      <c r="F34" s="146" t="s">
        <v>671</v>
      </c>
      <c r="G34" s="146" t="s">
        <v>672</v>
      </c>
      <c r="H34" s="148">
        <v>3.5</v>
      </c>
      <c r="I34" s="146" t="s">
        <v>673</v>
      </c>
      <c r="J34" s="149">
        <v>1</v>
      </c>
      <c r="K34" s="150">
        <v>2021</v>
      </c>
      <c r="L34" s="159" t="s">
        <v>790</v>
      </c>
      <c r="M34" s="151" t="s">
        <v>791</v>
      </c>
      <c r="N34" s="161" t="s">
        <v>792</v>
      </c>
      <c r="O34" s="153" t="s">
        <v>793</v>
      </c>
      <c r="P34" s="154" t="s">
        <v>676</v>
      </c>
      <c r="Q34" s="154">
        <v>1965</v>
      </c>
      <c r="R34" s="155">
        <v>5</v>
      </c>
      <c r="S34" s="146"/>
      <c r="T34" s="163"/>
      <c r="U34" s="146"/>
      <c r="V34" s="146"/>
      <c r="W34" s="146"/>
      <c r="X34" s="156">
        <v>0</v>
      </c>
      <c r="Y34" s="156">
        <v>0</v>
      </c>
      <c r="Z34" s="157" t="s">
        <v>677</v>
      </c>
      <c r="AA34" s="158">
        <v>2021</v>
      </c>
      <c r="AB34" s="158">
        <v>7</v>
      </c>
      <c r="AC34" s="158">
        <v>3</v>
      </c>
      <c r="AD34" s="122" t="b">
        <f>IF(ISBLANK(GroupMember[[#This Row],[1. Identifiant interne d’exploitation agricole*]]),"",IF(ISERROR(MATCH(GroupMember[[#This Row],[1. Identifiant interne d’exploitation agricole*]],CertifiedCrop[1. Identifiant interne d’exploitation agricole*],0)),FALSE,TRUE))</f>
        <v>1</v>
      </c>
      <c r="AE34" s="122" t="b">
        <f>IF(ISBLANK(GroupMember[[#This Row],[1. Identifiant interne d’exploitation agricole*]]),"",IF(ISERROR(MATCH(GroupMember[[#This Row],[1. Identifiant interne d’exploitation agricole*]],FarmUnit[1. Identifiant interne d’exploitation agricole*],0)),FALSE,TRUE))</f>
        <v>1</v>
      </c>
      <c r="AF34" s="9" t="str">
        <f t="shared" si="0"/>
        <v>KOYA  KPANNIEU ETIENNE</v>
      </c>
      <c r="AG34" s="50" t="str">
        <f t="shared" si="2"/>
        <v>3/7/2021</v>
      </c>
      <c r="AH34" s="51">
        <f>COUNTIFS(Z:Z,Z34,AG:AG,AG34)</f>
        <v>4</v>
      </c>
      <c r="AI34" s="49">
        <f t="shared" si="1"/>
        <v>0</v>
      </c>
    </row>
    <row r="35" spans="1:35" ht="13.15" customHeight="1" x14ac:dyDescent="0.2">
      <c r="A35" s="145" t="s">
        <v>794</v>
      </c>
      <c r="B35" s="146" t="s">
        <v>668</v>
      </c>
      <c r="C35" s="145" t="s">
        <v>794</v>
      </c>
      <c r="D35" s="147" t="s">
        <v>669</v>
      </c>
      <c r="E35" s="146" t="s">
        <v>670</v>
      </c>
      <c r="F35" s="146" t="s">
        <v>671</v>
      </c>
      <c r="G35" s="146" t="s">
        <v>672</v>
      </c>
      <c r="H35" s="148">
        <v>1.95</v>
      </c>
      <c r="I35" s="146" t="s">
        <v>673</v>
      </c>
      <c r="J35" s="149">
        <v>1</v>
      </c>
      <c r="K35" s="150">
        <v>2021</v>
      </c>
      <c r="L35" s="159" t="s">
        <v>795</v>
      </c>
      <c r="M35" s="151" t="s">
        <v>777</v>
      </c>
      <c r="N35" s="161" t="s">
        <v>796</v>
      </c>
      <c r="O35" s="153" t="s">
        <v>797</v>
      </c>
      <c r="P35" s="154" t="s">
        <v>676</v>
      </c>
      <c r="Q35" s="154">
        <v>1963</v>
      </c>
      <c r="R35" s="155">
        <v>7</v>
      </c>
      <c r="S35" s="146"/>
      <c r="T35" s="163"/>
      <c r="U35" s="146"/>
      <c r="V35" s="146"/>
      <c r="W35" s="146"/>
      <c r="X35" s="156">
        <v>0</v>
      </c>
      <c r="Y35" s="156">
        <v>0</v>
      </c>
      <c r="Z35" s="157" t="s">
        <v>677</v>
      </c>
      <c r="AA35" s="158">
        <v>2021</v>
      </c>
      <c r="AB35" s="158">
        <v>7</v>
      </c>
      <c r="AC35" s="158">
        <v>12</v>
      </c>
      <c r="AD35" s="122" t="b">
        <f>IF(ISBLANK(GroupMember[[#This Row],[1. Identifiant interne d’exploitation agricole*]]),"",IF(ISERROR(MATCH(GroupMember[[#This Row],[1. Identifiant interne d’exploitation agricole*]],CertifiedCrop[1. Identifiant interne d’exploitation agricole*],0)),FALSE,TRUE))</f>
        <v>1</v>
      </c>
      <c r="AE35" s="122" t="b">
        <f>IF(ISBLANK(GroupMember[[#This Row],[1. Identifiant interne d’exploitation agricole*]]),"",IF(ISERROR(MATCH(GroupMember[[#This Row],[1. Identifiant interne d’exploitation agricole*]],FarmUnit[1. Identifiant interne d’exploitation agricole*],0)),FALSE,TRUE))</f>
        <v>1</v>
      </c>
      <c r="AF35" s="9" t="str">
        <f t="shared" si="0"/>
        <v>GOMPOU  ALBERT</v>
      </c>
      <c r="AG35" s="50" t="str">
        <f t="shared" si="2"/>
        <v>12/7/2021</v>
      </c>
      <c r="AH35" s="51">
        <f>COUNTIFS(Z:Z,Z35,AG:AG,AG35)</f>
        <v>3</v>
      </c>
      <c r="AI35" s="49">
        <f t="shared" si="1"/>
        <v>0</v>
      </c>
    </row>
    <row r="36" spans="1:35" ht="13.15" customHeight="1" x14ac:dyDescent="0.2">
      <c r="A36" s="145" t="s">
        <v>798</v>
      </c>
      <c r="B36" s="146" t="s">
        <v>668</v>
      </c>
      <c r="C36" s="145" t="s">
        <v>798</v>
      </c>
      <c r="D36" s="147" t="s">
        <v>669</v>
      </c>
      <c r="E36" s="146" t="s">
        <v>670</v>
      </c>
      <c r="F36" s="146" t="s">
        <v>671</v>
      </c>
      <c r="G36" s="146" t="s">
        <v>672</v>
      </c>
      <c r="H36" s="148">
        <v>3</v>
      </c>
      <c r="I36" s="146" t="s">
        <v>673</v>
      </c>
      <c r="J36" s="149">
        <v>1</v>
      </c>
      <c r="K36" s="150">
        <v>2021</v>
      </c>
      <c r="L36" s="159" t="s">
        <v>799</v>
      </c>
      <c r="M36" s="151" t="s">
        <v>800</v>
      </c>
      <c r="N36" s="276" t="s">
        <v>3293</v>
      </c>
      <c r="O36" s="153" t="s">
        <v>801</v>
      </c>
      <c r="P36" s="154" t="s">
        <v>676</v>
      </c>
      <c r="Q36" s="154">
        <v>1969</v>
      </c>
      <c r="R36" s="155">
        <v>6</v>
      </c>
      <c r="S36" s="146"/>
      <c r="T36" s="163"/>
      <c r="U36" s="146"/>
      <c r="V36" s="146"/>
      <c r="W36" s="146"/>
      <c r="X36" s="156">
        <v>0</v>
      </c>
      <c r="Y36" s="156">
        <v>0</v>
      </c>
      <c r="Z36" s="157" t="s">
        <v>677</v>
      </c>
      <c r="AA36" s="158">
        <v>2021</v>
      </c>
      <c r="AB36" s="158">
        <v>7</v>
      </c>
      <c r="AC36" s="158">
        <v>22</v>
      </c>
      <c r="AD36" s="122" t="b">
        <f>IF(ISBLANK(GroupMember[[#This Row],[1. Identifiant interne d’exploitation agricole*]]),"",IF(ISERROR(MATCH(GroupMember[[#This Row],[1. Identifiant interne d’exploitation agricole*]],CertifiedCrop[1. Identifiant interne d’exploitation agricole*],0)),FALSE,TRUE))</f>
        <v>1</v>
      </c>
      <c r="AE36" s="122" t="b">
        <f>IF(ISBLANK(GroupMember[[#This Row],[1. Identifiant interne d’exploitation agricole*]]),"",IF(ISERROR(MATCH(GroupMember[[#This Row],[1. Identifiant interne d’exploitation agricole*]],FarmUnit[1. Identifiant interne d’exploitation agricole*],0)),FALSE,TRUE))</f>
        <v>1</v>
      </c>
      <c r="AF36" s="9" t="str">
        <f t="shared" si="0"/>
        <v>OMEPIEU  K.S. PIERRE</v>
      </c>
      <c r="AG36" s="50" t="str">
        <f t="shared" si="2"/>
        <v>22/7/2021</v>
      </c>
      <c r="AH36" s="51">
        <f>COUNTIFS(Z:Z,Z36,AG:AG,AG36)</f>
        <v>3</v>
      </c>
      <c r="AI36" s="49">
        <f t="shared" si="1"/>
        <v>0</v>
      </c>
    </row>
    <row r="37" spans="1:35" ht="13.15" customHeight="1" x14ac:dyDescent="0.2">
      <c r="A37" s="145" t="s">
        <v>802</v>
      </c>
      <c r="B37" s="146" t="s">
        <v>668</v>
      </c>
      <c r="C37" s="145" t="s">
        <v>802</v>
      </c>
      <c r="D37" s="147" t="s">
        <v>669</v>
      </c>
      <c r="E37" s="146" t="s">
        <v>670</v>
      </c>
      <c r="F37" s="146" t="s">
        <v>671</v>
      </c>
      <c r="G37" s="146" t="s">
        <v>672</v>
      </c>
      <c r="H37" s="148">
        <v>2.23</v>
      </c>
      <c r="I37" s="146" t="s">
        <v>673</v>
      </c>
      <c r="J37" s="149">
        <v>1</v>
      </c>
      <c r="K37" s="150">
        <v>2021</v>
      </c>
      <c r="L37" s="159" t="s">
        <v>803</v>
      </c>
      <c r="M37" s="151" t="s">
        <v>804</v>
      </c>
      <c r="N37" s="161" t="s">
        <v>805</v>
      </c>
      <c r="O37" s="153" t="s">
        <v>806</v>
      </c>
      <c r="P37" s="154" t="s">
        <v>751</v>
      </c>
      <c r="Q37" s="154">
        <v>1974</v>
      </c>
      <c r="R37" s="155">
        <v>6</v>
      </c>
      <c r="S37" s="146"/>
      <c r="T37" s="163"/>
      <c r="U37" s="146"/>
      <c r="V37" s="146"/>
      <c r="W37" s="146"/>
      <c r="X37" s="156">
        <v>0</v>
      </c>
      <c r="Y37" s="156">
        <v>0</v>
      </c>
      <c r="Z37" s="157" t="s">
        <v>677</v>
      </c>
      <c r="AA37" s="158">
        <v>2021</v>
      </c>
      <c r="AB37" s="158">
        <v>7</v>
      </c>
      <c r="AC37" s="158">
        <v>28</v>
      </c>
      <c r="AD37" s="122" t="b">
        <f>IF(ISBLANK(GroupMember[[#This Row],[1. Identifiant interne d’exploitation agricole*]]),"",IF(ISERROR(MATCH(GroupMember[[#This Row],[1. Identifiant interne d’exploitation agricole*]],CertifiedCrop[1. Identifiant interne d’exploitation agricole*],0)),FALSE,TRUE))</f>
        <v>1</v>
      </c>
      <c r="AE37" s="122" t="b">
        <f>IF(ISBLANK(GroupMember[[#This Row],[1. Identifiant interne d’exploitation agricole*]]),"",IF(ISERROR(MATCH(GroupMember[[#This Row],[1. Identifiant interne d’exploitation agricole*]],FarmUnit[1. Identifiant interne d’exploitation agricole*],0)),FALSE,TRUE))</f>
        <v>1</v>
      </c>
      <c r="AF37" s="9" t="str">
        <f t="shared" si="0"/>
        <v>GUEU DETOPEU HENRIETTE</v>
      </c>
      <c r="AG37" s="50" t="str">
        <f t="shared" si="2"/>
        <v>28/7/2021</v>
      </c>
      <c r="AH37" s="51">
        <f>COUNTIFS(Z:Z,Z37,AG:AG,AG37)</f>
        <v>4</v>
      </c>
      <c r="AI37" s="49">
        <f t="shared" si="1"/>
        <v>0</v>
      </c>
    </row>
    <row r="38" spans="1:35" ht="13.15" customHeight="1" x14ac:dyDescent="0.2">
      <c r="A38" s="145" t="s">
        <v>807</v>
      </c>
      <c r="B38" s="146" t="s">
        <v>668</v>
      </c>
      <c r="C38" s="145" t="s">
        <v>807</v>
      </c>
      <c r="D38" s="147" t="s">
        <v>669</v>
      </c>
      <c r="E38" s="146" t="s">
        <v>670</v>
      </c>
      <c r="F38" s="146" t="s">
        <v>671</v>
      </c>
      <c r="G38" s="146" t="s">
        <v>672</v>
      </c>
      <c r="H38" s="148">
        <v>3</v>
      </c>
      <c r="I38" s="146" t="s">
        <v>673</v>
      </c>
      <c r="J38" s="149">
        <v>1</v>
      </c>
      <c r="K38" s="150">
        <v>2021</v>
      </c>
      <c r="L38" s="159" t="s">
        <v>808</v>
      </c>
      <c r="M38" s="151" t="s">
        <v>809</v>
      </c>
      <c r="N38" s="161" t="s">
        <v>810</v>
      </c>
      <c r="O38" s="153" t="s">
        <v>811</v>
      </c>
      <c r="P38" s="154" t="s">
        <v>751</v>
      </c>
      <c r="Q38" s="154">
        <v>1980</v>
      </c>
      <c r="R38" s="155">
        <v>4</v>
      </c>
      <c r="S38" s="146"/>
      <c r="T38" s="163"/>
      <c r="U38" s="146"/>
      <c r="V38" s="146"/>
      <c r="W38" s="146"/>
      <c r="X38" s="156">
        <v>0</v>
      </c>
      <c r="Y38" s="156">
        <v>0</v>
      </c>
      <c r="Z38" s="157" t="s">
        <v>677</v>
      </c>
      <c r="AA38" s="158">
        <v>2021</v>
      </c>
      <c r="AB38" s="158">
        <v>7</v>
      </c>
      <c r="AC38" s="158">
        <v>26</v>
      </c>
      <c r="AD38" s="122" t="b">
        <f>IF(ISBLANK(GroupMember[[#This Row],[1. Identifiant interne d’exploitation agricole*]]),"",IF(ISERROR(MATCH(GroupMember[[#This Row],[1. Identifiant interne d’exploitation agricole*]],CertifiedCrop[1. Identifiant interne d’exploitation agricole*],0)),FALSE,TRUE))</f>
        <v>1</v>
      </c>
      <c r="AE38" s="122" t="b">
        <f>IF(ISBLANK(GroupMember[[#This Row],[1. Identifiant interne d’exploitation agricole*]]),"",IF(ISERROR(MATCH(GroupMember[[#This Row],[1. Identifiant interne d’exploitation agricole*]],FarmUnit[1. Identifiant interne d’exploitation agricole*],0)),FALSE,TRUE))</f>
        <v>1</v>
      </c>
      <c r="AF38" s="9" t="str">
        <f t="shared" si="0"/>
        <v>GOUKANOU  MAWOUYE IVIASE</v>
      </c>
      <c r="AG38" s="50" t="str">
        <f t="shared" si="2"/>
        <v>26/7/2021</v>
      </c>
      <c r="AH38" s="51">
        <f>COUNTIFS(Z:Z,Z38,AG:AG,AG38)</f>
        <v>4</v>
      </c>
      <c r="AI38" s="49">
        <f t="shared" si="1"/>
        <v>0</v>
      </c>
    </row>
    <row r="39" spans="1:35" ht="13.15" customHeight="1" x14ac:dyDescent="0.2">
      <c r="A39" s="145" t="s">
        <v>812</v>
      </c>
      <c r="B39" s="146" t="s">
        <v>668</v>
      </c>
      <c r="C39" s="145" t="s">
        <v>812</v>
      </c>
      <c r="D39" s="147" t="s">
        <v>669</v>
      </c>
      <c r="E39" s="146" t="s">
        <v>670</v>
      </c>
      <c r="F39" s="146" t="s">
        <v>671</v>
      </c>
      <c r="G39" s="146" t="s">
        <v>672</v>
      </c>
      <c r="H39" s="148">
        <v>0.91</v>
      </c>
      <c r="I39" s="146" t="s">
        <v>673</v>
      </c>
      <c r="J39" s="149">
        <v>1</v>
      </c>
      <c r="K39" s="150">
        <v>2021</v>
      </c>
      <c r="L39" s="159" t="s">
        <v>799</v>
      </c>
      <c r="M39" s="151" t="s">
        <v>813</v>
      </c>
      <c r="N39" s="161" t="s">
        <v>814</v>
      </c>
      <c r="O39" s="153" t="s">
        <v>815</v>
      </c>
      <c r="P39" s="154" t="s">
        <v>676</v>
      </c>
      <c r="Q39" s="154">
        <v>1973</v>
      </c>
      <c r="R39" s="155">
        <v>7</v>
      </c>
      <c r="S39" s="146"/>
      <c r="T39" s="163"/>
      <c r="U39" s="146"/>
      <c r="V39" s="146"/>
      <c r="W39" s="146"/>
      <c r="X39" s="156">
        <v>0</v>
      </c>
      <c r="Y39" s="156">
        <v>0</v>
      </c>
      <c r="Z39" s="157" t="s">
        <v>677</v>
      </c>
      <c r="AA39" s="158">
        <v>2021</v>
      </c>
      <c r="AB39" s="158">
        <v>7</v>
      </c>
      <c r="AC39" s="158">
        <v>28</v>
      </c>
      <c r="AD39" s="122" t="b">
        <f>IF(ISBLANK(GroupMember[[#This Row],[1. Identifiant interne d’exploitation agricole*]]),"",IF(ISERROR(MATCH(GroupMember[[#This Row],[1. Identifiant interne d’exploitation agricole*]],CertifiedCrop[1. Identifiant interne d’exploitation agricole*],0)),FALSE,TRUE))</f>
        <v>1</v>
      </c>
      <c r="AE39" s="122" t="b">
        <f>IF(ISBLANK(GroupMember[[#This Row],[1. Identifiant interne d’exploitation agricole*]]),"",IF(ISERROR(MATCH(GroupMember[[#This Row],[1. Identifiant interne d’exploitation agricole*]],FarmUnit[1. Identifiant interne d’exploitation agricole*],0)),FALSE,TRUE))</f>
        <v>1</v>
      </c>
      <c r="AF39" s="9" t="str">
        <f t="shared" si="0"/>
        <v>OMEPIEU  KPAN BATHELEMY</v>
      </c>
      <c r="AG39" s="50" t="str">
        <f t="shared" si="2"/>
        <v>28/7/2021</v>
      </c>
      <c r="AH39" s="51">
        <f>COUNTIFS(Z:Z,Z39,AG:AG,AG39)</f>
        <v>4</v>
      </c>
      <c r="AI39" s="49">
        <f t="shared" si="1"/>
        <v>0</v>
      </c>
    </row>
    <row r="40" spans="1:35" ht="13.15" customHeight="1" x14ac:dyDescent="0.2">
      <c r="A40" s="145" t="s">
        <v>816</v>
      </c>
      <c r="B40" s="146" t="s">
        <v>668</v>
      </c>
      <c r="C40" s="145" t="s">
        <v>816</v>
      </c>
      <c r="D40" s="147" t="s">
        <v>669</v>
      </c>
      <c r="E40" s="146" t="s">
        <v>670</v>
      </c>
      <c r="F40" s="146" t="s">
        <v>671</v>
      </c>
      <c r="G40" s="146" t="s">
        <v>672</v>
      </c>
      <c r="H40" s="148">
        <v>3</v>
      </c>
      <c r="I40" s="146" t="s">
        <v>673</v>
      </c>
      <c r="J40" s="149">
        <v>1</v>
      </c>
      <c r="K40" s="150">
        <v>2021</v>
      </c>
      <c r="L40" s="159" t="s">
        <v>817</v>
      </c>
      <c r="M40" s="151" t="s">
        <v>818</v>
      </c>
      <c r="N40" s="161" t="s">
        <v>819</v>
      </c>
      <c r="O40" s="153"/>
      <c r="P40" s="154" t="s">
        <v>676</v>
      </c>
      <c r="Q40" s="154"/>
      <c r="R40" s="155">
        <v>9</v>
      </c>
      <c r="S40" s="146"/>
      <c r="T40" s="163"/>
      <c r="U40" s="146"/>
      <c r="V40" s="146"/>
      <c r="W40" s="146"/>
      <c r="X40" s="156">
        <v>0</v>
      </c>
      <c r="Y40" s="156">
        <v>0</v>
      </c>
      <c r="Z40" s="157" t="s">
        <v>677</v>
      </c>
      <c r="AA40" s="158">
        <v>2021</v>
      </c>
      <c r="AB40" s="158">
        <v>7</v>
      </c>
      <c r="AC40" s="158">
        <v>26</v>
      </c>
      <c r="AD40" s="122" t="b">
        <f>IF(ISBLANK(GroupMember[[#This Row],[1. Identifiant interne d’exploitation agricole*]]),"",IF(ISERROR(MATCH(GroupMember[[#This Row],[1. Identifiant interne d’exploitation agricole*]],CertifiedCrop[1. Identifiant interne d’exploitation agricole*],0)),FALSE,TRUE))</f>
        <v>1</v>
      </c>
      <c r="AE40" s="122" t="b">
        <f>IF(ISBLANK(GroupMember[[#This Row],[1. Identifiant interne d’exploitation agricole*]]),"",IF(ISERROR(MATCH(GroupMember[[#This Row],[1. Identifiant interne d’exploitation agricole*]],FarmUnit[1. Identifiant interne d’exploitation agricole*],0)),FALSE,TRUE))</f>
        <v>1</v>
      </c>
      <c r="AF40" s="9" t="str">
        <f t="shared" si="0"/>
        <v>TAHAN MEBA LOPEZ</v>
      </c>
      <c r="AG40" s="50" t="str">
        <f t="shared" si="2"/>
        <v>26/7/2021</v>
      </c>
      <c r="AH40" s="51">
        <f>COUNTIFS(Z:Z,Z40,AG:AG,AG40)</f>
        <v>4</v>
      </c>
      <c r="AI40" s="49">
        <f t="shared" si="1"/>
        <v>0</v>
      </c>
    </row>
    <row r="41" spans="1:35" ht="13.15" customHeight="1" x14ac:dyDescent="0.2">
      <c r="A41" s="145" t="s">
        <v>820</v>
      </c>
      <c r="B41" s="146" t="s">
        <v>668</v>
      </c>
      <c r="C41" s="145" t="s">
        <v>820</v>
      </c>
      <c r="D41" s="147" t="s">
        <v>669</v>
      </c>
      <c r="E41" s="146" t="s">
        <v>670</v>
      </c>
      <c r="F41" s="146" t="s">
        <v>671</v>
      </c>
      <c r="G41" s="146" t="s">
        <v>672</v>
      </c>
      <c r="H41" s="148">
        <v>4.93</v>
      </c>
      <c r="I41" s="146" t="s">
        <v>673</v>
      </c>
      <c r="J41" s="149">
        <v>1</v>
      </c>
      <c r="K41" s="150">
        <v>2021</v>
      </c>
      <c r="L41" s="159" t="s">
        <v>821</v>
      </c>
      <c r="M41" s="151" t="s">
        <v>822</v>
      </c>
      <c r="N41" s="161" t="s">
        <v>823</v>
      </c>
      <c r="O41" s="153"/>
      <c r="P41" s="154" t="s">
        <v>676</v>
      </c>
      <c r="Q41" s="154"/>
      <c r="R41" s="155">
        <v>5</v>
      </c>
      <c r="S41" s="146"/>
      <c r="T41" s="163"/>
      <c r="U41" s="146"/>
      <c r="V41" s="146"/>
      <c r="W41" s="146"/>
      <c r="X41" s="156">
        <v>0</v>
      </c>
      <c r="Y41" s="156">
        <v>0</v>
      </c>
      <c r="Z41" s="157" t="s">
        <v>677</v>
      </c>
      <c r="AA41" s="158">
        <v>2021</v>
      </c>
      <c r="AB41" s="158">
        <v>7</v>
      </c>
      <c r="AC41" s="158">
        <v>2</v>
      </c>
      <c r="AD41" s="122" t="b">
        <f>IF(ISBLANK(GroupMember[[#This Row],[1. Identifiant interne d’exploitation agricole*]]),"",IF(ISERROR(MATCH(GroupMember[[#This Row],[1. Identifiant interne d’exploitation agricole*]],CertifiedCrop[1. Identifiant interne d’exploitation agricole*],0)),FALSE,TRUE))</f>
        <v>1</v>
      </c>
      <c r="AE41" s="122" t="b">
        <f>IF(ISBLANK(GroupMember[[#This Row],[1. Identifiant interne d’exploitation agricole*]]),"",IF(ISERROR(MATCH(GroupMember[[#This Row],[1. Identifiant interne d’exploitation agricole*]],FarmUnit[1. Identifiant interne d’exploitation agricole*],0)),FALSE,TRUE))</f>
        <v>1</v>
      </c>
      <c r="AF41" s="9" t="str">
        <f t="shared" si="0"/>
        <v>DIOURATIE  COULIBALY</v>
      </c>
      <c r="AG41" s="50" t="str">
        <f t="shared" si="2"/>
        <v>2/7/2021</v>
      </c>
      <c r="AH41" s="51">
        <f>COUNTIFS(Z:Z,Z41,AG:AG,AG41)</f>
        <v>4</v>
      </c>
      <c r="AI41" s="49">
        <f t="shared" si="1"/>
        <v>0</v>
      </c>
    </row>
    <row r="42" spans="1:35" ht="13.15" customHeight="1" x14ac:dyDescent="0.2">
      <c r="A42" s="145" t="s">
        <v>824</v>
      </c>
      <c r="B42" s="146" t="s">
        <v>668</v>
      </c>
      <c r="C42" s="145" t="s">
        <v>824</v>
      </c>
      <c r="D42" s="147" t="s">
        <v>669</v>
      </c>
      <c r="E42" s="146" t="s">
        <v>670</v>
      </c>
      <c r="F42" s="146" t="s">
        <v>671</v>
      </c>
      <c r="G42" s="146" t="s">
        <v>672</v>
      </c>
      <c r="H42" s="148">
        <v>4.3899999999999997</v>
      </c>
      <c r="I42" s="146" t="s">
        <v>673</v>
      </c>
      <c r="J42" s="149">
        <v>1</v>
      </c>
      <c r="K42" s="150">
        <v>2021</v>
      </c>
      <c r="L42" s="159" t="s">
        <v>765</v>
      </c>
      <c r="M42" s="151" t="s">
        <v>825</v>
      </c>
      <c r="N42" s="161" t="s">
        <v>826</v>
      </c>
      <c r="O42" s="153"/>
      <c r="P42" s="154" t="s">
        <v>676</v>
      </c>
      <c r="Q42" s="154"/>
      <c r="R42" s="155">
        <v>6</v>
      </c>
      <c r="S42" s="146"/>
      <c r="T42" s="168"/>
      <c r="U42" s="146"/>
      <c r="V42" s="146"/>
      <c r="W42" s="146"/>
      <c r="X42" s="156">
        <v>0</v>
      </c>
      <c r="Y42" s="156">
        <v>0</v>
      </c>
      <c r="Z42" s="157" t="s">
        <v>677</v>
      </c>
      <c r="AA42" s="158">
        <v>2021</v>
      </c>
      <c r="AB42" s="158">
        <v>7</v>
      </c>
      <c r="AC42" s="158">
        <v>23</v>
      </c>
      <c r="AD42" s="122" t="b">
        <f>IF(ISBLANK(GroupMember[[#This Row],[1. Identifiant interne d’exploitation agricole*]]),"",IF(ISERROR(MATCH(GroupMember[[#This Row],[1. Identifiant interne d’exploitation agricole*]],CertifiedCrop[1. Identifiant interne d’exploitation agricole*],0)),FALSE,TRUE))</f>
        <v>1</v>
      </c>
      <c r="AE42" s="122" t="b">
        <f>IF(ISBLANK(GroupMember[[#This Row],[1. Identifiant interne d’exploitation agricole*]]),"",IF(ISERROR(MATCH(GroupMember[[#This Row],[1. Identifiant interne d’exploitation agricole*]],FarmUnit[1. Identifiant interne d’exploitation agricole*],0)),FALSE,TRUE))</f>
        <v>1</v>
      </c>
      <c r="AF42" s="9" t="str">
        <f t="shared" si="0"/>
        <v>KONE  MAMADOU</v>
      </c>
      <c r="AG42" s="50" t="str">
        <f t="shared" si="2"/>
        <v>23/7/2021</v>
      </c>
      <c r="AH42" s="51">
        <f>COUNTIFS(Z:Z,Z42,AG:AG,AG42)</f>
        <v>5</v>
      </c>
      <c r="AI42" s="49">
        <f t="shared" si="1"/>
        <v>0</v>
      </c>
    </row>
    <row r="43" spans="1:35" ht="13.15" customHeight="1" x14ac:dyDescent="0.2">
      <c r="A43" s="145" t="s">
        <v>827</v>
      </c>
      <c r="B43" s="146" t="s">
        <v>668</v>
      </c>
      <c r="C43" s="145" t="s">
        <v>827</v>
      </c>
      <c r="D43" s="147" t="s">
        <v>669</v>
      </c>
      <c r="E43" s="146" t="s">
        <v>670</v>
      </c>
      <c r="F43" s="146" t="s">
        <v>671</v>
      </c>
      <c r="G43" s="146" t="s">
        <v>672</v>
      </c>
      <c r="H43" s="148">
        <v>3.97</v>
      </c>
      <c r="I43" s="146" t="s">
        <v>673</v>
      </c>
      <c r="J43" s="149">
        <v>1</v>
      </c>
      <c r="K43" s="150">
        <v>2021</v>
      </c>
      <c r="L43" s="159" t="s">
        <v>828</v>
      </c>
      <c r="M43" s="151" t="s">
        <v>829</v>
      </c>
      <c r="N43" s="161" t="s">
        <v>830</v>
      </c>
      <c r="O43" s="153"/>
      <c r="P43" s="154" t="s">
        <v>676</v>
      </c>
      <c r="Q43" s="154"/>
      <c r="R43" s="155">
        <v>8</v>
      </c>
      <c r="S43" s="146"/>
      <c r="T43" s="168"/>
      <c r="U43" s="146"/>
      <c r="V43" s="146"/>
      <c r="W43" s="146"/>
      <c r="X43" s="156">
        <v>0</v>
      </c>
      <c r="Y43" s="156">
        <v>0</v>
      </c>
      <c r="Z43" s="157" t="s">
        <v>677</v>
      </c>
      <c r="AA43" s="158">
        <v>2021</v>
      </c>
      <c r="AB43" s="158">
        <v>7</v>
      </c>
      <c r="AC43" s="158">
        <v>13</v>
      </c>
      <c r="AD43" s="122" t="b">
        <f>IF(ISBLANK(GroupMember[[#This Row],[1. Identifiant interne d’exploitation agricole*]]),"",IF(ISERROR(MATCH(GroupMember[[#This Row],[1. Identifiant interne d’exploitation agricole*]],CertifiedCrop[1. Identifiant interne d’exploitation agricole*],0)),FALSE,TRUE))</f>
        <v>1</v>
      </c>
      <c r="AE43" s="122" t="b">
        <f>IF(ISBLANK(GroupMember[[#This Row],[1. Identifiant interne d’exploitation agricole*]]),"",IF(ISERROR(MATCH(GroupMember[[#This Row],[1. Identifiant interne d’exploitation agricole*]],FarmUnit[1. Identifiant interne d’exploitation agricole*],0)),FALSE,TRUE))</f>
        <v>1</v>
      </c>
      <c r="AF43" s="9" t="str">
        <f t="shared" si="0"/>
        <v>KONATE ALI</v>
      </c>
      <c r="AG43" s="50" t="str">
        <f t="shared" si="2"/>
        <v>13/7/2021</v>
      </c>
      <c r="AH43" s="51">
        <f>COUNTIFS(Z:Z,Z43,AG:AG,AG43)</f>
        <v>4</v>
      </c>
      <c r="AI43" s="49">
        <f t="shared" si="1"/>
        <v>0</v>
      </c>
    </row>
    <row r="44" spans="1:35" ht="13.15" customHeight="1" x14ac:dyDescent="0.2">
      <c r="A44" s="145" t="s">
        <v>831</v>
      </c>
      <c r="B44" s="146" t="s">
        <v>668</v>
      </c>
      <c r="C44" s="145" t="s">
        <v>831</v>
      </c>
      <c r="D44" s="147" t="s">
        <v>669</v>
      </c>
      <c r="E44" s="146" t="s">
        <v>670</v>
      </c>
      <c r="F44" s="146" t="s">
        <v>671</v>
      </c>
      <c r="G44" s="146" t="s">
        <v>672</v>
      </c>
      <c r="H44" s="148">
        <v>1.64</v>
      </c>
      <c r="I44" s="146" t="s">
        <v>673</v>
      </c>
      <c r="J44" s="149">
        <v>1</v>
      </c>
      <c r="K44" s="150">
        <v>2021</v>
      </c>
      <c r="L44" s="159" t="s">
        <v>828</v>
      </c>
      <c r="M44" s="151" t="s">
        <v>683</v>
      </c>
      <c r="N44" s="161"/>
      <c r="O44" s="153"/>
      <c r="P44" s="154" t="s">
        <v>676</v>
      </c>
      <c r="Q44" s="154"/>
      <c r="R44" s="155">
        <v>7</v>
      </c>
      <c r="S44" s="146"/>
      <c r="T44" s="168"/>
      <c r="U44" s="146"/>
      <c r="V44" s="146"/>
      <c r="W44" s="146"/>
      <c r="X44" s="156">
        <v>0</v>
      </c>
      <c r="Y44" s="156">
        <v>0</v>
      </c>
      <c r="Z44" s="157" t="s">
        <v>677</v>
      </c>
      <c r="AA44" s="158">
        <v>2021</v>
      </c>
      <c r="AB44" s="158">
        <v>7</v>
      </c>
      <c r="AC44" s="158">
        <v>28</v>
      </c>
      <c r="AD44" s="122" t="b">
        <f>IF(ISBLANK(GroupMember[[#This Row],[1. Identifiant interne d’exploitation agricole*]]),"",IF(ISERROR(MATCH(GroupMember[[#This Row],[1. Identifiant interne d’exploitation agricole*]],CertifiedCrop[1. Identifiant interne d’exploitation agricole*],0)),FALSE,TRUE))</f>
        <v>1</v>
      </c>
      <c r="AE44" s="122" t="b">
        <f>IF(ISBLANK(GroupMember[[#This Row],[1. Identifiant interne d’exploitation agricole*]]),"",IF(ISERROR(MATCH(GroupMember[[#This Row],[1. Identifiant interne d’exploitation agricole*]],FarmUnit[1. Identifiant interne d’exploitation agricole*],0)),FALSE,TRUE))</f>
        <v>1</v>
      </c>
      <c r="AF44" s="9" t="str">
        <f t="shared" si="0"/>
        <v>KONATE  TIEMOKO</v>
      </c>
      <c r="AG44" s="50" t="str">
        <f t="shared" si="2"/>
        <v>28/7/2021</v>
      </c>
      <c r="AH44" s="51">
        <f>COUNTIFS(Z:Z,Z44,AG:AG,AG44)</f>
        <v>4</v>
      </c>
      <c r="AI44" s="49">
        <f t="shared" si="1"/>
        <v>0</v>
      </c>
    </row>
    <row r="45" spans="1:35" ht="13.15" customHeight="1" x14ac:dyDescent="0.2">
      <c r="A45" s="145" t="s">
        <v>832</v>
      </c>
      <c r="B45" s="146" t="s">
        <v>668</v>
      </c>
      <c r="C45" s="145" t="s">
        <v>832</v>
      </c>
      <c r="D45" s="147" t="s">
        <v>669</v>
      </c>
      <c r="E45" s="146" t="s">
        <v>670</v>
      </c>
      <c r="F45" s="146" t="s">
        <v>671</v>
      </c>
      <c r="G45" s="146" t="s">
        <v>672</v>
      </c>
      <c r="H45" s="148">
        <v>5</v>
      </c>
      <c r="I45" s="146" t="s">
        <v>673</v>
      </c>
      <c r="J45" s="149">
        <v>1</v>
      </c>
      <c r="K45" s="150">
        <v>2021</v>
      </c>
      <c r="L45" s="159" t="s">
        <v>799</v>
      </c>
      <c r="M45" s="151" t="s">
        <v>833</v>
      </c>
      <c r="N45" s="161" t="s">
        <v>834</v>
      </c>
      <c r="O45" s="153"/>
      <c r="P45" s="154" t="s">
        <v>676</v>
      </c>
      <c r="Q45" s="154"/>
      <c r="R45" s="155">
        <v>7</v>
      </c>
      <c r="S45" s="146"/>
      <c r="T45" s="168"/>
      <c r="U45" s="146"/>
      <c r="V45" s="146"/>
      <c r="W45" s="146"/>
      <c r="X45" s="156">
        <v>0</v>
      </c>
      <c r="Y45" s="156">
        <v>0</v>
      </c>
      <c r="Z45" s="157" t="s">
        <v>677</v>
      </c>
      <c r="AA45" s="158">
        <v>2021</v>
      </c>
      <c r="AB45" s="158">
        <v>7</v>
      </c>
      <c r="AC45" s="158">
        <v>26</v>
      </c>
      <c r="AD45" s="122" t="b">
        <f>IF(ISBLANK(GroupMember[[#This Row],[1. Identifiant interne d’exploitation agricole*]]),"",IF(ISERROR(MATCH(GroupMember[[#This Row],[1. Identifiant interne d’exploitation agricole*]],CertifiedCrop[1. Identifiant interne d’exploitation agricole*],0)),FALSE,TRUE))</f>
        <v>1</v>
      </c>
      <c r="AE45" s="122" t="b">
        <f>IF(ISBLANK(GroupMember[[#This Row],[1. Identifiant interne d’exploitation agricole*]]),"",IF(ISERROR(MATCH(GroupMember[[#This Row],[1. Identifiant interne d’exploitation agricole*]],FarmUnit[1. Identifiant interne d’exploitation agricole*],0)),FALSE,TRUE))</f>
        <v>1</v>
      </c>
      <c r="AF45" s="9" t="str">
        <f t="shared" si="0"/>
        <v>OMEPIEU  GBAH FELIX</v>
      </c>
      <c r="AG45" s="50" t="str">
        <f t="shared" si="2"/>
        <v>26/7/2021</v>
      </c>
      <c r="AH45" s="51">
        <f>COUNTIFS(Z:Z,Z45,AG:AG,AG45)</f>
        <v>4</v>
      </c>
      <c r="AI45" s="49">
        <f t="shared" si="1"/>
        <v>0</v>
      </c>
    </row>
    <row r="46" spans="1:35" ht="13.15" customHeight="1" x14ac:dyDescent="0.2">
      <c r="A46" s="145" t="s">
        <v>835</v>
      </c>
      <c r="B46" s="146" t="s">
        <v>668</v>
      </c>
      <c r="C46" s="145" t="s">
        <v>835</v>
      </c>
      <c r="D46" s="147" t="s">
        <v>669</v>
      </c>
      <c r="E46" s="146" t="s">
        <v>670</v>
      </c>
      <c r="F46" s="146" t="s">
        <v>671</v>
      </c>
      <c r="G46" s="146" t="s">
        <v>672</v>
      </c>
      <c r="H46" s="148">
        <v>0.91</v>
      </c>
      <c r="I46" s="146" t="s">
        <v>673</v>
      </c>
      <c r="J46" s="149">
        <v>1</v>
      </c>
      <c r="K46" s="150">
        <v>2021</v>
      </c>
      <c r="L46" s="159" t="s">
        <v>836</v>
      </c>
      <c r="M46" s="151" t="s">
        <v>837</v>
      </c>
      <c r="N46" s="161"/>
      <c r="O46" s="153"/>
      <c r="P46" s="154" t="s">
        <v>676</v>
      </c>
      <c r="Q46" s="154"/>
      <c r="R46" s="155">
        <v>6</v>
      </c>
      <c r="S46" s="146"/>
      <c r="T46" s="168"/>
      <c r="U46" s="146"/>
      <c r="V46" s="146"/>
      <c r="W46" s="146"/>
      <c r="X46" s="156">
        <v>0</v>
      </c>
      <c r="Y46" s="156">
        <v>0</v>
      </c>
      <c r="Z46" s="157" t="s">
        <v>677</v>
      </c>
      <c r="AA46" s="158">
        <v>2021</v>
      </c>
      <c r="AB46" s="158">
        <v>7</v>
      </c>
      <c r="AC46" s="158">
        <v>30</v>
      </c>
      <c r="AD46" s="122" t="b">
        <f>IF(ISBLANK(GroupMember[[#This Row],[1. Identifiant interne d’exploitation agricole*]]),"",IF(ISERROR(MATCH(GroupMember[[#This Row],[1. Identifiant interne d’exploitation agricole*]],CertifiedCrop[1. Identifiant interne d’exploitation agricole*],0)),FALSE,TRUE))</f>
        <v>1</v>
      </c>
      <c r="AE46" s="122" t="b">
        <f>IF(ISBLANK(GroupMember[[#This Row],[1. Identifiant interne d’exploitation agricole*]]),"",IF(ISERROR(MATCH(GroupMember[[#This Row],[1. Identifiant interne d’exploitation agricole*]],FarmUnit[1. Identifiant interne d’exploitation agricole*],0)),FALSE,TRUE))</f>
        <v>1</v>
      </c>
      <c r="AF46" s="9" t="str">
        <f t="shared" si="0"/>
        <v>WAH  GONKANOU BENJAMIN</v>
      </c>
      <c r="AG46" s="50" t="str">
        <f t="shared" si="2"/>
        <v>30/7/2021</v>
      </c>
      <c r="AH46" s="51">
        <f>COUNTIFS(Z:Z,Z46,AG:AG,AG46)</f>
        <v>4</v>
      </c>
      <c r="AI46" s="49">
        <f t="shared" si="1"/>
        <v>0</v>
      </c>
    </row>
    <row r="47" spans="1:35" ht="13.15" customHeight="1" x14ac:dyDescent="0.2">
      <c r="A47" s="145" t="s">
        <v>838</v>
      </c>
      <c r="B47" s="146" t="s">
        <v>668</v>
      </c>
      <c r="C47" s="145" t="s">
        <v>838</v>
      </c>
      <c r="D47" s="147" t="s">
        <v>669</v>
      </c>
      <c r="E47" s="146" t="s">
        <v>670</v>
      </c>
      <c r="F47" s="146" t="s">
        <v>671</v>
      </c>
      <c r="G47" s="146" t="s">
        <v>672</v>
      </c>
      <c r="H47" s="148">
        <v>3</v>
      </c>
      <c r="I47" s="146" t="s">
        <v>673</v>
      </c>
      <c r="J47" s="149">
        <v>1</v>
      </c>
      <c r="K47" s="150">
        <v>2021</v>
      </c>
      <c r="L47" s="151" t="s">
        <v>839</v>
      </c>
      <c r="M47" s="169" t="s">
        <v>840</v>
      </c>
      <c r="N47" s="152" t="s">
        <v>841</v>
      </c>
      <c r="O47" s="283" t="s">
        <v>3305</v>
      </c>
      <c r="P47" s="154" t="s">
        <v>676</v>
      </c>
      <c r="Q47" s="154">
        <v>1988</v>
      </c>
      <c r="R47" s="155">
        <v>4</v>
      </c>
      <c r="S47" s="146"/>
      <c r="T47" s="168"/>
      <c r="U47" s="146"/>
      <c r="V47" s="146"/>
      <c r="W47" s="146"/>
      <c r="X47" s="156">
        <v>0</v>
      </c>
      <c r="Y47" s="156">
        <v>0</v>
      </c>
      <c r="Z47" s="157" t="s">
        <v>677</v>
      </c>
      <c r="AA47" s="158">
        <v>2021</v>
      </c>
      <c r="AB47" s="158">
        <v>8</v>
      </c>
      <c r="AC47" s="158">
        <v>3</v>
      </c>
      <c r="AD47" s="122" t="b">
        <f>IF(ISBLANK(GroupMember[[#This Row],[1. Identifiant interne d’exploitation agricole*]]),"",IF(ISERROR(MATCH(GroupMember[[#This Row],[1. Identifiant interne d’exploitation agricole*]],CertifiedCrop[1. Identifiant interne d’exploitation agricole*],0)),FALSE,TRUE))</f>
        <v>1</v>
      </c>
      <c r="AE47" s="122" t="b">
        <f>IF(ISBLANK(GroupMember[[#This Row],[1. Identifiant interne d’exploitation agricole*]]),"",IF(ISERROR(MATCH(GroupMember[[#This Row],[1. Identifiant interne d’exploitation agricole*]],FarmUnit[1. Identifiant interne d’exploitation agricole*],0)),FALSE,TRUE))</f>
        <v>1</v>
      </c>
      <c r="AF47" s="9" t="str">
        <f t="shared" si="0"/>
        <v>MASSEU  GUEU ESMEL</v>
      </c>
      <c r="AG47" s="50" t="str">
        <f t="shared" si="2"/>
        <v>3/8/2021</v>
      </c>
      <c r="AH47" s="51">
        <f>COUNTIFS(Z:Z,Z47,AG:AG,AG47)</f>
        <v>4</v>
      </c>
      <c r="AI47" s="49">
        <f t="shared" si="1"/>
        <v>0</v>
      </c>
    </row>
    <row r="48" spans="1:35" ht="13.15" customHeight="1" x14ac:dyDescent="0.2">
      <c r="A48" s="145" t="s">
        <v>842</v>
      </c>
      <c r="B48" s="146" t="s">
        <v>668</v>
      </c>
      <c r="C48" s="145" t="s">
        <v>842</v>
      </c>
      <c r="D48" s="147" t="s">
        <v>669</v>
      </c>
      <c r="E48" s="146" t="s">
        <v>670</v>
      </c>
      <c r="F48" s="146" t="s">
        <v>671</v>
      </c>
      <c r="G48" s="146" t="s">
        <v>672</v>
      </c>
      <c r="H48" s="148">
        <v>4</v>
      </c>
      <c r="I48" s="146" t="s">
        <v>673</v>
      </c>
      <c r="J48" s="149">
        <v>1</v>
      </c>
      <c r="K48" s="150">
        <v>2021</v>
      </c>
      <c r="L48" s="151" t="s">
        <v>803</v>
      </c>
      <c r="M48" s="151" t="s">
        <v>843</v>
      </c>
      <c r="N48" s="161" t="s">
        <v>844</v>
      </c>
      <c r="O48" s="284"/>
      <c r="P48" s="154" t="s">
        <v>676</v>
      </c>
      <c r="Q48" s="154"/>
      <c r="R48" s="155">
        <v>5</v>
      </c>
      <c r="S48" s="146"/>
      <c r="T48" s="168"/>
      <c r="U48" s="146"/>
      <c r="V48" s="146"/>
      <c r="W48" s="146"/>
      <c r="X48" s="156">
        <v>0</v>
      </c>
      <c r="Y48" s="156">
        <v>0</v>
      </c>
      <c r="Z48" s="157" t="s">
        <v>677</v>
      </c>
      <c r="AA48" s="158">
        <v>2021</v>
      </c>
      <c r="AB48" s="158">
        <v>7</v>
      </c>
      <c r="AC48" s="158">
        <v>30</v>
      </c>
      <c r="AD48" s="122" t="b">
        <f>IF(ISBLANK(GroupMember[[#This Row],[1. Identifiant interne d’exploitation agricole*]]),"",IF(ISERROR(MATCH(GroupMember[[#This Row],[1. Identifiant interne d’exploitation agricole*]],CertifiedCrop[1. Identifiant interne d’exploitation agricole*],0)),FALSE,TRUE))</f>
        <v>1</v>
      </c>
      <c r="AE48" s="122" t="b">
        <f>IF(ISBLANK(GroupMember[[#This Row],[1. Identifiant interne d’exploitation agricole*]]),"",IF(ISERROR(MATCH(GroupMember[[#This Row],[1. Identifiant interne d’exploitation agricole*]],FarmUnit[1. Identifiant interne d’exploitation agricole*],0)),FALSE,TRUE))</f>
        <v>1</v>
      </c>
      <c r="AF48" s="9" t="str">
        <f t="shared" si="0"/>
        <v>GUEU  TOMPIEU THEOPHILE</v>
      </c>
      <c r="AG48" s="50" t="str">
        <f t="shared" si="2"/>
        <v>30/7/2021</v>
      </c>
      <c r="AH48" s="51">
        <f>COUNTIFS(Z:Z,Z48,AG:AG,AG48)</f>
        <v>4</v>
      </c>
      <c r="AI48" s="49">
        <f t="shared" si="1"/>
        <v>0</v>
      </c>
    </row>
    <row r="49" spans="1:35" ht="13.15" customHeight="1" x14ac:dyDescent="0.2">
      <c r="A49" s="145" t="s">
        <v>845</v>
      </c>
      <c r="B49" s="146" t="s">
        <v>668</v>
      </c>
      <c r="C49" s="145" t="s">
        <v>845</v>
      </c>
      <c r="D49" s="147" t="s">
        <v>669</v>
      </c>
      <c r="E49" s="146" t="s">
        <v>670</v>
      </c>
      <c r="F49" s="146" t="s">
        <v>671</v>
      </c>
      <c r="G49" s="146" t="s">
        <v>672</v>
      </c>
      <c r="H49" s="148">
        <v>4</v>
      </c>
      <c r="I49" s="146" t="s">
        <v>673</v>
      </c>
      <c r="J49" s="149">
        <v>1</v>
      </c>
      <c r="K49" s="150">
        <v>2021</v>
      </c>
      <c r="L49" s="159" t="s">
        <v>846</v>
      </c>
      <c r="M49" s="151" t="s">
        <v>847</v>
      </c>
      <c r="N49" s="161"/>
      <c r="O49" s="153"/>
      <c r="P49" s="154" t="s">
        <v>676</v>
      </c>
      <c r="Q49" s="154"/>
      <c r="R49" s="155">
        <v>4</v>
      </c>
      <c r="S49" s="146"/>
      <c r="T49" s="168"/>
      <c r="U49" s="146"/>
      <c r="V49" s="146"/>
      <c r="W49" s="146"/>
      <c r="X49" s="156">
        <v>0</v>
      </c>
      <c r="Y49" s="156">
        <v>0</v>
      </c>
      <c r="Z49" s="157" t="s">
        <v>677</v>
      </c>
      <c r="AA49" s="158">
        <v>2021</v>
      </c>
      <c r="AB49" s="158">
        <v>7</v>
      </c>
      <c r="AC49" s="158">
        <v>28</v>
      </c>
      <c r="AD49" s="122" t="b">
        <f>IF(ISBLANK(GroupMember[[#This Row],[1. Identifiant interne d’exploitation agricole*]]),"",IF(ISERROR(MATCH(GroupMember[[#This Row],[1. Identifiant interne d’exploitation agricole*]],CertifiedCrop[1. Identifiant interne d’exploitation agricole*],0)),FALSE,TRUE))</f>
        <v>1</v>
      </c>
      <c r="AE49" s="122" t="b">
        <f>IF(ISBLANK(GroupMember[[#This Row],[1. Identifiant interne d’exploitation agricole*]]),"",IF(ISERROR(MATCH(GroupMember[[#This Row],[1. Identifiant interne d’exploitation agricole*]],FarmUnit[1. Identifiant interne d’exploitation agricole*],0)),FALSE,TRUE))</f>
        <v>1</v>
      </c>
      <c r="AF49" s="9" t="str">
        <f t="shared" si="0"/>
        <v>DOUA  ODIE UGOR</v>
      </c>
      <c r="AG49" s="50" t="str">
        <f t="shared" si="2"/>
        <v>28/7/2021</v>
      </c>
      <c r="AH49" s="51">
        <f>COUNTIFS(Z:Z,Z49,AG:AG,AG49)</f>
        <v>4</v>
      </c>
      <c r="AI49" s="49">
        <f t="shared" si="1"/>
        <v>0</v>
      </c>
    </row>
    <row r="50" spans="1:35" ht="13.15" customHeight="1" x14ac:dyDescent="0.2">
      <c r="A50" s="145" t="s">
        <v>848</v>
      </c>
      <c r="B50" s="146" t="s">
        <v>668</v>
      </c>
      <c r="C50" s="145" t="s">
        <v>848</v>
      </c>
      <c r="D50" s="147" t="s">
        <v>669</v>
      </c>
      <c r="E50" s="146" t="s">
        <v>670</v>
      </c>
      <c r="F50" s="146" t="s">
        <v>671</v>
      </c>
      <c r="G50" s="146" t="s">
        <v>672</v>
      </c>
      <c r="H50" s="148">
        <v>3</v>
      </c>
      <c r="I50" s="146" t="s">
        <v>673</v>
      </c>
      <c r="J50" s="149">
        <v>1</v>
      </c>
      <c r="K50" s="150">
        <v>2021</v>
      </c>
      <c r="L50" s="159" t="s">
        <v>849</v>
      </c>
      <c r="M50" s="151" t="s">
        <v>850</v>
      </c>
      <c r="N50" s="161"/>
      <c r="O50" s="153"/>
      <c r="P50" s="154" t="s">
        <v>676</v>
      </c>
      <c r="Q50" s="154"/>
      <c r="R50" s="155">
        <v>6</v>
      </c>
      <c r="S50" s="146"/>
      <c r="T50" s="168"/>
      <c r="U50" s="146"/>
      <c r="V50" s="146"/>
      <c r="W50" s="146"/>
      <c r="X50" s="156">
        <v>0</v>
      </c>
      <c r="Y50" s="156">
        <v>0</v>
      </c>
      <c r="Z50" s="157" t="s">
        <v>677</v>
      </c>
      <c r="AA50" s="158">
        <v>2021</v>
      </c>
      <c r="AB50" s="158">
        <v>7</v>
      </c>
      <c r="AC50" s="158">
        <v>6</v>
      </c>
      <c r="AD50" s="123" t="b">
        <f>IF(ISBLANK(GroupMember[[#This Row],[1. Identifiant interne d’exploitation agricole*]]),"",IF(ISERROR(MATCH(GroupMember[[#This Row],[1. Identifiant interne d’exploitation agricole*]],CertifiedCrop[1. Identifiant interne d’exploitation agricole*],0)),FALSE,TRUE))</f>
        <v>1</v>
      </c>
      <c r="AE50" s="123" t="b">
        <f>IF(ISBLANK(GroupMember[[#This Row],[1. Identifiant interne d’exploitation agricole*]]),"",IF(ISERROR(MATCH(GroupMember[[#This Row],[1. Identifiant interne d’exploitation agricole*]],FarmUnit[1. Identifiant interne d’exploitation agricole*],0)),FALSE,TRUE))</f>
        <v>1</v>
      </c>
      <c r="AF50" s="9" t="str">
        <f t="shared" si="0"/>
        <v>N'GA  DADOLAI FRANCOIS</v>
      </c>
      <c r="AG50" s="50" t="str">
        <f t="shared" si="2"/>
        <v>6/7/2021</v>
      </c>
      <c r="AH50" s="51">
        <f>COUNTIFS(Z:Z,Z50,AG:AG,AG50)</f>
        <v>4</v>
      </c>
      <c r="AI50" s="49">
        <f t="shared" si="1"/>
        <v>0</v>
      </c>
    </row>
    <row r="51" spans="1:35" ht="15" x14ac:dyDescent="0.2">
      <c r="A51" s="145" t="s">
        <v>851</v>
      </c>
      <c r="B51" s="146" t="s">
        <v>668</v>
      </c>
      <c r="C51" s="145" t="s">
        <v>851</v>
      </c>
      <c r="D51" s="147" t="s">
        <v>669</v>
      </c>
      <c r="E51" s="146" t="s">
        <v>670</v>
      </c>
      <c r="F51" s="146" t="s">
        <v>671</v>
      </c>
      <c r="G51" s="146" t="s">
        <v>672</v>
      </c>
      <c r="H51" s="148">
        <v>2.5</v>
      </c>
      <c r="I51" s="146" t="s">
        <v>673</v>
      </c>
      <c r="J51" s="149">
        <v>1</v>
      </c>
      <c r="K51" s="150">
        <v>2021</v>
      </c>
      <c r="L51" s="159" t="s">
        <v>852</v>
      </c>
      <c r="M51" s="151" t="s">
        <v>853</v>
      </c>
      <c r="N51" s="161"/>
      <c r="O51" s="153"/>
      <c r="P51" s="154" t="s">
        <v>676</v>
      </c>
      <c r="Q51" s="154"/>
      <c r="R51" s="155">
        <v>9</v>
      </c>
      <c r="S51" s="146"/>
      <c r="T51" s="168"/>
      <c r="U51" s="146"/>
      <c r="V51" s="146"/>
      <c r="W51" s="146"/>
      <c r="X51" s="156">
        <v>0</v>
      </c>
      <c r="Y51" s="156">
        <v>0</v>
      </c>
      <c r="Z51" s="157" t="s">
        <v>677</v>
      </c>
      <c r="AA51" s="158">
        <v>2021</v>
      </c>
      <c r="AB51" s="158">
        <v>7</v>
      </c>
      <c r="AC51" s="158">
        <v>13</v>
      </c>
      <c r="AD51" s="122" t="b">
        <f>IF(ISBLANK(GroupMember[[#This Row],[1. Identifiant interne d’exploitation agricole*]]),"",IF(ISERROR(MATCH(GroupMember[[#This Row],[1. Identifiant interne d’exploitation agricole*]],CertifiedCrop[1. Identifiant interne d’exploitation agricole*],0)),FALSE,TRUE))</f>
        <v>1</v>
      </c>
      <c r="AE51" s="122" t="b">
        <f>IF(ISBLANK(GroupMember[[#This Row],[1. Identifiant interne d’exploitation agricole*]]),"",IF(ISERROR(MATCH(GroupMember[[#This Row],[1. Identifiant interne d’exploitation agricole*]],FarmUnit[1. Identifiant interne d’exploitation agricole*],0)),FALSE,TRUE))</f>
        <v>1</v>
      </c>
      <c r="AF51" s="9" t="str">
        <f t="shared" ref="AF51:AF114" si="3">IFERROR(CONCATENATE(L51," ",M51),"")</f>
        <v>DOMI  GUEU DOMINIQUE</v>
      </c>
      <c r="AG51" s="243" t="str">
        <f t="shared" ref="AG51:AG114" si="4">CONCATENATE(AC51,"/",AB51,"/",AA51)</f>
        <v>13/7/2021</v>
      </c>
      <c r="AH51" s="51">
        <f>COUNTIFS(Z:Z,Z51,AG:AG,AG51)</f>
        <v>4</v>
      </c>
      <c r="AI51" s="49">
        <f t="shared" ref="AI51:AI114" si="5">IF((X51+Y51/12)&lt;0,"",(X51+Y51/12))</f>
        <v>0</v>
      </c>
    </row>
    <row r="52" spans="1:35" ht="15" x14ac:dyDescent="0.2">
      <c r="A52" s="145" t="s">
        <v>854</v>
      </c>
      <c r="B52" s="146" t="s">
        <v>668</v>
      </c>
      <c r="C52" s="145" t="s">
        <v>854</v>
      </c>
      <c r="D52" s="147" t="s">
        <v>669</v>
      </c>
      <c r="E52" s="146" t="s">
        <v>670</v>
      </c>
      <c r="F52" s="146" t="s">
        <v>671</v>
      </c>
      <c r="G52" s="146" t="s">
        <v>672</v>
      </c>
      <c r="H52" s="148">
        <v>2.5</v>
      </c>
      <c r="I52" s="146" t="s">
        <v>673</v>
      </c>
      <c r="J52" s="149">
        <v>1</v>
      </c>
      <c r="K52" s="150">
        <v>2021</v>
      </c>
      <c r="L52" s="159" t="s">
        <v>768</v>
      </c>
      <c r="M52" s="151" t="s">
        <v>855</v>
      </c>
      <c r="N52" s="161"/>
      <c r="O52" s="153"/>
      <c r="P52" s="154" t="s">
        <v>676</v>
      </c>
      <c r="Q52" s="154"/>
      <c r="R52" s="155">
        <v>6</v>
      </c>
      <c r="S52" s="146"/>
      <c r="T52" s="168"/>
      <c r="U52" s="146"/>
      <c r="V52" s="146"/>
      <c r="W52" s="146"/>
      <c r="X52" s="156">
        <v>0</v>
      </c>
      <c r="Y52" s="156">
        <v>0</v>
      </c>
      <c r="Z52" s="157" t="s">
        <v>677</v>
      </c>
      <c r="AA52" s="158">
        <v>2021</v>
      </c>
      <c r="AB52" s="158">
        <v>7</v>
      </c>
      <c r="AC52" s="158">
        <v>27</v>
      </c>
      <c r="AD52" s="122" t="b">
        <f>IF(ISBLANK(GroupMember[[#This Row],[1. Identifiant interne d’exploitation agricole*]]),"",IF(ISERROR(MATCH(GroupMember[[#This Row],[1. Identifiant interne d’exploitation agricole*]],CertifiedCrop[1. Identifiant interne d’exploitation agricole*],0)),FALSE,TRUE))</f>
        <v>1</v>
      </c>
      <c r="AE52" s="122" t="b">
        <f>IF(ISBLANK(GroupMember[[#This Row],[1. Identifiant interne d’exploitation agricole*]]),"",IF(ISERROR(MATCH(GroupMember[[#This Row],[1. Identifiant interne d’exploitation agricole*]],FarmUnit[1. Identifiant interne d’exploitation agricole*],0)),FALSE,TRUE))</f>
        <v>1</v>
      </c>
      <c r="AF52" s="9" t="str">
        <f t="shared" si="3"/>
        <v>GUEI  EXONE</v>
      </c>
      <c r="AG52" s="243" t="str">
        <f t="shared" si="4"/>
        <v>27/7/2021</v>
      </c>
      <c r="AH52" s="51">
        <f>COUNTIFS(Z:Z,Z52,AG:AG,AG52)</f>
        <v>5</v>
      </c>
      <c r="AI52" s="49">
        <f t="shared" si="5"/>
        <v>0</v>
      </c>
    </row>
    <row r="53" spans="1:35" ht="15" x14ac:dyDescent="0.2">
      <c r="A53" s="145" t="s">
        <v>856</v>
      </c>
      <c r="B53" s="146" t="s">
        <v>668</v>
      </c>
      <c r="C53" s="145" t="s">
        <v>856</v>
      </c>
      <c r="D53" s="147" t="s">
        <v>669</v>
      </c>
      <c r="E53" s="146" t="s">
        <v>670</v>
      </c>
      <c r="F53" s="146" t="s">
        <v>671</v>
      </c>
      <c r="G53" s="146" t="s">
        <v>672</v>
      </c>
      <c r="H53" s="148">
        <v>2.5</v>
      </c>
      <c r="I53" s="146" t="s">
        <v>673</v>
      </c>
      <c r="J53" s="149">
        <v>1</v>
      </c>
      <c r="K53" s="150">
        <v>2021</v>
      </c>
      <c r="L53" s="159" t="s">
        <v>857</v>
      </c>
      <c r="M53" s="151" t="s">
        <v>858</v>
      </c>
      <c r="N53" s="161"/>
      <c r="O53" s="153"/>
      <c r="P53" s="154" t="s">
        <v>676</v>
      </c>
      <c r="Q53" s="154"/>
      <c r="R53" s="155">
        <v>7</v>
      </c>
      <c r="S53" s="146"/>
      <c r="T53" s="168"/>
      <c r="U53" s="146"/>
      <c r="V53" s="146"/>
      <c r="W53" s="146"/>
      <c r="X53" s="156">
        <v>0</v>
      </c>
      <c r="Y53" s="156">
        <v>0</v>
      </c>
      <c r="Z53" s="157" t="s">
        <v>677</v>
      </c>
      <c r="AA53" s="158">
        <v>2021</v>
      </c>
      <c r="AB53" s="158">
        <v>7</v>
      </c>
      <c r="AC53" s="158">
        <v>30</v>
      </c>
      <c r="AD53" s="122" t="b">
        <f>IF(ISBLANK(GroupMember[[#This Row],[1. Identifiant interne d’exploitation agricole*]]),"",IF(ISERROR(MATCH(GroupMember[[#This Row],[1. Identifiant interne d’exploitation agricole*]],CertifiedCrop[1. Identifiant interne d’exploitation agricole*],0)),FALSE,TRUE))</f>
        <v>1</v>
      </c>
      <c r="AE53" s="122" t="b">
        <f>IF(ISBLANK(GroupMember[[#This Row],[1. Identifiant interne d’exploitation agricole*]]),"",IF(ISERROR(MATCH(GroupMember[[#This Row],[1. Identifiant interne d’exploitation agricole*]],FarmUnit[1. Identifiant interne d’exploitation agricole*],0)),FALSE,TRUE))</f>
        <v>1</v>
      </c>
      <c r="AF53" s="9" t="str">
        <f t="shared" si="3"/>
        <v>TOUATOUEU  KOUATO CESAR</v>
      </c>
      <c r="AG53" s="243" t="str">
        <f t="shared" si="4"/>
        <v>30/7/2021</v>
      </c>
      <c r="AH53" s="51">
        <f>COUNTIFS(Z:Z,Z53,AG:AG,AG53)</f>
        <v>4</v>
      </c>
      <c r="AI53" s="49">
        <f t="shared" si="5"/>
        <v>0</v>
      </c>
    </row>
    <row r="54" spans="1:35" ht="15" x14ac:dyDescent="0.2">
      <c r="A54" s="145" t="s">
        <v>859</v>
      </c>
      <c r="B54" s="146" t="s">
        <v>668</v>
      </c>
      <c r="C54" s="145" t="s">
        <v>859</v>
      </c>
      <c r="D54" s="147" t="s">
        <v>669</v>
      </c>
      <c r="E54" s="146" t="s">
        <v>670</v>
      </c>
      <c r="F54" s="146" t="s">
        <v>671</v>
      </c>
      <c r="G54" s="146" t="s">
        <v>672</v>
      </c>
      <c r="H54" s="148">
        <v>2.5</v>
      </c>
      <c r="I54" s="146" t="s">
        <v>673</v>
      </c>
      <c r="J54" s="149">
        <v>1</v>
      </c>
      <c r="K54" s="150">
        <v>2021</v>
      </c>
      <c r="L54" s="159" t="s">
        <v>768</v>
      </c>
      <c r="M54" s="151" t="s">
        <v>860</v>
      </c>
      <c r="N54" s="276" t="s">
        <v>3294</v>
      </c>
      <c r="O54" s="153" t="s">
        <v>861</v>
      </c>
      <c r="P54" s="154" t="s">
        <v>676</v>
      </c>
      <c r="Q54" s="154">
        <v>1964</v>
      </c>
      <c r="R54" s="155">
        <v>5</v>
      </c>
      <c r="S54" s="146"/>
      <c r="T54" s="168"/>
      <c r="U54" s="146"/>
      <c r="V54" s="146"/>
      <c r="W54" s="146"/>
      <c r="X54" s="156">
        <v>0</v>
      </c>
      <c r="Y54" s="156">
        <v>0</v>
      </c>
      <c r="Z54" s="157" t="s">
        <v>677</v>
      </c>
      <c r="AA54" s="158">
        <v>2021</v>
      </c>
      <c r="AB54" s="158">
        <v>7</v>
      </c>
      <c r="AC54" s="158">
        <v>27</v>
      </c>
      <c r="AD54" s="122" t="b">
        <f>IF(ISBLANK(GroupMember[[#This Row],[1. Identifiant interne d’exploitation agricole*]]),"",IF(ISERROR(MATCH(GroupMember[[#This Row],[1. Identifiant interne d’exploitation agricole*]],CertifiedCrop[1. Identifiant interne d’exploitation agricole*],0)),FALSE,TRUE))</f>
        <v>1</v>
      </c>
      <c r="AE54" s="122" t="b">
        <f>IF(ISBLANK(GroupMember[[#This Row],[1. Identifiant interne d’exploitation agricole*]]),"",IF(ISERROR(MATCH(GroupMember[[#This Row],[1. Identifiant interne d’exploitation agricole*]],FarmUnit[1. Identifiant interne d’exploitation agricole*],0)),FALSE,TRUE))</f>
        <v>1</v>
      </c>
      <c r="AF54" s="9" t="str">
        <f t="shared" si="3"/>
        <v>GUEI GONLY ERNEST</v>
      </c>
      <c r="AG54" s="243" t="str">
        <f t="shared" si="4"/>
        <v>27/7/2021</v>
      </c>
      <c r="AH54" s="51">
        <f>COUNTIFS(Z:Z,Z54,AG:AG,AG54)</f>
        <v>5</v>
      </c>
      <c r="AI54" s="49">
        <f t="shared" si="5"/>
        <v>0</v>
      </c>
    </row>
    <row r="55" spans="1:35" ht="17.25" x14ac:dyDescent="0.2">
      <c r="A55" s="145" t="s">
        <v>862</v>
      </c>
      <c r="B55" s="146" t="s">
        <v>668</v>
      </c>
      <c r="C55" s="145" t="s">
        <v>862</v>
      </c>
      <c r="D55" s="147" t="s">
        <v>669</v>
      </c>
      <c r="E55" s="146" t="s">
        <v>670</v>
      </c>
      <c r="F55" s="146" t="s">
        <v>671</v>
      </c>
      <c r="G55" s="146" t="s">
        <v>672</v>
      </c>
      <c r="H55" s="148">
        <v>1.01</v>
      </c>
      <c r="I55" s="146" t="s">
        <v>673</v>
      </c>
      <c r="J55" s="149">
        <v>1</v>
      </c>
      <c r="K55" s="150">
        <v>2021</v>
      </c>
      <c r="L55" s="159" t="s">
        <v>863</v>
      </c>
      <c r="M55" s="151" t="s">
        <v>864</v>
      </c>
      <c r="N55" s="161" t="s">
        <v>865</v>
      </c>
      <c r="O55" s="153" t="s">
        <v>866</v>
      </c>
      <c r="P55" s="154" t="s">
        <v>676</v>
      </c>
      <c r="Q55" s="154">
        <v>1974</v>
      </c>
      <c r="R55" s="155">
        <v>8</v>
      </c>
      <c r="S55" s="146"/>
      <c r="T55" s="168"/>
      <c r="U55" s="146"/>
      <c r="V55" s="146"/>
      <c r="W55" s="146"/>
      <c r="X55" s="156">
        <v>0</v>
      </c>
      <c r="Y55" s="156">
        <v>0</v>
      </c>
      <c r="Z55" s="157" t="s">
        <v>677</v>
      </c>
      <c r="AA55" s="158">
        <v>2021</v>
      </c>
      <c r="AB55" s="158">
        <v>7</v>
      </c>
      <c r="AC55" s="158">
        <v>13</v>
      </c>
      <c r="AD55" s="122" t="b">
        <f>IF(ISBLANK(GroupMember[[#This Row],[1. Identifiant interne d’exploitation agricole*]]),"",IF(ISERROR(MATCH(GroupMember[[#This Row],[1. Identifiant interne d’exploitation agricole*]],CertifiedCrop[1. Identifiant interne d’exploitation agricole*],0)),FALSE,TRUE))</f>
        <v>1</v>
      </c>
      <c r="AE55" s="122" t="b">
        <f>IF(ISBLANK(GroupMember[[#This Row],[1. Identifiant interne d’exploitation agricole*]]),"",IF(ISERROR(MATCH(GroupMember[[#This Row],[1. Identifiant interne d’exploitation agricole*]],FarmUnit[1. Identifiant interne d’exploitation agricole*],0)),FALSE,TRUE))</f>
        <v>1</v>
      </c>
      <c r="AF55" s="9" t="str">
        <f t="shared" si="3"/>
        <v>KOULIBALY  NAMORY</v>
      </c>
      <c r="AG55" s="243" t="str">
        <f t="shared" si="4"/>
        <v>13/7/2021</v>
      </c>
      <c r="AH55" s="51">
        <f>COUNTIFS(Z:Z,Z55,AG:AG,AG55)</f>
        <v>4</v>
      </c>
      <c r="AI55" s="49">
        <f t="shared" si="5"/>
        <v>0</v>
      </c>
    </row>
    <row r="56" spans="1:35" ht="15" x14ac:dyDescent="0.2">
      <c r="A56" s="145" t="s">
        <v>867</v>
      </c>
      <c r="B56" s="146" t="s">
        <v>668</v>
      </c>
      <c r="C56" s="145" t="s">
        <v>867</v>
      </c>
      <c r="D56" s="147" t="s">
        <v>669</v>
      </c>
      <c r="E56" s="146" t="s">
        <v>670</v>
      </c>
      <c r="F56" s="146" t="s">
        <v>671</v>
      </c>
      <c r="G56" s="146" t="s">
        <v>672</v>
      </c>
      <c r="H56" s="148">
        <v>3.22</v>
      </c>
      <c r="I56" s="146" t="s">
        <v>673</v>
      </c>
      <c r="J56" s="149">
        <v>1</v>
      </c>
      <c r="K56" s="150">
        <v>2021</v>
      </c>
      <c r="L56" s="159" t="s">
        <v>868</v>
      </c>
      <c r="M56" s="151" t="s">
        <v>869</v>
      </c>
      <c r="N56" s="161" t="s">
        <v>870</v>
      </c>
      <c r="O56" s="153"/>
      <c r="P56" s="154" t="s">
        <v>676</v>
      </c>
      <c r="Q56" s="154"/>
      <c r="R56" s="155">
        <v>6</v>
      </c>
      <c r="S56" s="146"/>
      <c r="T56" s="168"/>
      <c r="U56" s="146"/>
      <c r="V56" s="146"/>
      <c r="W56" s="146"/>
      <c r="X56" s="156">
        <v>0</v>
      </c>
      <c r="Y56" s="156">
        <v>0</v>
      </c>
      <c r="Z56" s="157" t="s">
        <v>677</v>
      </c>
      <c r="AA56" s="158">
        <v>2021</v>
      </c>
      <c r="AB56" s="158">
        <v>7</v>
      </c>
      <c r="AC56" s="158">
        <v>3</v>
      </c>
      <c r="AD56" s="122" t="b">
        <f>IF(ISBLANK(GroupMember[[#This Row],[1. Identifiant interne d’exploitation agricole*]]),"",IF(ISERROR(MATCH(GroupMember[[#This Row],[1. Identifiant interne d’exploitation agricole*]],CertifiedCrop[1. Identifiant interne d’exploitation agricole*],0)),FALSE,TRUE))</f>
        <v>1</v>
      </c>
      <c r="AE56" s="122" t="b">
        <f>IF(ISBLANK(GroupMember[[#This Row],[1. Identifiant interne d’exploitation agricole*]]),"",IF(ISERROR(MATCH(GroupMember[[#This Row],[1. Identifiant interne d’exploitation agricole*]],FarmUnit[1. Identifiant interne d’exploitation agricole*],0)),FALSE,TRUE))</f>
        <v>1</v>
      </c>
      <c r="AF56" s="9" t="str">
        <f t="shared" si="3"/>
        <v>VAN  CAMINDO JUSCARD</v>
      </c>
      <c r="AG56" s="243" t="str">
        <f t="shared" si="4"/>
        <v>3/7/2021</v>
      </c>
      <c r="AH56" s="51">
        <f>COUNTIFS(Z:Z,Z56,AG:AG,AG56)</f>
        <v>4</v>
      </c>
      <c r="AI56" s="49">
        <f t="shared" si="5"/>
        <v>0</v>
      </c>
    </row>
    <row r="57" spans="1:35" ht="15" x14ac:dyDescent="0.2">
      <c r="A57" s="145" t="s">
        <v>871</v>
      </c>
      <c r="B57" s="146" t="s">
        <v>668</v>
      </c>
      <c r="C57" s="145" t="s">
        <v>871</v>
      </c>
      <c r="D57" s="147" t="s">
        <v>669</v>
      </c>
      <c r="E57" s="146" t="s">
        <v>670</v>
      </c>
      <c r="F57" s="146" t="s">
        <v>671</v>
      </c>
      <c r="G57" s="146" t="s">
        <v>672</v>
      </c>
      <c r="H57" s="148">
        <v>3.24</v>
      </c>
      <c r="I57" s="146" t="s">
        <v>673</v>
      </c>
      <c r="J57" s="149">
        <v>1</v>
      </c>
      <c r="K57" s="150">
        <v>2021</v>
      </c>
      <c r="L57" s="159" t="s">
        <v>828</v>
      </c>
      <c r="M57" s="151" t="s">
        <v>872</v>
      </c>
      <c r="N57" s="161" t="s">
        <v>873</v>
      </c>
      <c r="O57" s="153"/>
      <c r="P57" s="154" t="s">
        <v>676</v>
      </c>
      <c r="Q57" s="154"/>
      <c r="R57" s="155">
        <v>10</v>
      </c>
      <c r="S57" s="146"/>
      <c r="T57" s="168"/>
      <c r="U57" s="146"/>
      <c r="V57" s="146"/>
      <c r="W57" s="146"/>
      <c r="X57" s="156">
        <v>0</v>
      </c>
      <c r="Y57" s="156">
        <v>0</v>
      </c>
      <c r="Z57" s="157" t="s">
        <v>677</v>
      </c>
      <c r="AA57" s="158">
        <v>2021</v>
      </c>
      <c r="AB57" s="158">
        <v>7</v>
      </c>
      <c r="AC57" s="158">
        <v>27</v>
      </c>
      <c r="AD57" s="122" t="b">
        <f>IF(ISBLANK(GroupMember[[#This Row],[1. Identifiant interne d’exploitation agricole*]]),"",IF(ISERROR(MATCH(GroupMember[[#This Row],[1. Identifiant interne d’exploitation agricole*]],CertifiedCrop[1. Identifiant interne d’exploitation agricole*],0)),FALSE,TRUE))</f>
        <v>1</v>
      </c>
      <c r="AE57" s="122" t="b">
        <f>IF(ISBLANK(GroupMember[[#This Row],[1. Identifiant interne d’exploitation agricole*]]),"",IF(ISERROR(MATCH(GroupMember[[#This Row],[1. Identifiant interne d’exploitation agricole*]],FarmUnit[1. Identifiant interne d’exploitation agricole*],0)),FALSE,TRUE))</f>
        <v>1</v>
      </c>
      <c r="AF57" s="9" t="str">
        <f t="shared" si="3"/>
        <v>KONATE  ADAMA</v>
      </c>
      <c r="AG57" s="243" t="str">
        <f t="shared" si="4"/>
        <v>27/7/2021</v>
      </c>
      <c r="AH57" s="51">
        <f>COUNTIFS(Z:Z,Z57,AG:AG,AG57)</f>
        <v>5</v>
      </c>
      <c r="AI57" s="49">
        <f t="shared" si="5"/>
        <v>0</v>
      </c>
    </row>
    <row r="58" spans="1:35" ht="15" x14ac:dyDescent="0.2">
      <c r="A58" s="145" t="s">
        <v>874</v>
      </c>
      <c r="B58" s="146" t="s">
        <v>668</v>
      </c>
      <c r="C58" s="145" t="s">
        <v>874</v>
      </c>
      <c r="D58" s="147" t="s">
        <v>669</v>
      </c>
      <c r="E58" s="146" t="s">
        <v>670</v>
      </c>
      <c r="F58" s="146" t="s">
        <v>671</v>
      </c>
      <c r="G58" s="146" t="s">
        <v>672</v>
      </c>
      <c r="H58" s="148">
        <v>3.5</v>
      </c>
      <c r="I58" s="146" t="s">
        <v>673</v>
      </c>
      <c r="J58" s="149">
        <v>1</v>
      </c>
      <c r="K58" s="150">
        <v>2021</v>
      </c>
      <c r="L58" s="159" t="s">
        <v>875</v>
      </c>
      <c r="M58" s="151" t="s">
        <v>876</v>
      </c>
      <c r="N58" s="161"/>
      <c r="O58" s="153"/>
      <c r="P58" s="154" t="s">
        <v>676</v>
      </c>
      <c r="Q58" s="154"/>
      <c r="R58" s="155">
        <v>5</v>
      </c>
      <c r="S58" s="146"/>
      <c r="T58" s="168"/>
      <c r="U58" s="146"/>
      <c r="V58" s="146"/>
      <c r="W58" s="146"/>
      <c r="X58" s="156">
        <v>0</v>
      </c>
      <c r="Y58" s="156">
        <v>0</v>
      </c>
      <c r="Z58" s="157" t="s">
        <v>677</v>
      </c>
      <c r="AA58" s="158">
        <v>2021</v>
      </c>
      <c r="AB58" s="158">
        <v>7</v>
      </c>
      <c r="AC58" s="158">
        <v>6</v>
      </c>
      <c r="AD58" s="122" t="b">
        <f>IF(ISBLANK(GroupMember[[#This Row],[1. Identifiant interne d’exploitation agricole*]]),"",IF(ISERROR(MATCH(GroupMember[[#This Row],[1. Identifiant interne d’exploitation agricole*]],CertifiedCrop[1. Identifiant interne d’exploitation agricole*],0)),FALSE,TRUE))</f>
        <v>1</v>
      </c>
      <c r="AE58" s="122" t="b">
        <f>IF(ISBLANK(GroupMember[[#This Row],[1. Identifiant interne d’exploitation agricole*]]),"",IF(ISERROR(MATCH(GroupMember[[#This Row],[1. Identifiant interne d’exploitation agricole*]],FarmUnit[1. Identifiant interne d’exploitation agricole*],0)),FALSE,TRUE))</f>
        <v>1</v>
      </c>
      <c r="AF58" s="9" t="str">
        <f t="shared" si="3"/>
        <v>YERBA  GAN GABRIEL</v>
      </c>
      <c r="AG58" s="243" t="str">
        <f t="shared" si="4"/>
        <v>6/7/2021</v>
      </c>
      <c r="AH58" s="51">
        <f>COUNTIFS(Z:Z,Z58,AG:AG,AG58)</f>
        <v>4</v>
      </c>
      <c r="AI58" s="49">
        <f t="shared" si="5"/>
        <v>0</v>
      </c>
    </row>
    <row r="59" spans="1:35" ht="15" x14ac:dyDescent="0.2">
      <c r="A59" s="145" t="s">
        <v>877</v>
      </c>
      <c r="B59" s="146" t="s">
        <v>668</v>
      </c>
      <c r="C59" s="145" t="s">
        <v>877</v>
      </c>
      <c r="D59" s="147" t="s">
        <v>669</v>
      </c>
      <c r="E59" s="146" t="s">
        <v>670</v>
      </c>
      <c r="F59" s="146" t="s">
        <v>671</v>
      </c>
      <c r="G59" s="146" t="s">
        <v>672</v>
      </c>
      <c r="H59" s="148">
        <v>4.6100000000000003</v>
      </c>
      <c r="I59" s="146" t="s">
        <v>673</v>
      </c>
      <c r="J59" s="149">
        <v>1</v>
      </c>
      <c r="K59" s="150">
        <v>2021</v>
      </c>
      <c r="L59" s="159" t="s">
        <v>707</v>
      </c>
      <c r="M59" s="151" t="s">
        <v>878</v>
      </c>
      <c r="N59" s="161"/>
      <c r="O59" s="153"/>
      <c r="P59" s="154" t="s">
        <v>676</v>
      </c>
      <c r="Q59" s="154"/>
      <c r="R59" s="155">
        <v>6</v>
      </c>
      <c r="S59" s="146"/>
      <c r="T59" s="168"/>
      <c r="U59" s="146"/>
      <c r="V59" s="146"/>
      <c r="W59" s="146"/>
      <c r="X59" s="156">
        <v>0</v>
      </c>
      <c r="Y59" s="156">
        <v>0</v>
      </c>
      <c r="Z59" s="157" t="s">
        <v>677</v>
      </c>
      <c r="AA59" s="158">
        <v>2021</v>
      </c>
      <c r="AB59" s="158">
        <v>7</v>
      </c>
      <c r="AC59" s="158">
        <v>27</v>
      </c>
      <c r="AD59" s="122" t="b">
        <f>IF(ISBLANK(GroupMember[[#This Row],[1. Identifiant interne d’exploitation agricole*]]),"",IF(ISERROR(MATCH(GroupMember[[#This Row],[1. Identifiant interne d’exploitation agricole*]],CertifiedCrop[1. Identifiant interne d’exploitation agricole*],0)),FALSE,TRUE))</f>
        <v>1</v>
      </c>
      <c r="AE59" s="122" t="b">
        <f>IF(ISBLANK(GroupMember[[#This Row],[1. Identifiant interne d’exploitation agricole*]]),"",IF(ISERROR(MATCH(GroupMember[[#This Row],[1. Identifiant interne d’exploitation agricole*]],FarmUnit[1. Identifiant interne d’exploitation agricole*],0)),FALSE,TRUE))</f>
        <v>1</v>
      </c>
      <c r="AF59" s="9" t="str">
        <f t="shared" si="3"/>
        <v>OUEDRAOGO  SAIBA</v>
      </c>
      <c r="AG59" s="243" t="str">
        <f t="shared" si="4"/>
        <v>27/7/2021</v>
      </c>
      <c r="AH59" s="51">
        <f>COUNTIFS(Z:Z,Z59,AG:AG,AG59)</f>
        <v>5</v>
      </c>
      <c r="AI59" s="49">
        <f t="shared" si="5"/>
        <v>0</v>
      </c>
    </row>
    <row r="60" spans="1:35" ht="15" x14ac:dyDescent="0.2">
      <c r="A60" s="145" t="s">
        <v>879</v>
      </c>
      <c r="B60" s="146" t="s">
        <v>668</v>
      </c>
      <c r="C60" s="145" t="s">
        <v>879</v>
      </c>
      <c r="D60" s="147" t="s">
        <v>669</v>
      </c>
      <c r="E60" s="146" t="s">
        <v>670</v>
      </c>
      <c r="F60" s="146" t="s">
        <v>671</v>
      </c>
      <c r="G60" s="146" t="s">
        <v>672</v>
      </c>
      <c r="H60" s="148">
        <v>0.96</v>
      </c>
      <c r="I60" s="146" t="s">
        <v>673</v>
      </c>
      <c r="J60" s="149">
        <v>1</v>
      </c>
      <c r="K60" s="150">
        <v>2021</v>
      </c>
      <c r="L60" s="159" t="s">
        <v>880</v>
      </c>
      <c r="M60" s="151" t="s">
        <v>881</v>
      </c>
      <c r="N60" s="161"/>
      <c r="O60" s="153"/>
      <c r="P60" s="154" t="s">
        <v>676</v>
      </c>
      <c r="Q60" s="154"/>
      <c r="R60" s="155">
        <v>5</v>
      </c>
      <c r="S60" s="146"/>
      <c r="T60" s="168"/>
      <c r="U60" s="146"/>
      <c r="V60" s="146"/>
      <c r="W60" s="146"/>
      <c r="X60" s="156">
        <v>0</v>
      </c>
      <c r="Y60" s="156">
        <v>0</v>
      </c>
      <c r="Z60" s="157" t="s">
        <v>677</v>
      </c>
      <c r="AA60" s="158">
        <v>2021</v>
      </c>
      <c r="AB60" s="158">
        <v>7</v>
      </c>
      <c r="AC60" s="158">
        <v>30</v>
      </c>
      <c r="AD60" s="122" t="b">
        <f>IF(ISBLANK(GroupMember[[#This Row],[1. Identifiant interne d’exploitation agricole*]]),"",IF(ISERROR(MATCH(GroupMember[[#This Row],[1. Identifiant interne d’exploitation agricole*]],CertifiedCrop[1. Identifiant interne d’exploitation agricole*],0)),FALSE,TRUE))</f>
        <v>1</v>
      </c>
      <c r="AE60" s="122" t="b">
        <f>IF(ISBLANK(GroupMember[[#This Row],[1. Identifiant interne d’exploitation agricole*]]),"",IF(ISERROR(MATCH(GroupMember[[#This Row],[1. Identifiant interne d’exploitation agricole*]],FarmUnit[1. Identifiant interne d’exploitation agricole*],0)),FALSE,TRUE))</f>
        <v>1</v>
      </c>
      <c r="AF60" s="9" t="str">
        <f t="shared" si="3"/>
        <v>MLANKIEU  OUMEPIEU</v>
      </c>
      <c r="AG60" s="243" t="str">
        <f t="shared" si="4"/>
        <v>30/7/2021</v>
      </c>
      <c r="AH60" s="51">
        <f>COUNTIFS(Z:Z,Z60,AG:AG,AG60)</f>
        <v>4</v>
      </c>
      <c r="AI60" s="49">
        <f t="shared" si="5"/>
        <v>0</v>
      </c>
    </row>
    <row r="61" spans="1:35" ht="15" x14ac:dyDescent="0.2">
      <c r="A61" s="145" t="s">
        <v>882</v>
      </c>
      <c r="B61" s="146" t="s">
        <v>668</v>
      </c>
      <c r="C61" s="145" t="s">
        <v>882</v>
      </c>
      <c r="D61" s="147" t="s">
        <v>669</v>
      </c>
      <c r="E61" s="146" t="s">
        <v>670</v>
      </c>
      <c r="F61" s="146" t="s">
        <v>671</v>
      </c>
      <c r="G61" s="146" t="s">
        <v>672</v>
      </c>
      <c r="H61" s="148">
        <v>3</v>
      </c>
      <c r="I61" s="146" t="s">
        <v>673</v>
      </c>
      <c r="J61" s="149">
        <v>1</v>
      </c>
      <c r="K61" s="150">
        <v>2021</v>
      </c>
      <c r="L61" s="159" t="s">
        <v>883</v>
      </c>
      <c r="M61" s="151" t="s">
        <v>884</v>
      </c>
      <c r="N61" s="161" t="s">
        <v>885</v>
      </c>
      <c r="O61" s="153" t="s">
        <v>886</v>
      </c>
      <c r="P61" s="154" t="s">
        <v>676</v>
      </c>
      <c r="Q61" s="154">
        <v>1992</v>
      </c>
      <c r="R61" s="155">
        <v>8</v>
      </c>
      <c r="S61" s="146"/>
      <c r="T61" s="168"/>
      <c r="U61" s="146"/>
      <c r="V61" s="146"/>
      <c r="W61" s="146"/>
      <c r="X61" s="156">
        <v>0</v>
      </c>
      <c r="Y61" s="156">
        <v>0</v>
      </c>
      <c r="Z61" s="157" t="s">
        <v>677</v>
      </c>
      <c r="AA61" s="158">
        <v>2021</v>
      </c>
      <c r="AB61" s="158">
        <v>7</v>
      </c>
      <c r="AC61" s="158">
        <v>13</v>
      </c>
      <c r="AD61" s="122" t="b">
        <f>IF(ISBLANK(GroupMember[[#This Row],[1. Identifiant interne d’exploitation agricole*]]),"",IF(ISERROR(MATCH(GroupMember[[#This Row],[1. Identifiant interne d’exploitation agricole*]],CertifiedCrop[1. Identifiant interne d’exploitation agricole*],0)),FALSE,TRUE))</f>
        <v>1</v>
      </c>
      <c r="AE61" s="122" t="b">
        <f>IF(ISBLANK(GroupMember[[#This Row],[1. Identifiant interne d’exploitation agricole*]]),"",IF(ISERROR(MATCH(GroupMember[[#This Row],[1. Identifiant interne d’exploitation agricole*]],FarmUnit[1. Identifiant interne d’exploitation agricole*],0)),FALSE,TRUE))</f>
        <v>1</v>
      </c>
      <c r="AF61" s="9" t="str">
        <f t="shared" si="3"/>
        <v>TIEU GUEU HERMANN</v>
      </c>
      <c r="AG61" s="243" t="str">
        <f t="shared" si="4"/>
        <v>13/7/2021</v>
      </c>
      <c r="AH61" s="51">
        <f>COUNTIFS(Z:Z,Z61,AG:AG,AG61)</f>
        <v>4</v>
      </c>
      <c r="AI61" s="49">
        <f t="shared" si="5"/>
        <v>0</v>
      </c>
    </row>
    <row r="62" spans="1:35" ht="15" x14ac:dyDescent="0.2">
      <c r="A62" s="145" t="s">
        <v>887</v>
      </c>
      <c r="B62" s="146" t="s">
        <v>668</v>
      </c>
      <c r="C62" s="145" t="s">
        <v>887</v>
      </c>
      <c r="D62" s="147" t="s">
        <v>669</v>
      </c>
      <c r="E62" s="146" t="s">
        <v>670</v>
      </c>
      <c r="F62" s="146" t="s">
        <v>671</v>
      </c>
      <c r="G62" s="146" t="s">
        <v>672</v>
      </c>
      <c r="H62" s="148">
        <v>4</v>
      </c>
      <c r="I62" s="146" t="s">
        <v>673</v>
      </c>
      <c r="J62" s="149">
        <v>1</v>
      </c>
      <c r="K62" s="150">
        <v>2021</v>
      </c>
      <c r="L62" s="159" t="s">
        <v>888</v>
      </c>
      <c r="M62" s="151" t="s">
        <v>889</v>
      </c>
      <c r="N62" s="161"/>
      <c r="O62" s="153"/>
      <c r="P62" s="154" t="s">
        <v>676</v>
      </c>
      <c r="Q62" s="154"/>
      <c r="R62" s="155">
        <v>7</v>
      </c>
      <c r="S62" s="146"/>
      <c r="T62" s="168"/>
      <c r="U62" s="146"/>
      <c r="V62" s="146"/>
      <c r="W62" s="146"/>
      <c r="X62" s="156">
        <v>0</v>
      </c>
      <c r="Y62" s="156">
        <v>0</v>
      </c>
      <c r="Z62" s="157" t="s">
        <v>677</v>
      </c>
      <c r="AA62" s="158">
        <v>2021</v>
      </c>
      <c r="AB62" s="158">
        <v>7</v>
      </c>
      <c r="AC62" s="158">
        <v>7</v>
      </c>
      <c r="AD62" s="122" t="b">
        <f>IF(ISBLANK(GroupMember[[#This Row],[1. Identifiant interne d’exploitation agricole*]]),"",IF(ISERROR(MATCH(GroupMember[[#This Row],[1. Identifiant interne d’exploitation agricole*]],CertifiedCrop[1. Identifiant interne d’exploitation agricole*],0)),FALSE,TRUE))</f>
        <v>1</v>
      </c>
      <c r="AE62" s="122" t="b">
        <f>IF(ISBLANK(GroupMember[[#This Row],[1. Identifiant interne d’exploitation agricole*]]),"",IF(ISERROR(MATCH(GroupMember[[#This Row],[1. Identifiant interne d’exploitation agricole*]],FarmUnit[1. Identifiant interne d’exploitation agricole*],0)),FALSE,TRUE))</f>
        <v>1</v>
      </c>
      <c r="AF62" s="9" t="str">
        <f t="shared" si="3"/>
        <v>YAKOU  LAURENT</v>
      </c>
      <c r="AG62" s="243" t="str">
        <f t="shared" si="4"/>
        <v>7/7/2021</v>
      </c>
      <c r="AH62" s="51">
        <f>COUNTIFS(Z:Z,Z62,AG:AG,AG62)</f>
        <v>4</v>
      </c>
      <c r="AI62" s="49">
        <f t="shared" si="5"/>
        <v>0</v>
      </c>
    </row>
    <row r="63" spans="1:35" ht="15" x14ac:dyDescent="0.2">
      <c r="A63" s="145" t="s">
        <v>890</v>
      </c>
      <c r="B63" s="146" t="s">
        <v>668</v>
      </c>
      <c r="C63" s="145" t="s">
        <v>890</v>
      </c>
      <c r="D63" s="147" t="s">
        <v>669</v>
      </c>
      <c r="E63" s="146" t="s">
        <v>670</v>
      </c>
      <c r="F63" s="146" t="s">
        <v>671</v>
      </c>
      <c r="G63" s="146" t="s">
        <v>672</v>
      </c>
      <c r="H63" s="148">
        <v>2.5</v>
      </c>
      <c r="I63" s="146" t="s">
        <v>673</v>
      </c>
      <c r="J63" s="149">
        <v>1</v>
      </c>
      <c r="K63" s="150">
        <v>2021</v>
      </c>
      <c r="L63" s="159" t="s">
        <v>803</v>
      </c>
      <c r="M63" s="151" t="s">
        <v>891</v>
      </c>
      <c r="N63" s="161"/>
      <c r="O63" s="153"/>
      <c r="P63" s="154" t="s">
        <v>676</v>
      </c>
      <c r="Q63" s="154"/>
      <c r="R63" s="155">
        <v>6</v>
      </c>
      <c r="S63" s="146"/>
      <c r="T63" s="168"/>
      <c r="U63" s="146"/>
      <c r="V63" s="146"/>
      <c r="W63" s="146"/>
      <c r="X63" s="156">
        <v>0</v>
      </c>
      <c r="Y63" s="156">
        <v>0</v>
      </c>
      <c r="Z63" s="157" t="s">
        <v>677</v>
      </c>
      <c r="AA63" s="158">
        <v>2021</v>
      </c>
      <c r="AB63" s="158">
        <v>7</v>
      </c>
      <c r="AC63" s="158">
        <v>5</v>
      </c>
      <c r="AD63" s="122" t="b">
        <f>IF(ISBLANK(GroupMember[[#This Row],[1. Identifiant interne d’exploitation agricole*]]),"",IF(ISERROR(MATCH(GroupMember[[#This Row],[1. Identifiant interne d’exploitation agricole*]],CertifiedCrop[1. Identifiant interne d’exploitation agricole*],0)),FALSE,TRUE))</f>
        <v>1</v>
      </c>
      <c r="AE63" s="122" t="b">
        <f>IF(ISBLANK(GroupMember[[#This Row],[1. Identifiant interne d’exploitation agricole*]]),"",IF(ISERROR(MATCH(GroupMember[[#This Row],[1. Identifiant interne d’exploitation agricole*]],FarmUnit[1. Identifiant interne d’exploitation agricole*],0)),FALSE,TRUE))</f>
        <v>1</v>
      </c>
      <c r="AF63" s="9" t="str">
        <f t="shared" si="3"/>
        <v>GUEU INNOCENT</v>
      </c>
      <c r="AG63" s="243" t="str">
        <f t="shared" si="4"/>
        <v>5/7/2021</v>
      </c>
      <c r="AH63" s="51">
        <f>COUNTIFS(Z:Z,Z63,AG:AG,AG63)</f>
        <v>4</v>
      </c>
      <c r="AI63" s="49">
        <f t="shared" si="5"/>
        <v>0</v>
      </c>
    </row>
    <row r="64" spans="1:35" ht="15" x14ac:dyDescent="0.2">
      <c r="A64" s="145" t="s">
        <v>892</v>
      </c>
      <c r="B64" s="146" t="s">
        <v>668</v>
      </c>
      <c r="C64" s="145" t="s">
        <v>892</v>
      </c>
      <c r="D64" s="147" t="s">
        <v>669</v>
      </c>
      <c r="E64" s="146" t="s">
        <v>670</v>
      </c>
      <c r="F64" s="146" t="s">
        <v>671</v>
      </c>
      <c r="G64" s="146" t="s">
        <v>672</v>
      </c>
      <c r="H64" s="148">
        <v>2.5</v>
      </c>
      <c r="I64" s="146" t="s">
        <v>673</v>
      </c>
      <c r="J64" s="149">
        <v>1</v>
      </c>
      <c r="K64" s="150">
        <v>2021</v>
      </c>
      <c r="L64" s="159" t="s">
        <v>893</v>
      </c>
      <c r="M64" s="151" t="s">
        <v>894</v>
      </c>
      <c r="N64" s="161"/>
      <c r="O64" s="153"/>
      <c r="P64" s="154" t="s">
        <v>676</v>
      </c>
      <c r="Q64" s="154"/>
      <c r="R64" s="155">
        <v>6</v>
      </c>
      <c r="S64" s="146"/>
      <c r="T64" s="168"/>
      <c r="U64" s="146"/>
      <c r="V64" s="146"/>
      <c r="W64" s="146"/>
      <c r="X64" s="156">
        <v>0</v>
      </c>
      <c r="Y64" s="156">
        <v>0</v>
      </c>
      <c r="Z64" s="157" t="s">
        <v>677</v>
      </c>
      <c r="AA64" s="158">
        <v>2021</v>
      </c>
      <c r="AB64" s="158">
        <v>7</v>
      </c>
      <c r="AC64" s="158">
        <v>2</v>
      </c>
      <c r="AD64" s="122" t="b">
        <f>IF(ISBLANK(GroupMember[[#This Row],[1. Identifiant interne d’exploitation agricole*]]),"",IF(ISERROR(MATCH(GroupMember[[#This Row],[1. Identifiant interne d’exploitation agricole*]],CertifiedCrop[1. Identifiant interne d’exploitation agricole*],0)),FALSE,TRUE))</f>
        <v>1</v>
      </c>
      <c r="AE64" s="122" t="b">
        <f>IF(ISBLANK(GroupMember[[#This Row],[1. Identifiant interne d’exploitation agricole*]]),"",IF(ISERROR(MATCH(GroupMember[[#This Row],[1. Identifiant interne d’exploitation agricole*]],FarmUnit[1. Identifiant interne d’exploitation agricole*],0)),FALSE,TRUE))</f>
        <v>1</v>
      </c>
      <c r="AF64" s="9" t="str">
        <f t="shared" si="3"/>
        <v>DOMY  GUEU</v>
      </c>
      <c r="AG64" s="243" t="str">
        <f t="shared" si="4"/>
        <v>2/7/2021</v>
      </c>
      <c r="AH64" s="51">
        <f>COUNTIFS(Z:Z,Z64,AG:AG,AG64)</f>
        <v>4</v>
      </c>
      <c r="AI64" s="49">
        <f t="shared" si="5"/>
        <v>0</v>
      </c>
    </row>
    <row r="65" spans="1:35" ht="15" x14ac:dyDescent="0.2">
      <c r="A65" s="145" t="s">
        <v>895</v>
      </c>
      <c r="B65" s="146" t="s">
        <v>668</v>
      </c>
      <c r="C65" s="145" t="s">
        <v>895</v>
      </c>
      <c r="D65" s="147" t="s">
        <v>669</v>
      </c>
      <c r="E65" s="146" t="s">
        <v>670</v>
      </c>
      <c r="F65" s="146" t="s">
        <v>671</v>
      </c>
      <c r="G65" s="146" t="s">
        <v>672</v>
      </c>
      <c r="H65" s="148">
        <v>1.48</v>
      </c>
      <c r="I65" s="146" t="s">
        <v>673</v>
      </c>
      <c r="J65" s="149">
        <v>1</v>
      </c>
      <c r="K65" s="150">
        <v>2021</v>
      </c>
      <c r="L65" s="159" t="s">
        <v>896</v>
      </c>
      <c r="M65" s="151" t="s">
        <v>897</v>
      </c>
      <c r="N65" s="161" t="s">
        <v>898</v>
      </c>
      <c r="O65" s="153"/>
      <c r="P65" s="154" t="s">
        <v>676</v>
      </c>
      <c r="Q65" s="154"/>
      <c r="R65" s="155">
        <v>5</v>
      </c>
      <c r="S65" s="146"/>
      <c r="T65" s="168"/>
      <c r="U65" s="146"/>
      <c r="V65" s="146"/>
      <c r="W65" s="146"/>
      <c r="X65" s="156">
        <v>0</v>
      </c>
      <c r="Y65" s="156">
        <v>0</v>
      </c>
      <c r="Z65" s="157" t="s">
        <v>677</v>
      </c>
      <c r="AA65" s="158">
        <v>2021</v>
      </c>
      <c r="AB65" s="158">
        <v>7</v>
      </c>
      <c r="AC65" s="158">
        <v>14</v>
      </c>
      <c r="AD65" s="122" t="b">
        <f>IF(ISBLANK(GroupMember[[#This Row],[1. Identifiant interne d’exploitation agricole*]]),"",IF(ISERROR(MATCH(GroupMember[[#This Row],[1. Identifiant interne d’exploitation agricole*]],CertifiedCrop[1. Identifiant interne d’exploitation agricole*],0)),FALSE,TRUE))</f>
        <v>1</v>
      </c>
      <c r="AE65" s="122" t="b">
        <f>IF(ISBLANK(GroupMember[[#This Row],[1. Identifiant interne d’exploitation agricole*]]),"",IF(ISERROR(MATCH(GroupMember[[#This Row],[1. Identifiant interne d’exploitation agricole*]],FarmUnit[1. Identifiant interne d’exploitation agricole*],0)),FALSE,TRUE))</f>
        <v>1</v>
      </c>
      <c r="AF65" s="9" t="str">
        <f t="shared" si="3"/>
        <v>N'GADA  TAGINEU APOLINAIRE</v>
      </c>
      <c r="AG65" s="243" t="str">
        <f t="shared" si="4"/>
        <v>14/7/2021</v>
      </c>
      <c r="AH65" s="51">
        <f>COUNTIFS(Z:Z,Z65,AG:AG,AG65)</f>
        <v>3</v>
      </c>
      <c r="AI65" s="49">
        <f t="shared" si="5"/>
        <v>0</v>
      </c>
    </row>
    <row r="66" spans="1:35" ht="15" x14ac:dyDescent="0.2">
      <c r="A66" s="145" t="s">
        <v>899</v>
      </c>
      <c r="B66" s="146" t="s">
        <v>668</v>
      </c>
      <c r="C66" s="145" t="s">
        <v>899</v>
      </c>
      <c r="D66" s="147" t="s">
        <v>669</v>
      </c>
      <c r="E66" s="146" t="s">
        <v>670</v>
      </c>
      <c r="F66" s="146" t="s">
        <v>671</v>
      </c>
      <c r="G66" s="146" t="s">
        <v>672</v>
      </c>
      <c r="H66" s="165">
        <v>4.84</v>
      </c>
      <c r="I66" s="146" t="s">
        <v>673</v>
      </c>
      <c r="J66" s="149">
        <v>2</v>
      </c>
      <c r="K66" s="150">
        <v>2021</v>
      </c>
      <c r="L66" s="159" t="s">
        <v>893</v>
      </c>
      <c r="M66" s="151" t="s">
        <v>900</v>
      </c>
      <c r="N66" s="164"/>
      <c r="O66" s="153"/>
      <c r="P66" s="154" t="s">
        <v>676</v>
      </c>
      <c r="Q66" s="297"/>
      <c r="R66" s="155">
        <v>4</v>
      </c>
      <c r="S66" s="146"/>
      <c r="T66" s="168"/>
      <c r="U66" s="146"/>
      <c r="V66" s="146"/>
      <c r="W66" s="146"/>
      <c r="X66" s="156">
        <v>0</v>
      </c>
      <c r="Y66" s="156">
        <v>0</v>
      </c>
      <c r="Z66" s="157" t="s">
        <v>677</v>
      </c>
      <c r="AA66" s="158">
        <v>2021</v>
      </c>
      <c r="AB66" s="158">
        <v>7</v>
      </c>
      <c r="AC66" s="158">
        <v>27</v>
      </c>
      <c r="AD66" s="122" t="b">
        <f>IF(ISBLANK(GroupMember[[#This Row],[1. Identifiant interne d’exploitation agricole*]]),"",IF(ISERROR(MATCH(GroupMember[[#This Row],[1. Identifiant interne d’exploitation agricole*]],CertifiedCrop[1. Identifiant interne d’exploitation agricole*],0)),FALSE,TRUE))</f>
        <v>1</v>
      </c>
      <c r="AE66" s="122" t="b">
        <f>IF(ISBLANK(GroupMember[[#This Row],[1. Identifiant interne d’exploitation agricole*]]),"",IF(ISERROR(MATCH(GroupMember[[#This Row],[1. Identifiant interne d’exploitation agricole*]],FarmUnit[1. Identifiant interne d’exploitation agricole*],0)),FALSE,TRUE))</f>
        <v>1</v>
      </c>
      <c r="AF66" s="9" t="str">
        <f t="shared" si="3"/>
        <v>DOMY  TOUAKESSEU ARSENE</v>
      </c>
      <c r="AG66" s="243" t="str">
        <f t="shared" si="4"/>
        <v>27/7/2021</v>
      </c>
      <c r="AH66" s="51">
        <f>COUNTIFS(Z:Z,Z66,AG:AG,AG66)</f>
        <v>5</v>
      </c>
      <c r="AI66" s="49">
        <f t="shared" si="5"/>
        <v>0</v>
      </c>
    </row>
    <row r="67" spans="1:35" ht="15" x14ac:dyDescent="0.2">
      <c r="A67" s="145" t="s">
        <v>901</v>
      </c>
      <c r="B67" s="146" t="s">
        <v>668</v>
      </c>
      <c r="C67" s="145" t="s">
        <v>901</v>
      </c>
      <c r="D67" s="147" t="s">
        <v>669</v>
      </c>
      <c r="E67" s="146" t="s">
        <v>670</v>
      </c>
      <c r="F67" s="146" t="s">
        <v>671</v>
      </c>
      <c r="G67" s="146" t="s">
        <v>672</v>
      </c>
      <c r="H67" s="148">
        <v>4</v>
      </c>
      <c r="I67" s="146" t="s">
        <v>673</v>
      </c>
      <c r="J67" s="149">
        <v>1</v>
      </c>
      <c r="K67" s="150">
        <v>2021</v>
      </c>
      <c r="L67" s="159" t="s">
        <v>893</v>
      </c>
      <c r="M67" s="151" t="s">
        <v>902</v>
      </c>
      <c r="N67" s="161"/>
      <c r="O67" s="153" t="s">
        <v>903</v>
      </c>
      <c r="P67" s="154" t="s">
        <v>676</v>
      </c>
      <c r="Q67" s="154">
        <v>1963</v>
      </c>
      <c r="R67" s="155">
        <v>6</v>
      </c>
      <c r="S67" s="146"/>
      <c r="T67" s="168"/>
      <c r="U67" s="146"/>
      <c r="V67" s="146"/>
      <c r="W67" s="146"/>
      <c r="X67" s="156">
        <v>0</v>
      </c>
      <c r="Y67" s="156">
        <v>0</v>
      </c>
      <c r="Z67" s="157" t="s">
        <v>677</v>
      </c>
      <c r="AA67" s="158">
        <v>2021</v>
      </c>
      <c r="AB67" s="158">
        <v>7</v>
      </c>
      <c r="AC67" s="158">
        <v>29</v>
      </c>
      <c r="AD67" s="122" t="b">
        <f>IF(ISBLANK(GroupMember[[#This Row],[1. Identifiant interne d’exploitation agricole*]]),"",IF(ISERROR(MATCH(GroupMember[[#This Row],[1. Identifiant interne d’exploitation agricole*]],CertifiedCrop[1. Identifiant interne d’exploitation agricole*],0)),FALSE,TRUE))</f>
        <v>1</v>
      </c>
      <c r="AE67" s="122" t="b">
        <f>IF(ISBLANK(GroupMember[[#This Row],[1. Identifiant interne d’exploitation agricole*]]),"",IF(ISERROR(MATCH(GroupMember[[#This Row],[1. Identifiant interne d’exploitation agricole*]],FarmUnit[1. Identifiant interne d’exploitation agricole*],0)),FALSE,TRUE))</f>
        <v>1</v>
      </c>
      <c r="AF67" s="9" t="str">
        <f t="shared" si="3"/>
        <v>DOMY  SOH ANDRE</v>
      </c>
      <c r="AG67" s="243" t="str">
        <f t="shared" si="4"/>
        <v>29/7/2021</v>
      </c>
      <c r="AH67" s="51">
        <f>COUNTIFS(Z:Z,Z67,AG:AG,AG67)</f>
        <v>2</v>
      </c>
      <c r="AI67" s="49">
        <f t="shared" si="5"/>
        <v>0</v>
      </c>
    </row>
    <row r="68" spans="1:35" ht="15" x14ac:dyDescent="0.2">
      <c r="A68" s="145" t="s">
        <v>904</v>
      </c>
      <c r="B68" s="146" t="s">
        <v>668</v>
      </c>
      <c r="C68" s="145" t="s">
        <v>904</v>
      </c>
      <c r="D68" s="147" t="s">
        <v>669</v>
      </c>
      <c r="E68" s="146" t="s">
        <v>670</v>
      </c>
      <c r="F68" s="146" t="s">
        <v>671</v>
      </c>
      <c r="G68" s="146" t="s">
        <v>672</v>
      </c>
      <c r="H68" s="148">
        <v>2</v>
      </c>
      <c r="I68" s="146" t="s">
        <v>673</v>
      </c>
      <c r="J68" s="149">
        <v>1</v>
      </c>
      <c r="K68" s="150">
        <v>2021</v>
      </c>
      <c r="L68" s="159" t="s">
        <v>893</v>
      </c>
      <c r="M68" s="169" t="s">
        <v>905</v>
      </c>
      <c r="N68" s="161" t="s">
        <v>906</v>
      </c>
      <c r="O68" s="153"/>
      <c r="P68" s="154" t="s">
        <v>676</v>
      </c>
      <c r="Q68" s="154"/>
      <c r="R68" s="155">
        <v>5</v>
      </c>
      <c r="S68" s="146"/>
      <c r="T68" s="168"/>
      <c r="U68" s="146"/>
      <c r="V68" s="146"/>
      <c r="W68" s="146"/>
      <c r="X68" s="156">
        <v>0</v>
      </c>
      <c r="Y68" s="156">
        <v>0</v>
      </c>
      <c r="Z68" s="157" t="s">
        <v>677</v>
      </c>
      <c r="AA68" s="158">
        <v>2021</v>
      </c>
      <c r="AB68" s="158">
        <v>8</v>
      </c>
      <c r="AC68" s="158">
        <v>3</v>
      </c>
      <c r="AD68" s="122" t="b">
        <f>IF(ISBLANK(GroupMember[[#This Row],[1. Identifiant interne d’exploitation agricole*]]),"",IF(ISERROR(MATCH(GroupMember[[#This Row],[1. Identifiant interne d’exploitation agricole*]],CertifiedCrop[1. Identifiant interne d’exploitation agricole*],0)),FALSE,TRUE))</f>
        <v>1</v>
      </c>
      <c r="AE68" s="122" t="b">
        <f>IF(ISBLANK(GroupMember[[#This Row],[1. Identifiant interne d’exploitation agricole*]]),"",IF(ISERROR(MATCH(GroupMember[[#This Row],[1. Identifiant interne d’exploitation agricole*]],FarmUnit[1. Identifiant interne d’exploitation agricole*],0)),FALSE,TRUE))</f>
        <v>1</v>
      </c>
      <c r="AF68" s="9" t="str">
        <f t="shared" si="3"/>
        <v>DOMY  NARCISSE</v>
      </c>
      <c r="AG68" s="243" t="str">
        <f t="shared" si="4"/>
        <v>3/8/2021</v>
      </c>
      <c r="AH68" s="51">
        <f>COUNTIFS(Z:Z,Z68,AG:AG,AG68)</f>
        <v>4</v>
      </c>
      <c r="AI68" s="49">
        <f t="shared" si="5"/>
        <v>0</v>
      </c>
    </row>
    <row r="69" spans="1:35" ht="15" x14ac:dyDescent="0.2">
      <c r="A69" s="145" t="s">
        <v>907</v>
      </c>
      <c r="B69" s="146" t="s">
        <v>668</v>
      </c>
      <c r="C69" s="145" t="s">
        <v>907</v>
      </c>
      <c r="D69" s="147" t="s">
        <v>669</v>
      </c>
      <c r="E69" s="146" t="s">
        <v>670</v>
      </c>
      <c r="F69" s="146" t="s">
        <v>671</v>
      </c>
      <c r="G69" s="146" t="s">
        <v>672</v>
      </c>
      <c r="H69" s="148">
        <v>1.5</v>
      </c>
      <c r="I69" s="146" t="s">
        <v>673</v>
      </c>
      <c r="J69" s="149">
        <v>1</v>
      </c>
      <c r="K69" s="150">
        <v>2021</v>
      </c>
      <c r="L69" s="159" t="s">
        <v>908</v>
      </c>
      <c r="M69" s="151" t="s">
        <v>909</v>
      </c>
      <c r="N69" s="161"/>
      <c r="O69" s="153"/>
      <c r="P69" s="154" t="s">
        <v>676</v>
      </c>
      <c r="Q69" s="154"/>
      <c r="R69" s="155">
        <v>7</v>
      </c>
      <c r="S69" s="146"/>
      <c r="T69" s="168"/>
      <c r="U69" s="146"/>
      <c r="V69" s="146"/>
      <c r="W69" s="146"/>
      <c r="X69" s="156">
        <v>0</v>
      </c>
      <c r="Y69" s="156">
        <v>0</v>
      </c>
      <c r="Z69" s="157" t="s">
        <v>677</v>
      </c>
      <c r="AA69" s="158">
        <v>2021</v>
      </c>
      <c r="AB69" s="158">
        <v>8</v>
      </c>
      <c r="AC69" s="158">
        <v>3</v>
      </c>
      <c r="AD69" s="122" t="b">
        <f>IF(ISBLANK(GroupMember[[#This Row],[1. Identifiant interne d’exploitation agricole*]]),"",IF(ISERROR(MATCH(GroupMember[[#This Row],[1. Identifiant interne d’exploitation agricole*]],CertifiedCrop[1. Identifiant interne d’exploitation agricole*],0)),FALSE,TRUE))</f>
        <v>1</v>
      </c>
      <c r="AE69" s="122" t="b">
        <f>IF(ISBLANK(GroupMember[[#This Row],[1. Identifiant interne d’exploitation agricole*]]),"",IF(ISERROR(MATCH(GroupMember[[#This Row],[1. Identifiant interne d’exploitation agricole*]],FarmUnit[1. Identifiant interne d’exploitation agricole*],0)),FALSE,TRUE))</f>
        <v>1</v>
      </c>
      <c r="AF69" s="9" t="str">
        <f t="shared" si="3"/>
        <v>GOMUN  KOUAKEU CHARLES</v>
      </c>
      <c r="AG69" s="243" t="str">
        <f t="shared" si="4"/>
        <v>3/8/2021</v>
      </c>
      <c r="AH69" s="51">
        <f>COUNTIFS(Z:Z,Z69,AG:AG,AG69)</f>
        <v>4</v>
      </c>
      <c r="AI69" s="49">
        <f t="shared" si="5"/>
        <v>0</v>
      </c>
    </row>
    <row r="70" spans="1:35" ht="15" x14ac:dyDescent="0.2">
      <c r="A70" s="145" t="s">
        <v>910</v>
      </c>
      <c r="B70" s="146" t="s">
        <v>668</v>
      </c>
      <c r="C70" s="145" t="s">
        <v>910</v>
      </c>
      <c r="D70" s="147" t="s">
        <v>669</v>
      </c>
      <c r="E70" s="146" t="s">
        <v>670</v>
      </c>
      <c r="F70" s="146" t="s">
        <v>671</v>
      </c>
      <c r="G70" s="146" t="s">
        <v>672</v>
      </c>
      <c r="H70" s="148">
        <v>1.01</v>
      </c>
      <c r="I70" s="146" t="s">
        <v>673</v>
      </c>
      <c r="J70" s="149">
        <v>1</v>
      </c>
      <c r="K70" s="150">
        <v>2021</v>
      </c>
      <c r="L70" s="159" t="s">
        <v>911</v>
      </c>
      <c r="M70" s="151" t="s">
        <v>912</v>
      </c>
      <c r="N70" s="161" t="s">
        <v>913</v>
      </c>
      <c r="O70" s="153"/>
      <c r="P70" s="154" t="s">
        <v>676</v>
      </c>
      <c r="Q70" s="154"/>
      <c r="R70" s="155">
        <v>5</v>
      </c>
      <c r="S70" s="146"/>
      <c r="T70" s="168"/>
      <c r="U70" s="146"/>
      <c r="V70" s="146"/>
      <c r="W70" s="146"/>
      <c r="X70" s="156">
        <v>0</v>
      </c>
      <c r="Y70" s="156">
        <v>0</v>
      </c>
      <c r="Z70" s="157" t="s">
        <v>677</v>
      </c>
      <c r="AA70" s="158">
        <v>2021</v>
      </c>
      <c r="AB70" s="158">
        <v>7</v>
      </c>
      <c r="AC70" s="158">
        <v>29</v>
      </c>
      <c r="AD70" s="122" t="b">
        <f>IF(ISBLANK(GroupMember[[#This Row],[1. Identifiant interne d’exploitation agricole*]]),"",IF(ISERROR(MATCH(GroupMember[[#This Row],[1. Identifiant interne d’exploitation agricole*]],CertifiedCrop[1. Identifiant interne d’exploitation agricole*],0)),FALSE,TRUE))</f>
        <v>1</v>
      </c>
      <c r="AE70" s="122" t="b">
        <f>IF(ISBLANK(GroupMember[[#This Row],[1. Identifiant interne d’exploitation agricole*]]),"",IF(ISERROR(MATCH(GroupMember[[#This Row],[1. Identifiant interne d’exploitation agricole*]],FarmUnit[1. Identifiant interne d’exploitation agricole*],0)),FALSE,TRUE))</f>
        <v>1</v>
      </c>
      <c r="AF70" s="9" t="str">
        <f t="shared" si="3"/>
        <v>SINSIN  SERGE</v>
      </c>
      <c r="AG70" s="243" t="str">
        <f t="shared" si="4"/>
        <v>29/7/2021</v>
      </c>
      <c r="AH70" s="51">
        <f>COUNTIFS(Z:Z,Z70,AG:AG,AG70)</f>
        <v>2</v>
      </c>
      <c r="AI70" s="49">
        <f t="shared" si="5"/>
        <v>0</v>
      </c>
    </row>
    <row r="71" spans="1:35" ht="15" x14ac:dyDescent="0.2">
      <c r="A71" s="145" t="s">
        <v>914</v>
      </c>
      <c r="B71" s="146" t="s">
        <v>668</v>
      </c>
      <c r="C71" s="145" t="s">
        <v>914</v>
      </c>
      <c r="D71" s="147" t="s">
        <v>669</v>
      </c>
      <c r="E71" s="146" t="s">
        <v>670</v>
      </c>
      <c r="F71" s="146" t="s">
        <v>671</v>
      </c>
      <c r="G71" s="146" t="s">
        <v>672</v>
      </c>
      <c r="H71" s="148">
        <v>1.5</v>
      </c>
      <c r="I71" s="146" t="s">
        <v>673</v>
      </c>
      <c r="J71" s="149">
        <v>1</v>
      </c>
      <c r="K71" s="150">
        <v>2021</v>
      </c>
      <c r="L71" s="159" t="s">
        <v>915</v>
      </c>
      <c r="M71" s="151" t="s">
        <v>916</v>
      </c>
      <c r="N71" s="161"/>
      <c r="O71" s="153"/>
      <c r="P71" s="154" t="s">
        <v>676</v>
      </c>
      <c r="Q71" s="154"/>
      <c r="R71" s="155">
        <v>6</v>
      </c>
      <c r="S71" s="146"/>
      <c r="T71" s="168"/>
      <c r="U71" s="146"/>
      <c r="V71" s="146"/>
      <c r="W71" s="146"/>
      <c r="X71" s="156">
        <v>0</v>
      </c>
      <c r="Y71" s="156">
        <v>0</v>
      </c>
      <c r="Z71" s="157" t="s">
        <v>677</v>
      </c>
      <c r="AA71" s="158">
        <v>2021</v>
      </c>
      <c r="AB71" s="158">
        <v>7</v>
      </c>
      <c r="AC71" s="158">
        <v>14</v>
      </c>
      <c r="AD71" s="122" t="b">
        <f>IF(ISBLANK(GroupMember[[#This Row],[1. Identifiant interne d’exploitation agricole*]]),"",IF(ISERROR(MATCH(GroupMember[[#This Row],[1. Identifiant interne d’exploitation agricole*]],CertifiedCrop[1. Identifiant interne d’exploitation agricole*],0)),FALSE,TRUE))</f>
        <v>1</v>
      </c>
      <c r="AE71" s="122" t="b">
        <f>IF(ISBLANK(GroupMember[[#This Row],[1. Identifiant interne d’exploitation agricole*]]),"",IF(ISERROR(MATCH(GroupMember[[#This Row],[1. Identifiant interne d’exploitation agricole*]],FarmUnit[1. Identifiant interne d’exploitation agricole*],0)),FALSE,TRUE))</f>
        <v>1</v>
      </c>
      <c r="AF71" s="9" t="str">
        <f t="shared" si="3"/>
        <v>MANHAN MONHO FREDERIC</v>
      </c>
      <c r="AG71" s="243" t="str">
        <f t="shared" si="4"/>
        <v>14/7/2021</v>
      </c>
      <c r="AH71" s="51">
        <f>COUNTIFS(Z:Z,Z71,AG:AG,AG71)</f>
        <v>3</v>
      </c>
      <c r="AI71" s="49">
        <f t="shared" si="5"/>
        <v>0</v>
      </c>
    </row>
    <row r="72" spans="1:35" ht="15" x14ac:dyDescent="0.2">
      <c r="A72" s="145" t="s">
        <v>917</v>
      </c>
      <c r="B72" s="146" t="s">
        <v>668</v>
      </c>
      <c r="C72" s="145" t="s">
        <v>917</v>
      </c>
      <c r="D72" s="147" t="s">
        <v>669</v>
      </c>
      <c r="E72" s="146" t="s">
        <v>670</v>
      </c>
      <c r="F72" s="146" t="s">
        <v>671</v>
      </c>
      <c r="G72" s="146" t="s">
        <v>672</v>
      </c>
      <c r="H72" s="148">
        <v>1.53</v>
      </c>
      <c r="I72" s="146" t="s">
        <v>673</v>
      </c>
      <c r="J72" s="149">
        <v>1</v>
      </c>
      <c r="K72" s="150">
        <v>2021</v>
      </c>
      <c r="L72" s="159" t="s">
        <v>918</v>
      </c>
      <c r="M72" s="151" t="s">
        <v>919</v>
      </c>
      <c r="N72" s="161" t="s">
        <v>920</v>
      </c>
      <c r="O72" s="153"/>
      <c r="P72" s="154" t="s">
        <v>676</v>
      </c>
      <c r="Q72" s="154"/>
      <c r="R72" s="155">
        <v>4</v>
      </c>
      <c r="S72" s="146"/>
      <c r="T72" s="168"/>
      <c r="U72" s="146"/>
      <c r="V72" s="146"/>
      <c r="W72" s="146"/>
      <c r="X72" s="156">
        <v>0</v>
      </c>
      <c r="Y72" s="156">
        <v>0</v>
      </c>
      <c r="Z72" s="157" t="s">
        <v>677</v>
      </c>
      <c r="AA72" s="158">
        <v>2021</v>
      </c>
      <c r="AB72" s="158">
        <v>8</v>
      </c>
      <c r="AC72" s="158">
        <v>3</v>
      </c>
      <c r="AD72" s="122" t="b">
        <f>IF(ISBLANK(GroupMember[[#This Row],[1. Identifiant interne d’exploitation agricole*]]),"",IF(ISERROR(MATCH(GroupMember[[#This Row],[1. Identifiant interne d’exploitation agricole*]],CertifiedCrop[1. Identifiant interne d’exploitation agricole*],0)),FALSE,TRUE))</f>
        <v>1</v>
      </c>
      <c r="AE72" s="122" t="b">
        <f>IF(ISBLANK(GroupMember[[#This Row],[1. Identifiant interne d’exploitation agricole*]]),"",IF(ISERROR(MATCH(GroupMember[[#This Row],[1. Identifiant interne d’exploitation agricole*]],FarmUnit[1. Identifiant interne d’exploitation agricole*],0)),FALSE,TRUE))</f>
        <v>1</v>
      </c>
      <c r="AF72" s="9" t="str">
        <f t="shared" si="3"/>
        <v>GOUE  IRENE</v>
      </c>
      <c r="AG72" s="243" t="str">
        <f t="shared" si="4"/>
        <v>3/8/2021</v>
      </c>
      <c r="AH72" s="51">
        <f>COUNTIFS(Z:Z,Z72,AG:AG,AG72)</f>
        <v>4</v>
      </c>
      <c r="AI72" s="49">
        <f t="shared" si="5"/>
        <v>0</v>
      </c>
    </row>
    <row r="73" spans="1:35" ht="15" x14ac:dyDescent="0.2">
      <c r="A73" s="145" t="s">
        <v>921</v>
      </c>
      <c r="B73" s="146" t="s">
        <v>668</v>
      </c>
      <c r="C73" s="145" t="s">
        <v>921</v>
      </c>
      <c r="D73" s="147" t="s">
        <v>669</v>
      </c>
      <c r="E73" s="146" t="s">
        <v>670</v>
      </c>
      <c r="F73" s="146" t="s">
        <v>671</v>
      </c>
      <c r="G73" s="146" t="s">
        <v>672</v>
      </c>
      <c r="H73" s="148">
        <v>1.5</v>
      </c>
      <c r="I73" s="146" t="s">
        <v>673</v>
      </c>
      <c r="J73" s="149">
        <v>1</v>
      </c>
      <c r="K73" s="150">
        <v>2021</v>
      </c>
      <c r="L73" s="159" t="s">
        <v>922</v>
      </c>
      <c r="M73" s="151" t="s">
        <v>923</v>
      </c>
      <c r="N73" s="161"/>
      <c r="O73" s="153"/>
      <c r="P73" s="154" t="s">
        <v>676</v>
      </c>
      <c r="Q73" s="154"/>
      <c r="R73" s="155">
        <v>5</v>
      </c>
      <c r="S73" s="146"/>
      <c r="T73" s="168"/>
      <c r="U73" s="146"/>
      <c r="V73" s="146"/>
      <c r="W73" s="146"/>
      <c r="X73" s="156">
        <v>0</v>
      </c>
      <c r="Y73" s="156">
        <v>0</v>
      </c>
      <c r="Z73" s="157" t="s">
        <v>677</v>
      </c>
      <c r="AA73" s="158">
        <v>2021</v>
      </c>
      <c r="AB73" s="158">
        <v>7</v>
      </c>
      <c r="AC73" s="158">
        <v>31</v>
      </c>
      <c r="AD73" s="122" t="b">
        <f>IF(ISBLANK(GroupMember[[#This Row],[1. Identifiant interne d’exploitation agricole*]]),"",IF(ISERROR(MATCH(GroupMember[[#This Row],[1. Identifiant interne d’exploitation agricole*]],CertifiedCrop[1. Identifiant interne d’exploitation agricole*],0)),FALSE,TRUE))</f>
        <v>1</v>
      </c>
      <c r="AE73" s="122" t="b">
        <f>IF(ISBLANK(GroupMember[[#This Row],[1. Identifiant interne d’exploitation agricole*]]),"",IF(ISERROR(MATCH(GroupMember[[#This Row],[1. Identifiant interne d’exploitation agricole*]],FarmUnit[1. Identifiant interne d’exploitation agricole*],0)),FALSE,TRUE))</f>
        <v>1</v>
      </c>
      <c r="AF73" s="9" t="str">
        <f t="shared" si="3"/>
        <v>DEMY  YEHI ELIE</v>
      </c>
      <c r="AG73" s="243" t="str">
        <f t="shared" si="4"/>
        <v>31/7/2021</v>
      </c>
      <c r="AH73" s="51">
        <f>COUNTIFS(Z:Z,Z73,AG:AG,AG73)</f>
        <v>5</v>
      </c>
      <c r="AI73" s="49">
        <f t="shared" si="5"/>
        <v>0</v>
      </c>
    </row>
    <row r="74" spans="1:35" ht="15" x14ac:dyDescent="0.2">
      <c r="A74" s="145" t="s">
        <v>924</v>
      </c>
      <c r="B74" s="146" t="s">
        <v>668</v>
      </c>
      <c r="C74" s="145" t="s">
        <v>924</v>
      </c>
      <c r="D74" s="147" t="s">
        <v>669</v>
      </c>
      <c r="E74" s="146" t="s">
        <v>670</v>
      </c>
      <c r="F74" s="146" t="s">
        <v>671</v>
      </c>
      <c r="G74" s="146" t="s">
        <v>672</v>
      </c>
      <c r="H74" s="166">
        <v>1.78</v>
      </c>
      <c r="I74" s="146" t="s">
        <v>673</v>
      </c>
      <c r="J74" s="149">
        <v>2</v>
      </c>
      <c r="K74" s="150">
        <v>2021</v>
      </c>
      <c r="L74" s="151" t="s">
        <v>925</v>
      </c>
      <c r="M74" s="151" t="s">
        <v>926</v>
      </c>
      <c r="N74" s="164"/>
      <c r="O74" s="217" t="s">
        <v>3438</v>
      </c>
      <c r="P74" s="154" t="s">
        <v>676</v>
      </c>
      <c r="Q74" s="154">
        <v>1966</v>
      </c>
      <c r="R74" s="155">
        <v>6</v>
      </c>
      <c r="S74" s="146"/>
      <c r="T74" s="168"/>
      <c r="U74" s="146"/>
      <c r="V74" s="146"/>
      <c r="W74" s="146"/>
      <c r="X74" s="156">
        <v>0</v>
      </c>
      <c r="Y74" s="156">
        <v>0</v>
      </c>
      <c r="Z74" s="157" t="s">
        <v>677</v>
      </c>
      <c r="AA74" s="158">
        <v>2021</v>
      </c>
      <c r="AB74" s="158">
        <v>8</v>
      </c>
      <c r="AC74" s="158">
        <v>4</v>
      </c>
      <c r="AD74" s="122" t="b">
        <f>IF(ISBLANK(GroupMember[[#This Row],[1. Identifiant interne d’exploitation agricole*]]),"",IF(ISERROR(MATCH(GroupMember[[#This Row],[1. Identifiant interne d’exploitation agricole*]],CertifiedCrop[1. Identifiant interne d’exploitation agricole*],0)),FALSE,TRUE))</f>
        <v>1</v>
      </c>
      <c r="AE74" s="122" t="b">
        <f>IF(ISBLANK(GroupMember[[#This Row],[1. Identifiant interne d’exploitation agricole*]]),"",IF(ISERROR(MATCH(GroupMember[[#This Row],[1. Identifiant interne d’exploitation agricole*]],FarmUnit[1. Identifiant interne d’exploitation agricole*],0)),FALSE,TRUE))</f>
        <v>1</v>
      </c>
      <c r="AF74" s="9" t="str">
        <f t="shared" si="3"/>
        <v>KPAN  OPEUMIEU CHARLES</v>
      </c>
      <c r="AG74" s="243" t="str">
        <f t="shared" si="4"/>
        <v>4/8/2021</v>
      </c>
      <c r="AH74" s="51">
        <f>COUNTIFS(Z:Z,Z74,AG:AG,AG74)</f>
        <v>4</v>
      </c>
      <c r="AI74" s="49">
        <f t="shared" si="5"/>
        <v>0</v>
      </c>
    </row>
    <row r="75" spans="1:35" ht="17.25" x14ac:dyDescent="0.2">
      <c r="A75" s="145" t="s">
        <v>927</v>
      </c>
      <c r="B75" s="146" t="s">
        <v>668</v>
      </c>
      <c r="C75" s="145" t="s">
        <v>927</v>
      </c>
      <c r="D75" s="147" t="s">
        <v>669</v>
      </c>
      <c r="E75" s="146" t="s">
        <v>670</v>
      </c>
      <c r="F75" s="146" t="s">
        <v>671</v>
      </c>
      <c r="G75" s="146" t="s">
        <v>672</v>
      </c>
      <c r="H75" s="148">
        <v>2</v>
      </c>
      <c r="I75" s="146" t="s">
        <v>673</v>
      </c>
      <c r="J75" s="149">
        <v>1</v>
      </c>
      <c r="K75" s="150">
        <v>2021</v>
      </c>
      <c r="L75" s="151" t="s">
        <v>928</v>
      </c>
      <c r="M75" s="151" t="s">
        <v>929</v>
      </c>
      <c r="N75" s="161" t="s">
        <v>930</v>
      </c>
      <c r="O75" s="217" t="s">
        <v>3439</v>
      </c>
      <c r="P75" s="154" t="s">
        <v>676</v>
      </c>
      <c r="Q75" s="154">
        <v>1985</v>
      </c>
      <c r="R75" s="155">
        <v>4</v>
      </c>
      <c r="S75" s="146"/>
      <c r="T75" s="168"/>
      <c r="U75" s="146"/>
      <c r="V75" s="146"/>
      <c r="W75" s="146"/>
      <c r="X75" s="156">
        <v>0</v>
      </c>
      <c r="Y75" s="156">
        <v>0</v>
      </c>
      <c r="Z75" s="157" t="s">
        <v>677</v>
      </c>
      <c r="AA75" s="158">
        <v>2021</v>
      </c>
      <c r="AB75" s="158">
        <v>8</v>
      </c>
      <c r="AC75" s="158">
        <v>4</v>
      </c>
      <c r="AD75" s="122" t="b">
        <f>IF(ISBLANK(GroupMember[[#This Row],[1. Identifiant interne d’exploitation agricole*]]),"",IF(ISERROR(MATCH(GroupMember[[#This Row],[1. Identifiant interne d’exploitation agricole*]],CertifiedCrop[1. Identifiant interne d’exploitation agricole*],0)),FALSE,TRUE))</f>
        <v>1</v>
      </c>
      <c r="AE75" s="122" t="b">
        <f>IF(ISBLANK(GroupMember[[#This Row],[1. Identifiant interne d’exploitation agricole*]]),"",IF(ISERROR(MATCH(GroupMember[[#This Row],[1. Identifiant interne d’exploitation agricole*]],FarmUnit[1. Identifiant interne d’exploitation agricole*],0)),FALSE,TRUE))</f>
        <v>1</v>
      </c>
      <c r="AF75" s="9" t="str">
        <f t="shared" si="3"/>
        <v>WAKEULE  NARCICSSE</v>
      </c>
      <c r="AG75" s="243" t="str">
        <f t="shared" si="4"/>
        <v>4/8/2021</v>
      </c>
      <c r="AH75" s="51">
        <f>COUNTIFS(Z:Z,Z75,AG:AG,AG75)</f>
        <v>4</v>
      </c>
      <c r="AI75" s="49">
        <f t="shared" si="5"/>
        <v>0</v>
      </c>
    </row>
    <row r="76" spans="1:35" ht="15" x14ac:dyDescent="0.2">
      <c r="A76" s="145" t="s">
        <v>931</v>
      </c>
      <c r="B76" s="146" t="s">
        <v>668</v>
      </c>
      <c r="C76" s="145" t="s">
        <v>931</v>
      </c>
      <c r="D76" s="147" t="s">
        <v>669</v>
      </c>
      <c r="E76" s="146" t="s">
        <v>670</v>
      </c>
      <c r="F76" s="146" t="s">
        <v>671</v>
      </c>
      <c r="G76" s="146" t="s">
        <v>672</v>
      </c>
      <c r="H76" s="148">
        <v>3.74</v>
      </c>
      <c r="I76" s="146" t="s">
        <v>673</v>
      </c>
      <c r="J76" s="149">
        <v>2</v>
      </c>
      <c r="K76" s="150">
        <v>2021</v>
      </c>
      <c r="L76" s="151" t="s">
        <v>922</v>
      </c>
      <c r="M76" s="151" t="s">
        <v>932</v>
      </c>
      <c r="N76" s="161"/>
      <c r="O76" s="153" t="s">
        <v>933</v>
      </c>
      <c r="P76" s="154" t="s">
        <v>676</v>
      </c>
      <c r="Q76" s="154">
        <v>1967</v>
      </c>
      <c r="R76" s="155">
        <v>6</v>
      </c>
      <c r="S76" s="146"/>
      <c r="T76" s="168"/>
      <c r="U76" s="146"/>
      <c r="V76" s="146"/>
      <c r="W76" s="146"/>
      <c r="X76" s="156">
        <v>0</v>
      </c>
      <c r="Y76" s="156">
        <v>0</v>
      </c>
      <c r="Z76" s="157" t="s">
        <v>677</v>
      </c>
      <c r="AA76" s="158">
        <v>2021</v>
      </c>
      <c r="AB76" s="158">
        <v>7</v>
      </c>
      <c r="AC76" s="158">
        <v>31</v>
      </c>
      <c r="AD76" s="122" t="b">
        <f>IF(ISBLANK(GroupMember[[#This Row],[1. Identifiant interne d’exploitation agricole*]]),"",IF(ISERROR(MATCH(GroupMember[[#This Row],[1. Identifiant interne d’exploitation agricole*]],CertifiedCrop[1. Identifiant interne d’exploitation agricole*],0)),FALSE,TRUE))</f>
        <v>1</v>
      </c>
      <c r="AE76" s="122" t="b">
        <f>IF(ISBLANK(GroupMember[[#This Row],[1. Identifiant interne d’exploitation agricole*]]),"",IF(ISERROR(MATCH(GroupMember[[#This Row],[1. Identifiant interne d’exploitation agricole*]],FarmUnit[1. Identifiant interne d’exploitation agricole*],0)),FALSE,TRUE))</f>
        <v>1</v>
      </c>
      <c r="AF76" s="9" t="str">
        <f t="shared" si="3"/>
        <v>DEMY BORIS</v>
      </c>
      <c r="AG76" s="243" t="str">
        <f t="shared" si="4"/>
        <v>31/7/2021</v>
      </c>
      <c r="AH76" s="51">
        <f>COUNTIFS(Z:Z,Z76,AG:AG,AG76)</f>
        <v>5</v>
      </c>
      <c r="AI76" s="49">
        <f t="shared" si="5"/>
        <v>0</v>
      </c>
    </row>
    <row r="77" spans="1:35" ht="17.25" x14ac:dyDescent="0.2">
      <c r="A77" s="145" t="s">
        <v>934</v>
      </c>
      <c r="B77" s="146" t="s">
        <v>668</v>
      </c>
      <c r="C77" s="145" t="s">
        <v>934</v>
      </c>
      <c r="D77" s="147" t="s">
        <v>669</v>
      </c>
      <c r="E77" s="146" t="s">
        <v>670</v>
      </c>
      <c r="F77" s="146" t="s">
        <v>671</v>
      </c>
      <c r="G77" s="146" t="s">
        <v>672</v>
      </c>
      <c r="H77" s="148">
        <v>1.88</v>
      </c>
      <c r="I77" s="146" t="s">
        <v>673</v>
      </c>
      <c r="J77" s="149">
        <v>1</v>
      </c>
      <c r="K77" s="150">
        <v>2021</v>
      </c>
      <c r="L77" s="159" t="s">
        <v>935</v>
      </c>
      <c r="M77" s="151" t="s">
        <v>936</v>
      </c>
      <c r="N77" s="161" t="s">
        <v>937</v>
      </c>
      <c r="O77" s="153"/>
      <c r="P77" s="154" t="s">
        <v>676</v>
      </c>
      <c r="Q77" s="154"/>
      <c r="R77" s="155">
        <v>5</v>
      </c>
      <c r="S77" s="146"/>
      <c r="T77" s="168"/>
      <c r="U77" s="146"/>
      <c r="V77" s="146"/>
      <c r="W77" s="146"/>
      <c r="X77" s="156">
        <v>0</v>
      </c>
      <c r="Y77" s="156">
        <v>0</v>
      </c>
      <c r="Z77" s="157" t="s">
        <v>677</v>
      </c>
      <c r="AA77" s="158">
        <v>2021</v>
      </c>
      <c r="AB77" s="158">
        <v>7</v>
      </c>
      <c r="AC77" s="158">
        <v>14</v>
      </c>
      <c r="AD77" s="122" t="b">
        <f>IF(ISBLANK(GroupMember[[#This Row],[1. Identifiant interne d’exploitation agricole*]]),"",IF(ISERROR(MATCH(GroupMember[[#This Row],[1. Identifiant interne d’exploitation agricole*]],CertifiedCrop[1. Identifiant interne d’exploitation agricole*],0)),FALSE,TRUE))</f>
        <v>1</v>
      </c>
      <c r="AE77" s="122" t="b">
        <f>IF(ISBLANK(GroupMember[[#This Row],[1. Identifiant interne d’exploitation agricole*]]),"",IF(ISERROR(MATCH(GroupMember[[#This Row],[1. Identifiant interne d’exploitation agricole*]],FarmUnit[1. Identifiant interne d’exploitation agricole*],0)),FALSE,TRUE))</f>
        <v>1</v>
      </c>
      <c r="AF77" s="9" t="str">
        <f t="shared" si="3"/>
        <v>GOUAN  NOU AUGUSTIN</v>
      </c>
      <c r="AG77" s="243" t="str">
        <f t="shared" si="4"/>
        <v>14/7/2021</v>
      </c>
      <c r="AH77" s="51">
        <f>COUNTIFS(Z:Z,Z77,AG:AG,AG77)</f>
        <v>3</v>
      </c>
      <c r="AI77" s="49">
        <f t="shared" si="5"/>
        <v>0</v>
      </c>
    </row>
    <row r="78" spans="1:35" ht="15" x14ac:dyDescent="0.2">
      <c r="A78" s="145" t="s">
        <v>938</v>
      </c>
      <c r="B78" s="146" t="s">
        <v>668</v>
      </c>
      <c r="C78" s="145" t="s">
        <v>938</v>
      </c>
      <c r="D78" s="147" t="s">
        <v>669</v>
      </c>
      <c r="E78" s="146" t="s">
        <v>670</v>
      </c>
      <c r="F78" s="146" t="s">
        <v>671</v>
      </c>
      <c r="G78" s="146" t="s">
        <v>672</v>
      </c>
      <c r="H78" s="148">
        <v>5</v>
      </c>
      <c r="I78" s="146" t="s">
        <v>673</v>
      </c>
      <c r="J78" s="149">
        <v>2</v>
      </c>
      <c r="K78" s="150">
        <v>2021</v>
      </c>
      <c r="L78" s="159" t="s">
        <v>939</v>
      </c>
      <c r="M78" s="151" t="s">
        <v>825</v>
      </c>
      <c r="N78" s="170"/>
      <c r="O78" s="153"/>
      <c r="P78" s="154" t="s">
        <v>676</v>
      </c>
      <c r="Q78" s="154"/>
      <c r="R78" s="155">
        <v>8</v>
      </c>
      <c r="S78" s="146"/>
      <c r="T78" s="168"/>
      <c r="U78" s="146"/>
      <c r="V78" s="146"/>
      <c r="W78" s="146"/>
      <c r="X78" s="156">
        <v>0</v>
      </c>
      <c r="Y78" s="156">
        <v>0</v>
      </c>
      <c r="Z78" s="157" t="s">
        <v>677</v>
      </c>
      <c r="AA78" s="158">
        <v>2021</v>
      </c>
      <c r="AB78" s="158">
        <v>7</v>
      </c>
      <c r="AC78" s="158">
        <v>24</v>
      </c>
      <c r="AD78" s="122" t="b">
        <f>IF(ISBLANK(GroupMember[[#This Row],[1. Identifiant interne d’exploitation agricole*]]),"",IF(ISERROR(MATCH(GroupMember[[#This Row],[1. Identifiant interne d’exploitation agricole*]],CertifiedCrop[1. Identifiant interne d’exploitation agricole*],0)),FALSE,TRUE))</f>
        <v>1</v>
      </c>
      <c r="AE78" s="122" t="b">
        <f>IF(ISBLANK(GroupMember[[#This Row],[1. Identifiant interne d’exploitation agricole*]]),"",IF(ISERROR(MATCH(GroupMember[[#This Row],[1. Identifiant interne d’exploitation agricole*]],FarmUnit[1. Identifiant interne d’exploitation agricole*],0)),FALSE,TRUE))</f>
        <v>1</v>
      </c>
      <c r="AF78" s="9" t="str">
        <f t="shared" si="3"/>
        <v>SANOGO  MAMADOU</v>
      </c>
      <c r="AG78" s="243" t="str">
        <f t="shared" si="4"/>
        <v>24/7/2021</v>
      </c>
      <c r="AH78" s="51">
        <f>COUNTIFS(Z:Z,Z78,AG:AG,AG78)</f>
        <v>4</v>
      </c>
      <c r="AI78" s="49">
        <f t="shared" si="5"/>
        <v>0</v>
      </c>
    </row>
    <row r="79" spans="1:35" ht="15" x14ac:dyDescent="0.2">
      <c r="A79" s="145" t="s">
        <v>940</v>
      </c>
      <c r="B79" s="146" t="s">
        <v>668</v>
      </c>
      <c r="C79" s="145" t="s">
        <v>940</v>
      </c>
      <c r="D79" s="147" t="s">
        <v>669</v>
      </c>
      <c r="E79" s="146" t="s">
        <v>670</v>
      </c>
      <c r="F79" s="146" t="s">
        <v>671</v>
      </c>
      <c r="G79" s="146" t="s">
        <v>672</v>
      </c>
      <c r="H79" s="148">
        <v>3</v>
      </c>
      <c r="I79" s="146" t="s">
        <v>673</v>
      </c>
      <c r="J79" s="149">
        <v>2</v>
      </c>
      <c r="K79" s="150">
        <v>2021</v>
      </c>
      <c r="L79" s="159" t="s">
        <v>922</v>
      </c>
      <c r="M79" s="151" t="s">
        <v>941</v>
      </c>
      <c r="N79" s="161" t="s">
        <v>942</v>
      </c>
      <c r="O79" s="153" t="s">
        <v>943</v>
      </c>
      <c r="P79" s="154" t="s">
        <v>676</v>
      </c>
      <c r="Q79" s="154">
        <v>1965</v>
      </c>
      <c r="R79" s="155">
        <v>7</v>
      </c>
      <c r="S79" s="146"/>
      <c r="T79" s="168"/>
      <c r="U79" s="146"/>
      <c r="V79" s="146"/>
      <c r="W79" s="146"/>
      <c r="X79" s="156">
        <v>0</v>
      </c>
      <c r="Y79" s="156">
        <v>0</v>
      </c>
      <c r="Z79" s="157" t="s">
        <v>677</v>
      </c>
      <c r="AA79" s="158">
        <v>2021</v>
      </c>
      <c r="AB79" s="158">
        <v>7</v>
      </c>
      <c r="AC79" s="158">
        <v>5</v>
      </c>
      <c r="AD79" s="122" t="b">
        <f>IF(ISBLANK(GroupMember[[#This Row],[1. Identifiant interne d’exploitation agricole*]]),"",IF(ISERROR(MATCH(GroupMember[[#This Row],[1. Identifiant interne d’exploitation agricole*]],CertifiedCrop[1. Identifiant interne d’exploitation agricole*],0)),FALSE,TRUE))</f>
        <v>1</v>
      </c>
      <c r="AE79" s="122" t="b">
        <f>IF(ISBLANK(GroupMember[[#This Row],[1. Identifiant interne d’exploitation agricole*]]),"",IF(ISERROR(MATCH(GroupMember[[#This Row],[1. Identifiant interne d’exploitation agricole*]],FarmUnit[1. Identifiant interne d’exploitation agricole*],0)),FALSE,TRUE))</f>
        <v>1</v>
      </c>
      <c r="AF79" s="9" t="str">
        <f t="shared" si="3"/>
        <v>DEMY  KOYA PAUL</v>
      </c>
      <c r="AG79" s="243" t="str">
        <f t="shared" si="4"/>
        <v>5/7/2021</v>
      </c>
      <c r="AH79" s="51">
        <f>COUNTIFS(Z:Z,Z79,AG:AG,AG79)</f>
        <v>4</v>
      </c>
      <c r="AI79" s="49">
        <f t="shared" si="5"/>
        <v>0</v>
      </c>
    </row>
    <row r="80" spans="1:35" ht="17.25" x14ac:dyDescent="0.2">
      <c r="A80" s="145" t="s">
        <v>944</v>
      </c>
      <c r="B80" s="146" t="s">
        <v>668</v>
      </c>
      <c r="C80" s="145" t="s">
        <v>944</v>
      </c>
      <c r="D80" s="147" t="s">
        <v>669</v>
      </c>
      <c r="E80" s="146" t="s">
        <v>670</v>
      </c>
      <c r="F80" s="146" t="s">
        <v>671</v>
      </c>
      <c r="G80" s="146" t="s">
        <v>672</v>
      </c>
      <c r="H80" s="148">
        <v>6.31</v>
      </c>
      <c r="I80" s="146" t="s">
        <v>673</v>
      </c>
      <c r="J80" s="149">
        <v>1</v>
      </c>
      <c r="K80" s="150">
        <v>2021</v>
      </c>
      <c r="L80" s="159" t="s">
        <v>803</v>
      </c>
      <c r="M80" s="151" t="s">
        <v>945</v>
      </c>
      <c r="N80" s="161" t="s">
        <v>946</v>
      </c>
      <c r="O80" s="153"/>
      <c r="P80" s="154" t="s">
        <v>751</v>
      </c>
      <c r="Q80" s="154"/>
      <c r="R80" s="155">
        <v>5</v>
      </c>
      <c r="S80" s="146"/>
      <c r="T80" s="168"/>
      <c r="U80" s="146"/>
      <c r="V80" s="146"/>
      <c r="W80" s="146"/>
      <c r="X80" s="156">
        <v>0</v>
      </c>
      <c r="Y80" s="156">
        <v>0</v>
      </c>
      <c r="Z80" s="157" t="s">
        <v>677</v>
      </c>
      <c r="AA80" s="158">
        <v>2021</v>
      </c>
      <c r="AB80" s="158">
        <v>7</v>
      </c>
      <c r="AC80" s="158">
        <v>31</v>
      </c>
      <c r="AD80" s="122" t="b">
        <f>IF(ISBLANK(GroupMember[[#This Row],[1. Identifiant interne d’exploitation agricole*]]),"",IF(ISERROR(MATCH(GroupMember[[#This Row],[1. Identifiant interne d’exploitation agricole*]],CertifiedCrop[1. Identifiant interne d’exploitation agricole*],0)),FALSE,TRUE))</f>
        <v>1</v>
      </c>
      <c r="AE80" s="122" t="b">
        <f>IF(ISBLANK(GroupMember[[#This Row],[1. Identifiant interne d’exploitation agricole*]]),"",IF(ISERROR(MATCH(GroupMember[[#This Row],[1. Identifiant interne d’exploitation agricole*]],FarmUnit[1. Identifiant interne d’exploitation agricole*],0)),FALSE,TRUE))</f>
        <v>1</v>
      </c>
      <c r="AF80" s="9" t="str">
        <f t="shared" si="3"/>
        <v>GUEU  MUNLE DELPHINE</v>
      </c>
      <c r="AG80" s="243" t="str">
        <f t="shared" si="4"/>
        <v>31/7/2021</v>
      </c>
      <c r="AH80" s="51">
        <f>COUNTIFS(Z:Z,Z80,AG:AG,AG80)</f>
        <v>5</v>
      </c>
      <c r="AI80" s="49">
        <f t="shared" si="5"/>
        <v>0</v>
      </c>
    </row>
    <row r="81" spans="1:35" ht="15" x14ac:dyDescent="0.2">
      <c r="A81" s="145" t="s">
        <v>947</v>
      </c>
      <c r="B81" s="146" t="s">
        <v>668</v>
      </c>
      <c r="C81" s="145" t="s">
        <v>947</v>
      </c>
      <c r="D81" s="147" t="s">
        <v>669</v>
      </c>
      <c r="E81" s="146" t="s">
        <v>670</v>
      </c>
      <c r="F81" s="146" t="s">
        <v>671</v>
      </c>
      <c r="G81" s="146" t="s">
        <v>672</v>
      </c>
      <c r="H81" s="148">
        <v>8</v>
      </c>
      <c r="I81" s="146" t="s">
        <v>673</v>
      </c>
      <c r="J81" s="149">
        <v>3</v>
      </c>
      <c r="K81" s="150">
        <v>2021</v>
      </c>
      <c r="L81" s="151" t="s">
        <v>948</v>
      </c>
      <c r="M81" s="151" t="s">
        <v>949</v>
      </c>
      <c r="N81" s="161"/>
      <c r="O81" s="153"/>
      <c r="P81" s="154" t="s">
        <v>676</v>
      </c>
      <c r="Q81" s="154"/>
      <c r="R81" s="155">
        <v>8</v>
      </c>
      <c r="S81" s="146"/>
      <c r="T81" s="168"/>
      <c r="U81" s="146"/>
      <c r="V81" s="146"/>
      <c r="W81" s="146"/>
      <c r="X81" s="156">
        <v>0</v>
      </c>
      <c r="Y81" s="156">
        <v>0</v>
      </c>
      <c r="Z81" s="157" t="s">
        <v>677</v>
      </c>
      <c r="AA81" s="158">
        <v>2021</v>
      </c>
      <c r="AB81" s="158">
        <v>8</v>
      </c>
      <c r="AC81" s="158">
        <v>4</v>
      </c>
      <c r="AD81" s="122" t="b">
        <f>IF(ISBLANK(GroupMember[[#This Row],[1. Identifiant interne d’exploitation agricole*]]),"",IF(ISERROR(MATCH(GroupMember[[#This Row],[1. Identifiant interne d’exploitation agricole*]],CertifiedCrop[1. Identifiant interne d’exploitation agricole*],0)),FALSE,TRUE))</f>
        <v>1</v>
      </c>
      <c r="AE81" s="122" t="b">
        <f>IF(ISBLANK(GroupMember[[#This Row],[1. Identifiant interne d’exploitation agricole*]]),"",IF(ISERROR(MATCH(GroupMember[[#This Row],[1. Identifiant interne d’exploitation agricole*]],FarmUnit[1. Identifiant interne d’exploitation agricole*],0)),FALSE,TRUE))</f>
        <v>1</v>
      </c>
      <c r="AF81" s="9" t="str">
        <f t="shared" si="3"/>
        <v>SAWADOGO  BOUKARE</v>
      </c>
      <c r="AG81" s="243" t="str">
        <f t="shared" si="4"/>
        <v>4/8/2021</v>
      </c>
      <c r="AH81" s="51">
        <f>COUNTIFS(Z:Z,Z81,AG:AG,AG81)</f>
        <v>4</v>
      </c>
      <c r="AI81" s="49">
        <f t="shared" si="5"/>
        <v>0</v>
      </c>
    </row>
    <row r="82" spans="1:35" ht="15" x14ac:dyDescent="0.2">
      <c r="A82" s="145" t="s">
        <v>950</v>
      </c>
      <c r="B82" s="146" t="s">
        <v>668</v>
      </c>
      <c r="C82" s="145" t="s">
        <v>950</v>
      </c>
      <c r="D82" s="147" t="s">
        <v>669</v>
      </c>
      <c r="E82" s="146" t="s">
        <v>670</v>
      </c>
      <c r="F82" s="146" t="s">
        <v>671</v>
      </c>
      <c r="G82" s="146" t="s">
        <v>672</v>
      </c>
      <c r="H82" s="148">
        <v>4.12</v>
      </c>
      <c r="I82" s="146" t="s">
        <v>673</v>
      </c>
      <c r="J82" s="149">
        <v>1</v>
      </c>
      <c r="K82" s="150">
        <v>2021</v>
      </c>
      <c r="L82" s="151" t="s">
        <v>951</v>
      </c>
      <c r="M82" s="151" t="s">
        <v>952</v>
      </c>
      <c r="N82" s="161" t="s">
        <v>953</v>
      </c>
      <c r="O82" s="153"/>
      <c r="P82" s="154" t="s">
        <v>676</v>
      </c>
      <c r="Q82" s="154"/>
      <c r="R82" s="155">
        <v>4</v>
      </c>
      <c r="S82" s="146"/>
      <c r="T82" s="168"/>
      <c r="U82" s="146"/>
      <c r="V82" s="146"/>
      <c r="W82" s="146"/>
      <c r="X82" s="156">
        <v>0</v>
      </c>
      <c r="Y82" s="156">
        <v>0</v>
      </c>
      <c r="Z82" s="157" t="s">
        <v>677</v>
      </c>
      <c r="AA82" s="158">
        <v>2021</v>
      </c>
      <c r="AB82" s="158">
        <v>8</v>
      </c>
      <c r="AC82" s="158">
        <v>6</v>
      </c>
      <c r="AD82" s="122" t="b">
        <f>IF(ISBLANK(GroupMember[[#This Row],[1. Identifiant interne d’exploitation agricole*]]),"",IF(ISERROR(MATCH(GroupMember[[#This Row],[1. Identifiant interne d’exploitation agricole*]],CertifiedCrop[1. Identifiant interne d’exploitation agricole*],0)),FALSE,TRUE))</f>
        <v>1</v>
      </c>
      <c r="AE82" s="122" t="b">
        <f>IF(ISBLANK(GroupMember[[#This Row],[1. Identifiant interne d’exploitation agricole*]]),"",IF(ISERROR(MATCH(GroupMember[[#This Row],[1. Identifiant interne d’exploitation agricole*]],FarmUnit[1. Identifiant interne d’exploitation agricole*],0)),FALSE,TRUE))</f>
        <v>1</v>
      </c>
      <c r="AF82" s="9" t="str">
        <f t="shared" si="3"/>
        <v>TIESSANRY  KONATE</v>
      </c>
      <c r="AG82" s="243" t="str">
        <f t="shared" si="4"/>
        <v>6/8/2021</v>
      </c>
      <c r="AH82" s="51">
        <f>COUNTIFS(Z:Z,Z82,AG:AG,AG82)</f>
        <v>4</v>
      </c>
      <c r="AI82" s="49">
        <f t="shared" si="5"/>
        <v>0</v>
      </c>
    </row>
    <row r="83" spans="1:35" ht="15" x14ac:dyDescent="0.2">
      <c r="A83" s="145" t="s">
        <v>954</v>
      </c>
      <c r="B83" s="146" t="s">
        <v>668</v>
      </c>
      <c r="C83" s="145" t="s">
        <v>954</v>
      </c>
      <c r="D83" s="147" t="s">
        <v>669</v>
      </c>
      <c r="E83" s="146" t="s">
        <v>670</v>
      </c>
      <c r="F83" s="146" t="s">
        <v>671</v>
      </c>
      <c r="G83" s="146" t="s">
        <v>672</v>
      </c>
      <c r="H83" s="148">
        <v>1.5</v>
      </c>
      <c r="I83" s="146" t="s">
        <v>673</v>
      </c>
      <c r="J83" s="149">
        <v>1</v>
      </c>
      <c r="K83" s="150">
        <v>2021</v>
      </c>
      <c r="L83" s="151" t="s">
        <v>955</v>
      </c>
      <c r="M83" s="151" t="s">
        <v>956</v>
      </c>
      <c r="N83" s="161"/>
      <c r="O83" s="153"/>
      <c r="P83" s="154" t="s">
        <v>676</v>
      </c>
      <c r="Q83" s="154"/>
      <c r="R83" s="155">
        <v>6</v>
      </c>
      <c r="S83" s="146"/>
      <c r="T83" s="168"/>
      <c r="U83" s="146"/>
      <c r="V83" s="146"/>
      <c r="W83" s="146"/>
      <c r="X83" s="156">
        <v>0</v>
      </c>
      <c r="Y83" s="156">
        <v>0</v>
      </c>
      <c r="Z83" s="157" t="s">
        <v>677</v>
      </c>
      <c r="AA83" s="158">
        <v>2021</v>
      </c>
      <c r="AB83" s="158">
        <v>7</v>
      </c>
      <c r="AC83" s="158">
        <v>31</v>
      </c>
      <c r="AD83" s="122" t="b">
        <f>IF(ISBLANK(GroupMember[[#This Row],[1. Identifiant interne d’exploitation agricole*]]),"",IF(ISERROR(MATCH(GroupMember[[#This Row],[1. Identifiant interne d’exploitation agricole*]],CertifiedCrop[1. Identifiant interne d’exploitation agricole*],0)),FALSE,TRUE))</f>
        <v>1</v>
      </c>
      <c r="AE83" s="122" t="b">
        <f>IF(ISBLANK(GroupMember[[#This Row],[1. Identifiant interne d’exploitation agricole*]]),"",IF(ISERROR(MATCH(GroupMember[[#This Row],[1. Identifiant interne d’exploitation agricole*]],FarmUnit[1. Identifiant interne d’exploitation agricole*],0)),FALSE,TRUE))</f>
        <v>1</v>
      </c>
      <c r="AF83" s="9" t="str">
        <f t="shared" si="3"/>
        <v>SANMAGUE  SEYDOU</v>
      </c>
      <c r="AG83" s="243" t="str">
        <f t="shared" si="4"/>
        <v>31/7/2021</v>
      </c>
      <c r="AH83" s="51">
        <f>COUNTIFS(Z:Z,Z83,AG:AG,AG83)</f>
        <v>5</v>
      </c>
      <c r="AI83" s="49">
        <f t="shared" si="5"/>
        <v>0</v>
      </c>
    </row>
    <row r="84" spans="1:35" ht="15" x14ac:dyDescent="0.2">
      <c r="A84" s="145" t="s">
        <v>957</v>
      </c>
      <c r="B84" s="146" t="s">
        <v>668</v>
      </c>
      <c r="C84" s="145" t="s">
        <v>957</v>
      </c>
      <c r="D84" s="147" t="s">
        <v>669</v>
      </c>
      <c r="E84" s="146" t="s">
        <v>670</v>
      </c>
      <c r="F84" s="146" t="s">
        <v>671</v>
      </c>
      <c r="G84" s="146" t="s">
        <v>672</v>
      </c>
      <c r="H84" s="148">
        <v>1.43</v>
      </c>
      <c r="I84" s="146" t="s">
        <v>673</v>
      </c>
      <c r="J84" s="149">
        <v>1</v>
      </c>
      <c r="K84" s="150">
        <v>2021</v>
      </c>
      <c r="L84" s="151" t="s">
        <v>682</v>
      </c>
      <c r="M84" s="151" t="s">
        <v>958</v>
      </c>
      <c r="N84" s="161"/>
      <c r="O84" s="153"/>
      <c r="P84" s="154" t="s">
        <v>676</v>
      </c>
      <c r="Q84" s="154"/>
      <c r="R84" s="155">
        <v>9</v>
      </c>
      <c r="S84" s="146"/>
      <c r="T84" s="168"/>
      <c r="U84" s="146"/>
      <c r="V84" s="146"/>
      <c r="W84" s="146"/>
      <c r="X84" s="156">
        <v>0</v>
      </c>
      <c r="Y84" s="156">
        <v>0</v>
      </c>
      <c r="Z84" s="157" t="s">
        <v>677</v>
      </c>
      <c r="AA84" s="158">
        <v>2021</v>
      </c>
      <c r="AB84" s="158">
        <v>8</v>
      </c>
      <c r="AC84" s="158">
        <v>4</v>
      </c>
      <c r="AD84" s="122" t="b">
        <f>IF(ISBLANK(GroupMember[[#This Row],[1. Identifiant interne d’exploitation agricole*]]),"",IF(ISERROR(MATCH(GroupMember[[#This Row],[1. Identifiant interne d’exploitation agricole*]],CertifiedCrop[1. Identifiant interne d’exploitation agricole*],0)),FALSE,TRUE))</f>
        <v>1</v>
      </c>
      <c r="AE84" s="122" t="b">
        <f>IF(ISBLANK(GroupMember[[#This Row],[1. Identifiant interne d’exploitation agricole*]]),"",IF(ISERROR(MATCH(GroupMember[[#This Row],[1. Identifiant interne d’exploitation agricole*]],FarmUnit[1. Identifiant interne d’exploitation agricole*],0)),FALSE,TRUE))</f>
        <v>1</v>
      </c>
      <c r="AF84" s="9" t="str">
        <f t="shared" si="3"/>
        <v>SANGARE  HARAMOUYA</v>
      </c>
      <c r="AG84" s="243" t="str">
        <f t="shared" si="4"/>
        <v>4/8/2021</v>
      </c>
      <c r="AH84" s="51">
        <f>COUNTIFS(Z:Z,Z84,AG:AG,AG84)</f>
        <v>4</v>
      </c>
      <c r="AI84" s="49">
        <f t="shared" si="5"/>
        <v>0</v>
      </c>
    </row>
    <row r="85" spans="1:35" ht="15" x14ac:dyDescent="0.2">
      <c r="A85" s="145" t="s">
        <v>959</v>
      </c>
      <c r="B85" s="146" t="s">
        <v>668</v>
      </c>
      <c r="C85" s="145" t="s">
        <v>959</v>
      </c>
      <c r="D85" s="147" t="s">
        <v>669</v>
      </c>
      <c r="E85" s="146" t="s">
        <v>670</v>
      </c>
      <c r="F85" s="146" t="s">
        <v>671</v>
      </c>
      <c r="G85" s="146" t="s">
        <v>672</v>
      </c>
      <c r="H85" s="148">
        <v>2.39</v>
      </c>
      <c r="I85" s="146" t="s">
        <v>673</v>
      </c>
      <c r="J85" s="149">
        <v>1</v>
      </c>
      <c r="K85" s="150">
        <v>2021</v>
      </c>
      <c r="L85" s="151" t="s">
        <v>711</v>
      </c>
      <c r="M85" s="151" t="s">
        <v>960</v>
      </c>
      <c r="N85" s="161"/>
      <c r="O85" s="153"/>
      <c r="P85" s="154" t="s">
        <v>676</v>
      </c>
      <c r="Q85" s="154"/>
      <c r="R85" s="155">
        <v>5</v>
      </c>
      <c r="S85" s="146"/>
      <c r="T85" s="168"/>
      <c r="U85" s="146"/>
      <c r="V85" s="146"/>
      <c r="W85" s="146"/>
      <c r="X85" s="156">
        <v>0</v>
      </c>
      <c r="Y85" s="156">
        <v>0</v>
      </c>
      <c r="Z85" s="157" t="s">
        <v>677</v>
      </c>
      <c r="AA85" s="158">
        <v>2021</v>
      </c>
      <c r="AB85" s="158">
        <v>8</v>
      </c>
      <c r="AC85" s="158">
        <v>6</v>
      </c>
      <c r="AD85" s="122" t="b">
        <f>IF(ISBLANK(GroupMember[[#This Row],[1. Identifiant interne d’exploitation agricole*]]),"",IF(ISERROR(MATCH(GroupMember[[#This Row],[1. Identifiant interne d’exploitation agricole*]],CertifiedCrop[1. Identifiant interne d’exploitation agricole*],0)),FALSE,TRUE))</f>
        <v>1</v>
      </c>
      <c r="AE85" s="122" t="b">
        <f>IF(ISBLANK(GroupMember[[#This Row],[1. Identifiant interne d’exploitation agricole*]]),"",IF(ISERROR(MATCH(GroupMember[[#This Row],[1. Identifiant interne d’exploitation agricole*]],FarmUnit[1. Identifiant interne d’exploitation agricole*],0)),FALSE,TRUE))</f>
        <v>1</v>
      </c>
      <c r="AF85" s="9" t="str">
        <f t="shared" si="3"/>
        <v>SAMAKE  FOUSSEINI</v>
      </c>
      <c r="AG85" s="243" t="str">
        <f t="shared" si="4"/>
        <v>6/8/2021</v>
      </c>
      <c r="AH85" s="51">
        <f>COUNTIFS(Z:Z,Z85,AG:AG,AG85)</f>
        <v>4</v>
      </c>
      <c r="AI85" s="49">
        <f t="shared" si="5"/>
        <v>0</v>
      </c>
    </row>
    <row r="86" spans="1:35" ht="15" x14ac:dyDescent="0.2">
      <c r="A86" s="145" t="s">
        <v>961</v>
      </c>
      <c r="B86" s="146" t="s">
        <v>668</v>
      </c>
      <c r="C86" s="145" t="s">
        <v>961</v>
      </c>
      <c r="D86" s="147" t="s">
        <v>669</v>
      </c>
      <c r="E86" s="146" t="s">
        <v>670</v>
      </c>
      <c r="F86" s="146" t="s">
        <v>671</v>
      </c>
      <c r="G86" s="146" t="s">
        <v>672</v>
      </c>
      <c r="H86" s="148">
        <v>1.58</v>
      </c>
      <c r="I86" s="146" t="s">
        <v>673</v>
      </c>
      <c r="J86" s="149">
        <v>2</v>
      </c>
      <c r="K86" s="150">
        <v>2021</v>
      </c>
      <c r="L86" s="151" t="s">
        <v>962</v>
      </c>
      <c r="M86" s="169" t="s">
        <v>963</v>
      </c>
      <c r="N86" s="161" t="s">
        <v>964</v>
      </c>
      <c r="O86" s="153"/>
      <c r="P86" s="154" t="s">
        <v>676</v>
      </c>
      <c r="Q86" s="154"/>
      <c r="R86" s="155">
        <v>6</v>
      </c>
      <c r="S86" s="146"/>
      <c r="T86" s="168"/>
      <c r="U86" s="146"/>
      <c r="V86" s="146"/>
      <c r="W86" s="146"/>
      <c r="X86" s="156">
        <v>0</v>
      </c>
      <c r="Y86" s="156">
        <v>0</v>
      </c>
      <c r="Z86" s="157" t="s">
        <v>677</v>
      </c>
      <c r="AA86" s="158">
        <v>2021</v>
      </c>
      <c r="AB86" s="158">
        <v>7</v>
      </c>
      <c r="AC86" s="158">
        <v>31</v>
      </c>
      <c r="AD86" s="122" t="b">
        <f>IF(ISBLANK(GroupMember[[#This Row],[1. Identifiant interne d’exploitation agricole*]]),"",IF(ISERROR(MATCH(GroupMember[[#This Row],[1. Identifiant interne d’exploitation agricole*]],CertifiedCrop[1. Identifiant interne d’exploitation agricole*],0)),FALSE,TRUE))</f>
        <v>1</v>
      </c>
      <c r="AE86" s="122" t="b">
        <f>IF(ISBLANK(GroupMember[[#This Row],[1. Identifiant interne d’exploitation agricole*]]),"",IF(ISERROR(MATCH(GroupMember[[#This Row],[1. Identifiant interne d’exploitation agricole*]],FarmUnit[1. Identifiant interne d’exploitation agricole*],0)),FALSE,TRUE))</f>
        <v>1</v>
      </c>
      <c r="AF86" s="9" t="str">
        <f t="shared" si="3"/>
        <v>FIA SEVERIEN</v>
      </c>
      <c r="AG86" s="243" t="str">
        <f t="shared" si="4"/>
        <v>31/7/2021</v>
      </c>
      <c r="AH86" s="51">
        <f>COUNTIFS(Z:Z,Z86,AG:AG,AG86)</f>
        <v>5</v>
      </c>
      <c r="AI86" s="49">
        <f t="shared" si="5"/>
        <v>0</v>
      </c>
    </row>
    <row r="87" spans="1:35" ht="15" x14ac:dyDescent="0.2">
      <c r="A87" s="145" t="s">
        <v>965</v>
      </c>
      <c r="B87" s="146" t="s">
        <v>668</v>
      </c>
      <c r="C87" s="145" t="s">
        <v>965</v>
      </c>
      <c r="D87" s="147" t="s">
        <v>669</v>
      </c>
      <c r="E87" s="146" t="s">
        <v>670</v>
      </c>
      <c r="F87" s="146" t="s">
        <v>671</v>
      </c>
      <c r="G87" s="146" t="s">
        <v>672</v>
      </c>
      <c r="H87" s="148">
        <v>4</v>
      </c>
      <c r="I87" s="146" t="s">
        <v>673</v>
      </c>
      <c r="J87" s="149">
        <v>1</v>
      </c>
      <c r="K87" s="150">
        <v>2021</v>
      </c>
      <c r="L87" s="151" t="s">
        <v>925</v>
      </c>
      <c r="M87" s="151" t="s">
        <v>966</v>
      </c>
      <c r="N87" s="161"/>
      <c r="O87" s="153"/>
      <c r="P87" s="154" t="s">
        <v>676</v>
      </c>
      <c r="Q87" s="154"/>
      <c r="R87" s="155">
        <v>4</v>
      </c>
      <c r="S87" s="146"/>
      <c r="T87" s="168"/>
      <c r="U87" s="146"/>
      <c r="V87" s="146"/>
      <c r="W87" s="146"/>
      <c r="X87" s="156">
        <v>0</v>
      </c>
      <c r="Y87" s="156">
        <v>0</v>
      </c>
      <c r="Z87" s="157" t="s">
        <v>677</v>
      </c>
      <c r="AA87" s="158">
        <v>2021</v>
      </c>
      <c r="AB87" s="158">
        <v>7</v>
      </c>
      <c r="AC87" s="158">
        <v>5</v>
      </c>
      <c r="AD87" s="122" t="b">
        <f>IF(ISBLANK(GroupMember[[#This Row],[1. Identifiant interne d’exploitation agricole*]]),"",IF(ISERROR(MATCH(GroupMember[[#This Row],[1. Identifiant interne d’exploitation agricole*]],CertifiedCrop[1. Identifiant interne d’exploitation agricole*],0)),FALSE,TRUE))</f>
        <v>1</v>
      </c>
      <c r="AE87" s="122" t="b">
        <f>IF(ISBLANK(GroupMember[[#This Row],[1. Identifiant interne d’exploitation agricole*]]),"",IF(ISERROR(MATCH(GroupMember[[#This Row],[1. Identifiant interne d’exploitation agricole*]],FarmUnit[1. Identifiant interne d’exploitation agricole*],0)),FALSE,TRUE))</f>
        <v>1</v>
      </c>
      <c r="AF87" s="9" t="str">
        <f t="shared" si="3"/>
        <v>KPAN  THEODOR</v>
      </c>
      <c r="AG87" s="243" t="str">
        <f t="shared" si="4"/>
        <v>5/7/2021</v>
      </c>
      <c r="AH87" s="51">
        <f>COUNTIFS(Z:Z,Z87,AG:AG,AG87)</f>
        <v>4</v>
      </c>
      <c r="AI87" s="49">
        <f t="shared" si="5"/>
        <v>0</v>
      </c>
    </row>
    <row r="88" spans="1:35" ht="15" x14ac:dyDescent="0.2">
      <c r="A88" s="145" t="s">
        <v>967</v>
      </c>
      <c r="B88" s="146" t="s">
        <v>668</v>
      </c>
      <c r="C88" s="145" t="s">
        <v>967</v>
      </c>
      <c r="D88" s="147" t="s">
        <v>669</v>
      </c>
      <c r="E88" s="146" t="s">
        <v>670</v>
      </c>
      <c r="F88" s="146" t="s">
        <v>671</v>
      </c>
      <c r="G88" s="146" t="s">
        <v>672</v>
      </c>
      <c r="H88" s="148">
        <v>1.1100000000000001</v>
      </c>
      <c r="I88" s="146" t="s">
        <v>673</v>
      </c>
      <c r="J88" s="149">
        <v>1</v>
      </c>
      <c r="K88" s="150">
        <v>2021</v>
      </c>
      <c r="L88" s="151" t="s">
        <v>968</v>
      </c>
      <c r="M88" s="151" t="s">
        <v>969</v>
      </c>
      <c r="N88" s="161"/>
      <c r="O88" s="153"/>
      <c r="P88" s="154" t="s">
        <v>676</v>
      </c>
      <c r="Q88" s="154"/>
      <c r="R88" s="155">
        <v>4</v>
      </c>
      <c r="S88" s="146"/>
      <c r="T88" s="168"/>
      <c r="U88" s="146"/>
      <c r="V88" s="146"/>
      <c r="W88" s="146"/>
      <c r="X88" s="156">
        <v>0</v>
      </c>
      <c r="Y88" s="156">
        <v>0</v>
      </c>
      <c r="Z88" s="157" t="s">
        <v>677</v>
      </c>
      <c r="AA88" s="158">
        <v>2021</v>
      </c>
      <c r="AB88" s="158">
        <v>7</v>
      </c>
      <c r="AC88" s="158">
        <v>2</v>
      </c>
      <c r="AD88" s="122" t="b">
        <f>IF(ISBLANK(GroupMember[[#This Row],[1. Identifiant interne d’exploitation agricole*]]),"",IF(ISERROR(MATCH(GroupMember[[#This Row],[1. Identifiant interne d’exploitation agricole*]],CertifiedCrop[1. Identifiant interne d’exploitation agricole*],0)),FALSE,TRUE))</f>
        <v>1</v>
      </c>
      <c r="AE88" s="122" t="b">
        <f>IF(ISBLANK(GroupMember[[#This Row],[1. Identifiant interne d’exploitation agricole*]]),"",IF(ISERROR(MATCH(GroupMember[[#This Row],[1. Identifiant interne d’exploitation agricole*]],FarmUnit[1. Identifiant interne d’exploitation agricole*],0)),FALSE,TRUE))</f>
        <v>1</v>
      </c>
      <c r="AF88" s="9" t="str">
        <f t="shared" si="3"/>
        <v>BLE  EZAI</v>
      </c>
      <c r="AG88" s="243" t="str">
        <f t="shared" si="4"/>
        <v>2/7/2021</v>
      </c>
      <c r="AH88" s="51">
        <f>COUNTIFS(Z:Z,Z88,AG:AG,AG88)</f>
        <v>4</v>
      </c>
      <c r="AI88" s="49">
        <f t="shared" si="5"/>
        <v>0</v>
      </c>
    </row>
    <row r="89" spans="1:35" ht="17.25" x14ac:dyDescent="0.2">
      <c r="A89" s="145" t="s">
        <v>970</v>
      </c>
      <c r="B89" s="146" t="s">
        <v>668</v>
      </c>
      <c r="C89" s="145" t="s">
        <v>970</v>
      </c>
      <c r="D89" s="147" t="s">
        <v>669</v>
      </c>
      <c r="E89" s="146" t="s">
        <v>670</v>
      </c>
      <c r="F89" s="146" t="s">
        <v>671</v>
      </c>
      <c r="G89" s="146" t="s">
        <v>672</v>
      </c>
      <c r="H89" s="148">
        <v>1.69</v>
      </c>
      <c r="I89" s="146" t="s">
        <v>673</v>
      </c>
      <c r="J89" s="149">
        <v>1</v>
      </c>
      <c r="K89" s="150">
        <v>2021</v>
      </c>
      <c r="L89" s="151" t="s">
        <v>971</v>
      </c>
      <c r="M89" s="151" t="s">
        <v>972</v>
      </c>
      <c r="N89" s="161" t="s">
        <v>973</v>
      </c>
      <c r="O89" s="153" t="s">
        <v>974</v>
      </c>
      <c r="P89" s="154" t="s">
        <v>676</v>
      </c>
      <c r="Q89" s="154">
        <v>1968</v>
      </c>
      <c r="R89" s="155">
        <v>5</v>
      </c>
      <c r="S89" s="146"/>
      <c r="T89" s="168"/>
      <c r="U89" s="146"/>
      <c r="V89" s="146"/>
      <c r="W89" s="146"/>
      <c r="X89" s="156">
        <v>0</v>
      </c>
      <c r="Y89" s="156">
        <v>0</v>
      </c>
      <c r="Z89" s="157" t="s">
        <v>677</v>
      </c>
      <c r="AA89" s="158">
        <v>2021</v>
      </c>
      <c r="AB89" s="158">
        <v>7</v>
      </c>
      <c r="AC89" s="158">
        <v>15</v>
      </c>
      <c r="AD89" s="122" t="b">
        <f>IF(ISBLANK(GroupMember[[#This Row],[1. Identifiant interne d’exploitation agricole*]]),"",IF(ISERROR(MATCH(GroupMember[[#This Row],[1. Identifiant interne d’exploitation agricole*]],CertifiedCrop[1. Identifiant interne d’exploitation agricole*],0)),FALSE,TRUE))</f>
        <v>1</v>
      </c>
      <c r="AE89" s="122" t="b">
        <f>IF(ISBLANK(GroupMember[[#This Row],[1. Identifiant interne d’exploitation agricole*]]),"",IF(ISERROR(MATCH(GroupMember[[#This Row],[1. Identifiant interne d’exploitation agricole*]],FarmUnit[1. Identifiant interne d’exploitation agricole*],0)),FALSE,TRUE))</f>
        <v>1</v>
      </c>
      <c r="AF89" s="9" t="str">
        <f t="shared" si="3"/>
        <v>VAMOH  BEA JEANOH</v>
      </c>
      <c r="AG89" s="243" t="str">
        <f t="shared" si="4"/>
        <v>15/7/2021</v>
      </c>
      <c r="AH89" s="51">
        <f>COUNTIFS(Z:Z,Z89,AG:AG,AG89)</f>
        <v>4</v>
      </c>
      <c r="AI89" s="49">
        <f t="shared" si="5"/>
        <v>0</v>
      </c>
    </row>
    <row r="90" spans="1:35" ht="15" x14ac:dyDescent="0.2">
      <c r="A90" s="145" t="s">
        <v>975</v>
      </c>
      <c r="B90" s="146" t="s">
        <v>668</v>
      </c>
      <c r="C90" s="145" t="s">
        <v>975</v>
      </c>
      <c r="D90" s="147" t="s">
        <v>669</v>
      </c>
      <c r="E90" s="146" t="s">
        <v>670</v>
      </c>
      <c r="F90" s="146" t="s">
        <v>671</v>
      </c>
      <c r="G90" s="146" t="s">
        <v>672</v>
      </c>
      <c r="H90" s="148">
        <v>3</v>
      </c>
      <c r="I90" s="146" t="s">
        <v>673</v>
      </c>
      <c r="J90" s="149">
        <v>1</v>
      </c>
      <c r="K90" s="150">
        <v>2021</v>
      </c>
      <c r="L90" s="151" t="s">
        <v>976</v>
      </c>
      <c r="M90" s="151" t="s">
        <v>977</v>
      </c>
      <c r="N90" s="161"/>
      <c r="O90" s="153" t="s">
        <v>978</v>
      </c>
      <c r="P90" s="154" t="s">
        <v>676</v>
      </c>
      <c r="Q90" s="154">
        <v>1969</v>
      </c>
      <c r="R90" s="155">
        <v>8</v>
      </c>
      <c r="S90" s="146"/>
      <c r="T90" s="168"/>
      <c r="U90" s="146"/>
      <c r="V90" s="146"/>
      <c r="W90" s="146"/>
      <c r="X90" s="156">
        <v>0</v>
      </c>
      <c r="Y90" s="156">
        <v>0</v>
      </c>
      <c r="Z90" s="157" t="s">
        <v>677</v>
      </c>
      <c r="AA90" s="158">
        <v>2021</v>
      </c>
      <c r="AB90" s="158">
        <v>8</v>
      </c>
      <c r="AC90" s="158">
        <v>6</v>
      </c>
      <c r="AD90" s="122" t="b">
        <f>IF(ISBLANK(GroupMember[[#This Row],[1. Identifiant interne d’exploitation agricole*]]),"",IF(ISERROR(MATCH(GroupMember[[#This Row],[1. Identifiant interne d’exploitation agricole*]],CertifiedCrop[1. Identifiant interne d’exploitation agricole*],0)),FALSE,TRUE))</f>
        <v>1</v>
      </c>
      <c r="AE90" s="122" t="b">
        <f>IF(ISBLANK(GroupMember[[#This Row],[1. Identifiant interne d’exploitation agricole*]]),"",IF(ISERROR(MATCH(GroupMember[[#This Row],[1. Identifiant interne d’exploitation agricole*]],FarmUnit[1. Identifiant interne d’exploitation agricole*],0)),FALSE,TRUE))</f>
        <v>1</v>
      </c>
      <c r="AF90" s="9" t="str">
        <f t="shared" si="3"/>
        <v>VANMOH  FOUEULO IGNACE</v>
      </c>
      <c r="AG90" s="243" t="str">
        <f t="shared" si="4"/>
        <v>6/8/2021</v>
      </c>
      <c r="AH90" s="51">
        <f>COUNTIFS(Z:Z,Z90,AG:AG,AG90)</f>
        <v>4</v>
      </c>
      <c r="AI90" s="49">
        <f t="shared" si="5"/>
        <v>0</v>
      </c>
    </row>
    <row r="91" spans="1:35" ht="15" x14ac:dyDescent="0.2">
      <c r="A91" s="145" t="s">
        <v>979</v>
      </c>
      <c r="B91" s="146" t="s">
        <v>668</v>
      </c>
      <c r="C91" s="145" t="s">
        <v>979</v>
      </c>
      <c r="D91" s="147" t="s">
        <v>669</v>
      </c>
      <c r="E91" s="146" t="s">
        <v>670</v>
      </c>
      <c r="F91" s="146" t="s">
        <v>671</v>
      </c>
      <c r="G91" s="146" t="s">
        <v>672</v>
      </c>
      <c r="H91" s="148">
        <v>0.95</v>
      </c>
      <c r="I91" s="146" t="s">
        <v>673</v>
      </c>
      <c r="J91" s="149">
        <v>1</v>
      </c>
      <c r="K91" s="150">
        <v>2021</v>
      </c>
      <c r="L91" s="151" t="s">
        <v>976</v>
      </c>
      <c r="M91" s="151" t="s">
        <v>980</v>
      </c>
      <c r="N91" s="161" t="s">
        <v>981</v>
      </c>
      <c r="O91" s="153"/>
      <c r="P91" s="154" t="s">
        <v>676</v>
      </c>
      <c r="Q91" s="154"/>
      <c r="R91" s="155">
        <v>6</v>
      </c>
      <c r="S91" s="146"/>
      <c r="T91" s="168"/>
      <c r="U91" s="146"/>
      <c r="V91" s="146"/>
      <c r="W91" s="146"/>
      <c r="X91" s="156">
        <v>0</v>
      </c>
      <c r="Y91" s="156">
        <v>0</v>
      </c>
      <c r="Z91" s="157" t="s">
        <v>677</v>
      </c>
      <c r="AA91" s="158">
        <v>2021</v>
      </c>
      <c r="AB91" s="158">
        <v>8</v>
      </c>
      <c r="AC91" s="158">
        <v>9</v>
      </c>
      <c r="AD91" s="122" t="b">
        <f>IF(ISBLANK(GroupMember[[#This Row],[1. Identifiant interne d’exploitation agricole*]]),"",IF(ISERROR(MATCH(GroupMember[[#This Row],[1. Identifiant interne d’exploitation agricole*]],CertifiedCrop[1. Identifiant interne d’exploitation agricole*],0)),FALSE,TRUE))</f>
        <v>1</v>
      </c>
      <c r="AE91" s="122" t="b">
        <f>IF(ISBLANK(GroupMember[[#This Row],[1. Identifiant interne d’exploitation agricole*]]),"",IF(ISERROR(MATCH(GroupMember[[#This Row],[1. Identifiant interne d’exploitation agricole*]],FarmUnit[1. Identifiant interne d’exploitation agricole*],0)),FALSE,TRUE))</f>
        <v>1</v>
      </c>
      <c r="AF91" s="9" t="str">
        <f t="shared" si="3"/>
        <v>VANMOH  KOUAKEUSSEU BRUNO</v>
      </c>
      <c r="AG91" s="243" t="str">
        <f t="shared" si="4"/>
        <v>9/8/2021</v>
      </c>
      <c r="AH91" s="51">
        <f>COUNTIFS(Z:Z,Z91,AG:AG,AG91)</f>
        <v>5</v>
      </c>
      <c r="AI91" s="49">
        <f t="shared" si="5"/>
        <v>0</v>
      </c>
    </row>
    <row r="92" spans="1:35" ht="15" x14ac:dyDescent="0.2">
      <c r="A92" s="145" t="s">
        <v>982</v>
      </c>
      <c r="B92" s="146" t="s">
        <v>668</v>
      </c>
      <c r="C92" s="145" t="s">
        <v>982</v>
      </c>
      <c r="D92" s="147" t="s">
        <v>669</v>
      </c>
      <c r="E92" s="146" t="s">
        <v>670</v>
      </c>
      <c r="F92" s="146" t="s">
        <v>671</v>
      </c>
      <c r="G92" s="146" t="s">
        <v>672</v>
      </c>
      <c r="H92" s="148">
        <v>2.5</v>
      </c>
      <c r="I92" s="146" t="s">
        <v>673</v>
      </c>
      <c r="J92" s="149">
        <v>1</v>
      </c>
      <c r="K92" s="150">
        <v>2021</v>
      </c>
      <c r="L92" s="151" t="s">
        <v>976</v>
      </c>
      <c r="M92" s="151" t="s">
        <v>983</v>
      </c>
      <c r="N92" s="161"/>
      <c r="O92" s="153"/>
      <c r="P92" s="154" t="s">
        <v>676</v>
      </c>
      <c r="Q92" s="154"/>
      <c r="R92" s="155">
        <v>9</v>
      </c>
      <c r="S92" s="146"/>
      <c r="T92" s="168"/>
      <c r="U92" s="146"/>
      <c r="V92" s="146"/>
      <c r="W92" s="146"/>
      <c r="X92" s="156">
        <v>0</v>
      </c>
      <c r="Y92" s="156">
        <v>0</v>
      </c>
      <c r="Z92" s="157" t="s">
        <v>677</v>
      </c>
      <c r="AA92" s="158">
        <v>2021</v>
      </c>
      <c r="AB92" s="158">
        <v>8</v>
      </c>
      <c r="AC92" s="158">
        <v>9</v>
      </c>
      <c r="AD92" s="122" t="b">
        <f>IF(ISBLANK(GroupMember[[#This Row],[1. Identifiant interne d’exploitation agricole*]]),"",IF(ISERROR(MATCH(GroupMember[[#This Row],[1. Identifiant interne d’exploitation agricole*]],CertifiedCrop[1. Identifiant interne d’exploitation agricole*],0)),FALSE,TRUE))</f>
        <v>1</v>
      </c>
      <c r="AE92" s="122" t="b">
        <f>IF(ISBLANK(GroupMember[[#This Row],[1. Identifiant interne d’exploitation agricole*]]),"",IF(ISERROR(MATCH(GroupMember[[#This Row],[1. Identifiant interne d’exploitation agricole*]],FarmUnit[1. Identifiant interne d’exploitation agricole*],0)),FALSE,TRUE))</f>
        <v>1</v>
      </c>
      <c r="AF92" s="9" t="str">
        <f t="shared" si="3"/>
        <v>VANMOH  FABRICE</v>
      </c>
      <c r="AG92" s="243" t="str">
        <f t="shared" si="4"/>
        <v>9/8/2021</v>
      </c>
      <c r="AH92" s="51">
        <f>COUNTIFS(Z:Z,Z92,AG:AG,AG92)</f>
        <v>5</v>
      </c>
      <c r="AI92" s="49">
        <f t="shared" si="5"/>
        <v>0</v>
      </c>
    </row>
    <row r="93" spans="1:35" ht="15" x14ac:dyDescent="0.2">
      <c r="A93" s="145" t="s">
        <v>984</v>
      </c>
      <c r="B93" s="146" t="s">
        <v>668</v>
      </c>
      <c r="C93" s="145" t="s">
        <v>984</v>
      </c>
      <c r="D93" s="147" t="s">
        <v>669</v>
      </c>
      <c r="E93" s="146" t="s">
        <v>670</v>
      </c>
      <c r="F93" s="146" t="s">
        <v>671</v>
      </c>
      <c r="G93" s="146" t="s">
        <v>672</v>
      </c>
      <c r="H93" s="148">
        <v>4.33</v>
      </c>
      <c r="I93" s="146" t="s">
        <v>673</v>
      </c>
      <c r="J93" s="149">
        <v>2</v>
      </c>
      <c r="K93" s="150">
        <v>2021</v>
      </c>
      <c r="L93" s="151" t="s">
        <v>790</v>
      </c>
      <c r="M93" s="151" t="s">
        <v>985</v>
      </c>
      <c r="N93" s="161"/>
      <c r="O93" s="153" t="s">
        <v>986</v>
      </c>
      <c r="P93" s="154" t="s">
        <v>676</v>
      </c>
      <c r="Q93" s="154">
        <v>1971</v>
      </c>
      <c r="R93" s="155">
        <v>5</v>
      </c>
      <c r="S93" s="146"/>
      <c r="T93" s="168"/>
      <c r="U93" s="146"/>
      <c r="V93" s="146"/>
      <c r="W93" s="146"/>
      <c r="X93" s="156">
        <v>0</v>
      </c>
      <c r="Y93" s="156">
        <v>0</v>
      </c>
      <c r="Z93" s="157" t="s">
        <v>677</v>
      </c>
      <c r="AA93" s="158">
        <v>2021</v>
      </c>
      <c r="AB93" s="158">
        <v>7</v>
      </c>
      <c r="AC93" s="158">
        <v>7</v>
      </c>
      <c r="AD93" s="122" t="b">
        <f>IF(ISBLANK(GroupMember[[#This Row],[1. Identifiant interne d’exploitation agricole*]]),"",IF(ISERROR(MATCH(GroupMember[[#This Row],[1. Identifiant interne d’exploitation agricole*]],CertifiedCrop[1. Identifiant interne d’exploitation agricole*],0)),FALSE,TRUE))</f>
        <v>1</v>
      </c>
      <c r="AE93" s="122" t="b">
        <f>IF(ISBLANK(GroupMember[[#This Row],[1. Identifiant interne d’exploitation agricole*]]),"",IF(ISERROR(MATCH(GroupMember[[#This Row],[1. Identifiant interne d’exploitation agricole*]],FarmUnit[1. Identifiant interne d’exploitation agricole*],0)),FALSE,TRUE))</f>
        <v>1</v>
      </c>
      <c r="AF93" s="9" t="str">
        <f t="shared" si="3"/>
        <v>KOYA  NUN PAUL</v>
      </c>
      <c r="AG93" s="243" t="str">
        <f t="shared" si="4"/>
        <v>7/7/2021</v>
      </c>
      <c r="AH93" s="51">
        <f>COUNTIFS(Z:Z,Z93,AG:AG,AG93)</f>
        <v>4</v>
      </c>
      <c r="AI93" s="49">
        <f t="shared" si="5"/>
        <v>0</v>
      </c>
    </row>
    <row r="94" spans="1:35" ht="15" x14ac:dyDescent="0.2">
      <c r="A94" s="145" t="s">
        <v>987</v>
      </c>
      <c r="B94" s="146" t="s">
        <v>668</v>
      </c>
      <c r="C94" s="145" t="s">
        <v>987</v>
      </c>
      <c r="D94" s="147" t="s">
        <v>669</v>
      </c>
      <c r="E94" s="146" t="s">
        <v>670</v>
      </c>
      <c r="F94" s="146" t="s">
        <v>671</v>
      </c>
      <c r="G94" s="146" t="s">
        <v>672</v>
      </c>
      <c r="H94" s="148">
        <v>2.85</v>
      </c>
      <c r="I94" s="146" t="s">
        <v>673</v>
      </c>
      <c r="J94" s="149">
        <v>1</v>
      </c>
      <c r="K94" s="150">
        <v>2021</v>
      </c>
      <c r="L94" s="151" t="s">
        <v>925</v>
      </c>
      <c r="M94" s="151" t="s">
        <v>988</v>
      </c>
      <c r="N94" s="161"/>
      <c r="O94" s="153"/>
      <c r="P94" s="154" t="s">
        <v>676</v>
      </c>
      <c r="Q94" s="154"/>
      <c r="R94" s="155">
        <v>7</v>
      </c>
      <c r="S94" s="146"/>
      <c r="T94" s="168"/>
      <c r="U94" s="146"/>
      <c r="V94" s="146"/>
      <c r="W94" s="146"/>
      <c r="X94" s="156">
        <v>0</v>
      </c>
      <c r="Y94" s="156">
        <v>0</v>
      </c>
      <c r="Z94" s="157" t="s">
        <v>677</v>
      </c>
      <c r="AA94" s="158">
        <v>2021</v>
      </c>
      <c r="AB94" s="158">
        <v>8</v>
      </c>
      <c r="AC94" s="158">
        <v>6</v>
      </c>
      <c r="AD94" s="122" t="b">
        <f>IF(ISBLANK(GroupMember[[#This Row],[1. Identifiant interne d’exploitation agricole*]]),"",IF(ISERROR(MATCH(GroupMember[[#This Row],[1. Identifiant interne d’exploitation agricole*]],CertifiedCrop[1. Identifiant interne d’exploitation agricole*],0)),FALSE,TRUE))</f>
        <v>1</v>
      </c>
      <c r="AE94" s="122" t="b">
        <f>IF(ISBLANK(GroupMember[[#This Row],[1. Identifiant interne d’exploitation agricole*]]),"",IF(ISERROR(MATCH(GroupMember[[#This Row],[1. Identifiant interne d’exploitation agricole*]],FarmUnit[1. Identifiant interne d’exploitation agricole*],0)),FALSE,TRUE))</f>
        <v>1</v>
      </c>
      <c r="AF94" s="9" t="str">
        <f t="shared" si="3"/>
        <v>KPAN  NESTOR 1</v>
      </c>
      <c r="AG94" s="243" t="str">
        <f t="shared" si="4"/>
        <v>6/8/2021</v>
      </c>
      <c r="AH94" s="51">
        <f>COUNTIFS(Z:Z,Z94,AG:AG,AG94)</f>
        <v>4</v>
      </c>
      <c r="AI94" s="49">
        <f t="shared" si="5"/>
        <v>0</v>
      </c>
    </row>
    <row r="95" spans="1:35" ht="15" x14ac:dyDescent="0.2">
      <c r="A95" s="145" t="s">
        <v>989</v>
      </c>
      <c r="B95" s="146" t="s">
        <v>668</v>
      </c>
      <c r="C95" s="145" t="s">
        <v>989</v>
      </c>
      <c r="D95" s="147" t="s">
        <v>669</v>
      </c>
      <c r="E95" s="146" t="s">
        <v>670</v>
      </c>
      <c r="F95" s="146" t="s">
        <v>671</v>
      </c>
      <c r="G95" s="146" t="s">
        <v>672</v>
      </c>
      <c r="H95" s="148">
        <v>2.5</v>
      </c>
      <c r="I95" s="146" t="s">
        <v>673</v>
      </c>
      <c r="J95" s="149">
        <v>1</v>
      </c>
      <c r="K95" s="150">
        <v>2021</v>
      </c>
      <c r="L95" s="151" t="s">
        <v>990</v>
      </c>
      <c r="M95" s="151" t="s">
        <v>991</v>
      </c>
      <c r="N95" s="161" t="s">
        <v>992</v>
      </c>
      <c r="O95" s="153" t="s">
        <v>993</v>
      </c>
      <c r="P95" s="154" t="s">
        <v>676</v>
      </c>
      <c r="Q95" s="154">
        <v>1981</v>
      </c>
      <c r="R95" s="155">
        <v>8</v>
      </c>
      <c r="S95" s="146"/>
      <c r="T95" s="168"/>
      <c r="U95" s="146"/>
      <c r="V95" s="146"/>
      <c r="W95" s="146"/>
      <c r="X95" s="156">
        <v>0</v>
      </c>
      <c r="Y95" s="156">
        <v>0</v>
      </c>
      <c r="Z95" s="157" t="s">
        <v>677</v>
      </c>
      <c r="AA95" s="158">
        <v>2021</v>
      </c>
      <c r="AB95" s="158">
        <v>7</v>
      </c>
      <c r="AC95" s="158">
        <v>15</v>
      </c>
      <c r="AD95" s="122" t="b">
        <f>IF(ISBLANK(GroupMember[[#This Row],[1. Identifiant interne d’exploitation agricole*]]),"",IF(ISERROR(MATCH(GroupMember[[#This Row],[1. Identifiant interne d’exploitation agricole*]],CertifiedCrop[1. Identifiant interne d’exploitation agricole*],0)),FALSE,TRUE))</f>
        <v>1</v>
      </c>
      <c r="AE95" s="122" t="b">
        <f>IF(ISBLANK(GroupMember[[#This Row],[1. Identifiant interne d’exploitation agricole*]]),"",IF(ISERROR(MATCH(GroupMember[[#This Row],[1. Identifiant interne d’exploitation agricole*]],FarmUnit[1. Identifiant interne d’exploitation agricole*],0)),FALSE,TRUE))</f>
        <v>1</v>
      </c>
      <c r="AF95" s="9" t="str">
        <f t="shared" si="3"/>
        <v>GONLY OLIVIER</v>
      </c>
      <c r="AG95" s="243" t="str">
        <f t="shared" si="4"/>
        <v>15/7/2021</v>
      </c>
      <c r="AH95" s="51">
        <f>COUNTIFS(Z:Z,Z95,AG:AG,AG95)</f>
        <v>4</v>
      </c>
      <c r="AI95" s="49">
        <f t="shared" si="5"/>
        <v>0</v>
      </c>
    </row>
    <row r="96" spans="1:35" ht="15" x14ac:dyDescent="0.2">
      <c r="A96" s="145" t="s">
        <v>994</v>
      </c>
      <c r="B96" s="146" t="s">
        <v>668</v>
      </c>
      <c r="C96" s="145" t="s">
        <v>994</v>
      </c>
      <c r="D96" s="147" t="s">
        <v>669</v>
      </c>
      <c r="E96" s="146" t="s">
        <v>670</v>
      </c>
      <c r="F96" s="146" t="s">
        <v>671</v>
      </c>
      <c r="G96" s="146" t="s">
        <v>672</v>
      </c>
      <c r="H96" s="148">
        <v>11.47</v>
      </c>
      <c r="I96" s="146" t="s">
        <v>673</v>
      </c>
      <c r="J96" s="149">
        <v>2</v>
      </c>
      <c r="K96" s="150">
        <v>2021</v>
      </c>
      <c r="L96" s="151" t="s">
        <v>995</v>
      </c>
      <c r="M96" s="151" t="s">
        <v>996</v>
      </c>
      <c r="N96" s="161" t="s">
        <v>997</v>
      </c>
      <c r="O96" s="153"/>
      <c r="P96" s="154" t="s">
        <v>676</v>
      </c>
      <c r="Q96" s="154"/>
      <c r="R96" s="155">
        <v>4</v>
      </c>
      <c r="S96" s="146"/>
      <c r="T96" s="168"/>
      <c r="U96" s="146"/>
      <c r="V96" s="146"/>
      <c r="W96" s="146"/>
      <c r="X96" s="156">
        <v>0</v>
      </c>
      <c r="Y96" s="156">
        <v>2</v>
      </c>
      <c r="Z96" s="157" t="s">
        <v>677</v>
      </c>
      <c r="AA96" s="158">
        <v>2021</v>
      </c>
      <c r="AB96" s="158">
        <v>8</v>
      </c>
      <c r="AC96" s="158">
        <v>7</v>
      </c>
      <c r="AD96" s="122" t="b">
        <f>IF(ISBLANK(GroupMember[[#This Row],[1. Identifiant interne d’exploitation agricole*]]),"",IF(ISERROR(MATCH(GroupMember[[#This Row],[1. Identifiant interne d’exploitation agricole*]],CertifiedCrop[1. Identifiant interne d’exploitation agricole*],0)),FALSE,TRUE))</f>
        <v>1</v>
      </c>
      <c r="AE96" s="122" t="b">
        <f>IF(ISBLANK(GroupMember[[#This Row],[1. Identifiant interne d’exploitation agricole*]]),"",IF(ISERROR(MATCH(GroupMember[[#This Row],[1. Identifiant interne d’exploitation agricole*]],FarmUnit[1. Identifiant interne d’exploitation agricole*],0)),FALSE,TRUE))</f>
        <v>1</v>
      </c>
      <c r="AF96" s="9" t="str">
        <f t="shared" si="3"/>
        <v>DIEPEU  GBA JACQUES</v>
      </c>
      <c r="AG96" s="243" t="str">
        <f t="shared" si="4"/>
        <v>7/8/2021</v>
      </c>
      <c r="AH96" s="51">
        <f>COUNTIFS(Z:Z,Z96,AG:AG,AG96)</f>
        <v>4</v>
      </c>
      <c r="AI96" s="49">
        <f t="shared" si="5"/>
        <v>0.16666666666666666</v>
      </c>
    </row>
    <row r="97" spans="1:35" ht="15" x14ac:dyDescent="0.2">
      <c r="A97" s="145" t="s">
        <v>998</v>
      </c>
      <c r="B97" s="146" t="s">
        <v>668</v>
      </c>
      <c r="C97" s="145" t="s">
        <v>998</v>
      </c>
      <c r="D97" s="147" t="s">
        <v>669</v>
      </c>
      <c r="E97" s="146" t="s">
        <v>670</v>
      </c>
      <c r="F97" s="146" t="s">
        <v>671</v>
      </c>
      <c r="G97" s="146" t="s">
        <v>672</v>
      </c>
      <c r="H97" s="148">
        <v>3.66</v>
      </c>
      <c r="I97" s="146" t="s">
        <v>673</v>
      </c>
      <c r="J97" s="149">
        <v>1</v>
      </c>
      <c r="K97" s="150">
        <v>2021</v>
      </c>
      <c r="L97" s="151" t="s">
        <v>707</v>
      </c>
      <c r="M97" s="151" t="s">
        <v>999</v>
      </c>
      <c r="N97" s="161" t="s">
        <v>1000</v>
      </c>
      <c r="O97" s="153"/>
      <c r="P97" s="154" t="s">
        <v>676</v>
      </c>
      <c r="Q97" s="154"/>
      <c r="R97" s="155">
        <v>5</v>
      </c>
      <c r="S97" s="146"/>
      <c r="T97" s="168"/>
      <c r="U97" s="146"/>
      <c r="V97" s="146"/>
      <c r="W97" s="146"/>
      <c r="X97" s="156">
        <v>0</v>
      </c>
      <c r="Y97" s="156">
        <v>0</v>
      </c>
      <c r="Z97" s="157" t="s">
        <v>677</v>
      </c>
      <c r="AA97" s="158">
        <v>2021</v>
      </c>
      <c r="AB97" s="158">
        <v>7</v>
      </c>
      <c r="AC97" s="158">
        <v>7</v>
      </c>
      <c r="AD97" s="122" t="b">
        <f>IF(ISBLANK(GroupMember[[#This Row],[1. Identifiant interne d’exploitation agricole*]]),"",IF(ISERROR(MATCH(GroupMember[[#This Row],[1. Identifiant interne d’exploitation agricole*]],CertifiedCrop[1. Identifiant interne d’exploitation agricole*],0)),FALSE,TRUE))</f>
        <v>1</v>
      </c>
      <c r="AE97" s="122" t="b">
        <f>IF(ISBLANK(GroupMember[[#This Row],[1. Identifiant interne d’exploitation agricole*]]),"",IF(ISERROR(MATCH(GroupMember[[#This Row],[1. Identifiant interne d’exploitation agricole*]],FarmUnit[1. Identifiant interne d’exploitation agricole*],0)),FALSE,TRUE))</f>
        <v>1</v>
      </c>
      <c r="AF97" s="9" t="str">
        <f t="shared" si="3"/>
        <v>OUEDRAOGO  MOCTAR</v>
      </c>
      <c r="AG97" s="243" t="str">
        <f t="shared" si="4"/>
        <v>7/7/2021</v>
      </c>
      <c r="AH97" s="51">
        <f>COUNTIFS(Z:Z,Z97,AG:AG,AG97)</f>
        <v>4</v>
      </c>
      <c r="AI97" s="49">
        <f t="shared" si="5"/>
        <v>0</v>
      </c>
    </row>
    <row r="98" spans="1:35" ht="15" x14ac:dyDescent="0.2">
      <c r="A98" s="145" t="s">
        <v>1001</v>
      </c>
      <c r="B98" s="146" t="s">
        <v>668</v>
      </c>
      <c r="C98" s="145" t="s">
        <v>1001</v>
      </c>
      <c r="D98" s="147" t="s">
        <v>669</v>
      </c>
      <c r="E98" s="146" t="s">
        <v>670</v>
      </c>
      <c r="F98" s="146" t="s">
        <v>671</v>
      </c>
      <c r="G98" s="146" t="s">
        <v>672</v>
      </c>
      <c r="H98" s="148">
        <v>5.28</v>
      </c>
      <c r="I98" s="146" t="s">
        <v>673</v>
      </c>
      <c r="J98" s="149">
        <v>1</v>
      </c>
      <c r="K98" s="150">
        <v>2021</v>
      </c>
      <c r="L98" s="151" t="s">
        <v>1002</v>
      </c>
      <c r="M98" s="151" t="s">
        <v>1003</v>
      </c>
      <c r="N98" s="161" t="s">
        <v>1004</v>
      </c>
      <c r="O98" s="153"/>
      <c r="P98" s="154" t="s">
        <v>676</v>
      </c>
      <c r="Q98" s="154"/>
      <c r="R98" s="155">
        <v>7</v>
      </c>
      <c r="S98" s="146"/>
      <c r="T98" s="168"/>
      <c r="U98" s="146"/>
      <c r="V98" s="146"/>
      <c r="W98" s="146"/>
      <c r="X98" s="156">
        <v>0</v>
      </c>
      <c r="Y98" s="156">
        <v>0</v>
      </c>
      <c r="Z98" s="157" t="s">
        <v>677</v>
      </c>
      <c r="AA98" s="158">
        <v>2021</v>
      </c>
      <c r="AB98" s="158">
        <v>7</v>
      </c>
      <c r="AC98" s="158">
        <v>5</v>
      </c>
      <c r="AD98" s="122" t="b">
        <f>IF(ISBLANK(GroupMember[[#This Row],[1. Identifiant interne d’exploitation agricole*]]),"",IF(ISERROR(MATCH(GroupMember[[#This Row],[1. Identifiant interne d’exploitation agricole*]],CertifiedCrop[1. Identifiant interne d’exploitation agricole*],0)),FALSE,TRUE))</f>
        <v>1</v>
      </c>
      <c r="AE98" s="122" t="b">
        <f>IF(ISBLANK(GroupMember[[#This Row],[1. Identifiant interne d’exploitation agricole*]]),"",IF(ISERROR(MATCH(GroupMember[[#This Row],[1. Identifiant interne d’exploitation agricole*]],FarmUnit[1. Identifiant interne d’exploitation agricole*],0)),FALSE,TRUE))</f>
        <v>1</v>
      </c>
      <c r="AF98" s="9" t="str">
        <f t="shared" si="3"/>
        <v>SAVADOGO  ISSIAKA</v>
      </c>
      <c r="AG98" s="243" t="str">
        <f t="shared" si="4"/>
        <v>5/7/2021</v>
      </c>
      <c r="AH98" s="51">
        <f>COUNTIFS(Z:Z,Z98,AG:AG,AG98)</f>
        <v>4</v>
      </c>
      <c r="AI98" s="49">
        <f t="shared" si="5"/>
        <v>0</v>
      </c>
    </row>
    <row r="99" spans="1:35" ht="15" x14ac:dyDescent="0.2">
      <c r="A99" s="145" t="s">
        <v>1005</v>
      </c>
      <c r="B99" s="146" t="s">
        <v>668</v>
      </c>
      <c r="C99" s="145" t="s">
        <v>1005</v>
      </c>
      <c r="D99" s="147" t="s">
        <v>669</v>
      </c>
      <c r="E99" s="146" t="s">
        <v>670</v>
      </c>
      <c r="F99" s="146" t="s">
        <v>671</v>
      </c>
      <c r="G99" s="146" t="s">
        <v>672</v>
      </c>
      <c r="H99" s="148">
        <v>7.42</v>
      </c>
      <c r="I99" s="146" t="s">
        <v>673</v>
      </c>
      <c r="J99" s="149">
        <v>1</v>
      </c>
      <c r="K99" s="150">
        <v>2021</v>
      </c>
      <c r="L99" s="151" t="s">
        <v>1006</v>
      </c>
      <c r="M99" s="151" t="s">
        <v>1007</v>
      </c>
      <c r="N99" s="161" t="s">
        <v>1008</v>
      </c>
      <c r="O99" s="153"/>
      <c r="P99" s="154" t="s">
        <v>676</v>
      </c>
      <c r="Q99" s="154"/>
      <c r="R99" s="155">
        <v>5</v>
      </c>
      <c r="S99" s="146"/>
      <c r="T99" s="168"/>
      <c r="U99" s="146"/>
      <c r="V99" s="146"/>
      <c r="W99" s="146"/>
      <c r="X99" s="156">
        <v>0</v>
      </c>
      <c r="Y99" s="156">
        <v>0</v>
      </c>
      <c r="Z99" s="157" t="s">
        <v>677</v>
      </c>
      <c r="AA99" s="158">
        <v>2021</v>
      </c>
      <c r="AB99" s="158">
        <v>7</v>
      </c>
      <c r="AC99" s="158">
        <v>2</v>
      </c>
      <c r="AD99" s="122" t="b">
        <f>IF(ISBLANK(GroupMember[[#This Row],[1. Identifiant interne d’exploitation agricole*]]),"",IF(ISERROR(MATCH(GroupMember[[#This Row],[1. Identifiant interne d’exploitation agricole*]],CertifiedCrop[1. Identifiant interne d’exploitation agricole*],0)),FALSE,TRUE))</f>
        <v>1</v>
      </c>
      <c r="AE99" s="122" t="b">
        <f>IF(ISBLANK(GroupMember[[#This Row],[1. Identifiant interne d’exploitation agricole*]]),"",IF(ISERROR(MATCH(GroupMember[[#This Row],[1. Identifiant interne d’exploitation agricole*]],FarmUnit[1. Identifiant interne d’exploitation agricole*],0)),FALSE,TRUE))</f>
        <v>1</v>
      </c>
      <c r="AF99" s="9" t="str">
        <f t="shared" si="3"/>
        <v>YACO  SIMON</v>
      </c>
      <c r="AG99" s="243" t="str">
        <f t="shared" si="4"/>
        <v>2/7/2021</v>
      </c>
      <c r="AH99" s="51">
        <f>COUNTIFS(Z:Z,Z99,AG:AG,AG99)</f>
        <v>4</v>
      </c>
      <c r="AI99" s="49">
        <f t="shared" si="5"/>
        <v>0</v>
      </c>
    </row>
    <row r="100" spans="1:35" ht="15" x14ac:dyDescent="0.2">
      <c r="A100" s="145" t="s">
        <v>1009</v>
      </c>
      <c r="B100" s="146" t="s">
        <v>668</v>
      </c>
      <c r="C100" s="145" t="s">
        <v>1009</v>
      </c>
      <c r="D100" s="147" t="s">
        <v>669</v>
      </c>
      <c r="E100" s="146" t="s">
        <v>670</v>
      </c>
      <c r="F100" s="146" t="s">
        <v>671</v>
      </c>
      <c r="G100" s="146" t="s">
        <v>672</v>
      </c>
      <c r="H100" s="148">
        <v>10.44</v>
      </c>
      <c r="I100" s="146" t="s">
        <v>673</v>
      </c>
      <c r="J100" s="149">
        <v>1</v>
      </c>
      <c r="K100" s="150">
        <v>2021</v>
      </c>
      <c r="L100" s="151" t="s">
        <v>1010</v>
      </c>
      <c r="M100" s="151" t="s">
        <v>1011</v>
      </c>
      <c r="N100" s="276" t="s">
        <v>3296</v>
      </c>
      <c r="O100" s="153" t="s">
        <v>3295</v>
      </c>
      <c r="P100" s="154" t="s">
        <v>676</v>
      </c>
      <c r="Q100" s="154">
        <v>1972</v>
      </c>
      <c r="R100" s="155">
        <v>5</v>
      </c>
      <c r="S100" s="146"/>
      <c r="T100" s="168"/>
      <c r="U100" s="146"/>
      <c r="V100" s="146"/>
      <c r="W100" s="146"/>
      <c r="X100" s="156">
        <v>0</v>
      </c>
      <c r="Y100" s="156">
        <v>0</v>
      </c>
      <c r="Z100" s="157" t="s">
        <v>677</v>
      </c>
      <c r="AA100" s="158">
        <v>2021</v>
      </c>
      <c r="AB100" s="158">
        <v>7</v>
      </c>
      <c r="AC100" s="158">
        <v>8</v>
      </c>
      <c r="AD100" s="122" t="b">
        <f>IF(ISBLANK(GroupMember[[#This Row],[1. Identifiant interne d’exploitation agricole*]]),"",IF(ISERROR(MATCH(GroupMember[[#This Row],[1. Identifiant interne d’exploitation agricole*]],CertifiedCrop[1. Identifiant interne d’exploitation agricole*],0)),FALSE,TRUE))</f>
        <v>1</v>
      </c>
      <c r="AE100" s="122" t="b">
        <f>IF(ISBLANK(GroupMember[[#This Row],[1. Identifiant interne d’exploitation agricole*]]),"",IF(ISERROR(MATCH(GroupMember[[#This Row],[1. Identifiant interne d’exploitation agricole*]],FarmUnit[1. Identifiant interne d’exploitation agricole*],0)),FALSE,TRUE))</f>
        <v>1</v>
      </c>
      <c r="AF100" s="9" t="str">
        <f t="shared" si="3"/>
        <v>BAMBA  YOUSSOUF</v>
      </c>
      <c r="AG100" s="243" t="str">
        <f t="shared" si="4"/>
        <v>8/7/2021</v>
      </c>
      <c r="AH100" s="51">
        <f>COUNTIFS(Z:Z,Z100,AG:AG,AG100)</f>
        <v>5</v>
      </c>
      <c r="AI100" s="49">
        <f t="shared" si="5"/>
        <v>0</v>
      </c>
    </row>
    <row r="101" spans="1:35" ht="15" x14ac:dyDescent="0.2">
      <c r="A101" s="145" t="s">
        <v>1012</v>
      </c>
      <c r="B101" s="146" t="s">
        <v>668</v>
      </c>
      <c r="C101" s="145" t="s">
        <v>1012</v>
      </c>
      <c r="D101" s="147" t="s">
        <v>669</v>
      </c>
      <c r="E101" s="146" t="s">
        <v>670</v>
      </c>
      <c r="F101" s="146" t="s">
        <v>671</v>
      </c>
      <c r="G101" s="146" t="s">
        <v>672</v>
      </c>
      <c r="H101" s="148">
        <v>4.5</v>
      </c>
      <c r="I101" s="146" t="s">
        <v>673</v>
      </c>
      <c r="J101" s="149">
        <v>2</v>
      </c>
      <c r="K101" s="150">
        <v>2021</v>
      </c>
      <c r="L101" s="151" t="s">
        <v>836</v>
      </c>
      <c r="M101" s="169" t="s">
        <v>1013</v>
      </c>
      <c r="N101" s="161"/>
      <c r="O101" s="153" t="s">
        <v>1014</v>
      </c>
      <c r="P101" s="154" t="s">
        <v>676</v>
      </c>
      <c r="Q101" s="154">
        <v>1977</v>
      </c>
      <c r="R101" s="155">
        <v>8</v>
      </c>
      <c r="S101" s="146"/>
      <c r="T101" s="168"/>
      <c r="U101" s="146"/>
      <c r="V101" s="146"/>
      <c r="W101" s="146"/>
      <c r="X101" s="156">
        <v>0</v>
      </c>
      <c r="Y101" s="156">
        <v>0</v>
      </c>
      <c r="Z101" s="157" t="s">
        <v>677</v>
      </c>
      <c r="AA101" s="158">
        <v>2021</v>
      </c>
      <c r="AB101" s="158">
        <v>7</v>
      </c>
      <c r="AC101" s="158">
        <v>15</v>
      </c>
      <c r="AD101" s="122" t="b">
        <f>IF(ISBLANK(GroupMember[[#This Row],[1. Identifiant interne d’exploitation agricole*]]),"",IF(ISERROR(MATCH(GroupMember[[#This Row],[1. Identifiant interne d’exploitation agricole*]],CertifiedCrop[1. Identifiant interne d’exploitation agricole*],0)),FALSE,TRUE))</f>
        <v>1</v>
      </c>
      <c r="AE101" s="122" t="b">
        <f>IF(ISBLANK(GroupMember[[#This Row],[1. Identifiant interne d’exploitation agricole*]]),"",IF(ISERROR(MATCH(GroupMember[[#This Row],[1. Identifiant interne d’exploitation agricole*]],FarmUnit[1. Identifiant interne d’exploitation agricole*],0)),FALSE,TRUE))</f>
        <v>1</v>
      </c>
      <c r="AF101" s="9" t="str">
        <f t="shared" si="3"/>
        <v>WAH  RICHARD</v>
      </c>
      <c r="AG101" s="243" t="str">
        <f t="shared" si="4"/>
        <v>15/7/2021</v>
      </c>
      <c r="AH101" s="51">
        <f>COUNTIFS(Z:Z,Z101,AG:AG,AG101)</f>
        <v>4</v>
      </c>
      <c r="AI101" s="49">
        <f t="shared" si="5"/>
        <v>0</v>
      </c>
    </row>
    <row r="102" spans="1:35" ht="15" x14ac:dyDescent="0.2">
      <c r="A102" s="145" t="s">
        <v>1015</v>
      </c>
      <c r="B102" s="146" t="s">
        <v>668</v>
      </c>
      <c r="C102" s="145" t="s">
        <v>1015</v>
      </c>
      <c r="D102" s="147" t="s">
        <v>669</v>
      </c>
      <c r="E102" s="146" t="s">
        <v>670</v>
      </c>
      <c r="F102" s="146" t="s">
        <v>671</v>
      </c>
      <c r="G102" s="146" t="s">
        <v>672</v>
      </c>
      <c r="H102" s="148">
        <v>5</v>
      </c>
      <c r="I102" s="146" t="s">
        <v>673</v>
      </c>
      <c r="J102" s="149">
        <v>1</v>
      </c>
      <c r="K102" s="150">
        <v>2021</v>
      </c>
      <c r="L102" s="151" t="s">
        <v>925</v>
      </c>
      <c r="M102" s="151" t="s">
        <v>1016</v>
      </c>
      <c r="N102" s="161" t="s">
        <v>1017</v>
      </c>
      <c r="O102" s="153" t="s">
        <v>1018</v>
      </c>
      <c r="P102" s="154" t="s">
        <v>676</v>
      </c>
      <c r="Q102" s="154">
        <v>1992</v>
      </c>
      <c r="R102" s="155">
        <v>5</v>
      </c>
      <c r="S102" s="146"/>
      <c r="T102" s="168"/>
      <c r="U102" s="146"/>
      <c r="V102" s="146"/>
      <c r="W102" s="146"/>
      <c r="X102" s="156">
        <v>0</v>
      </c>
      <c r="Y102" s="156">
        <v>0</v>
      </c>
      <c r="Z102" s="157" t="s">
        <v>677</v>
      </c>
      <c r="AA102" s="158">
        <v>2021</v>
      </c>
      <c r="AB102" s="158">
        <v>8</v>
      </c>
      <c r="AC102" s="158">
        <v>7</v>
      </c>
      <c r="AD102" s="122" t="b">
        <f>IF(ISBLANK(GroupMember[[#This Row],[1. Identifiant interne d’exploitation agricole*]]),"",IF(ISERROR(MATCH(GroupMember[[#This Row],[1. Identifiant interne d’exploitation agricole*]],CertifiedCrop[1. Identifiant interne d’exploitation agricole*],0)),FALSE,TRUE))</f>
        <v>1</v>
      </c>
      <c r="AE102" s="122" t="b">
        <f>IF(ISBLANK(GroupMember[[#This Row],[1. Identifiant interne d’exploitation agricole*]]),"",IF(ISERROR(MATCH(GroupMember[[#This Row],[1. Identifiant interne d’exploitation agricole*]],FarmUnit[1. Identifiant interne d’exploitation agricole*],0)),FALSE,TRUE))</f>
        <v>1</v>
      </c>
      <c r="AF102" s="9" t="str">
        <f t="shared" si="3"/>
        <v>KPAN  YVE JOEL</v>
      </c>
      <c r="AG102" s="243" t="str">
        <f t="shared" si="4"/>
        <v>7/8/2021</v>
      </c>
      <c r="AH102" s="51">
        <f>COUNTIFS(Z:Z,Z102,AG:AG,AG102)</f>
        <v>4</v>
      </c>
      <c r="AI102" s="49">
        <f t="shared" si="5"/>
        <v>0</v>
      </c>
    </row>
    <row r="103" spans="1:35" ht="15" x14ac:dyDescent="0.2">
      <c r="A103" s="145" t="s">
        <v>1019</v>
      </c>
      <c r="B103" s="146" t="s">
        <v>668</v>
      </c>
      <c r="C103" s="145" t="s">
        <v>1019</v>
      </c>
      <c r="D103" s="147" t="s">
        <v>669</v>
      </c>
      <c r="E103" s="146" t="s">
        <v>670</v>
      </c>
      <c r="F103" s="146" t="s">
        <v>671</v>
      </c>
      <c r="G103" s="146" t="s">
        <v>672</v>
      </c>
      <c r="H103" s="148">
        <v>5.77</v>
      </c>
      <c r="I103" s="146" t="s">
        <v>673</v>
      </c>
      <c r="J103" s="149">
        <v>2</v>
      </c>
      <c r="K103" s="150">
        <v>2021</v>
      </c>
      <c r="L103" s="151" t="s">
        <v>976</v>
      </c>
      <c r="M103" s="151" t="s">
        <v>758</v>
      </c>
      <c r="N103" s="161"/>
      <c r="O103" s="153"/>
      <c r="P103" s="154" t="s">
        <v>676</v>
      </c>
      <c r="Q103" s="154"/>
      <c r="R103" s="155">
        <v>4</v>
      </c>
      <c r="S103" s="146"/>
      <c r="T103" s="168"/>
      <c r="U103" s="146"/>
      <c r="V103" s="146"/>
      <c r="W103" s="146"/>
      <c r="X103" s="156">
        <v>0</v>
      </c>
      <c r="Y103" s="156">
        <v>0</v>
      </c>
      <c r="Z103" s="157" t="s">
        <v>677</v>
      </c>
      <c r="AA103" s="158">
        <v>2021</v>
      </c>
      <c r="AB103" s="158">
        <v>8</v>
      </c>
      <c r="AC103" s="158">
        <v>5</v>
      </c>
      <c r="AD103" s="122" t="b">
        <f>IF(ISBLANK(GroupMember[[#This Row],[1. Identifiant interne d’exploitation agricole*]]),"",IF(ISERROR(MATCH(GroupMember[[#This Row],[1. Identifiant interne d’exploitation agricole*]],CertifiedCrop[1. Identifiant interne d’exploitation agricole*],0)),FALSE,TRUE))</f>
        <v>1</v>
      </c>
      <c r="AE103" s="122" t="b">
        <f>IF(ISBLANK(GroupMember[[#This Row],[1. Identifiant interne d’exploitation agricole*]]),"",IF(ISERROR(MATCH(GroupMember[[#This Row],[1. Identifiant interne d’exploitation agricole*]],FarmUnit[1. Identifiant interne d’exploitation agricole*],0)),FALSE,TRUE))</f>
        <v>1</v>
      </c>
      <c r="AF103" s="9" t="str">
        <f t="shared" si="3"/>
        <v>VANMOH PIERRE</v>
      </c>
      <c r="AG103" s="243" t="str">
        <f t="shared" si="4"/>
        <v>5/8/2021</v>
      </c>
      <c r="AH103" s="51">
        <f>COUNTIFS(Z:Z,Z103,AG:AG,AG103)</f>
        <v>5</v>
      </c>
      <c r="AI103" s="49">
        <f t="shared" si="5"/>
        <v>0</v>
      </c>
    </row>
    <row r="104" spans="1:35" ht="15" x14ac:dyDescent="0.2">
      <c r="A104" s="145" t="s">
        <v>1020</v>
      </c>
      <c r="B104" s="146" t="s">
        <v>668</v>
      </c>
      <c r="C104" s="145" t="s">
        <v>1020</v>
      </c>
      <c r="D104" s="147" t="s">
        <v>669</v>
      </c>
      <c r="E104" s="146" t="s">
        <v>670</v>
      </c>
      <c r="F104" s="146" t="s">
        <v>671</v>
      </c>
      <c r="G104" s="146" t="s">
        <v>672</v>
      </c>
      <c r="H104" s="148">
        <v>4.1399999999999997</v>
      </c>
      <c r="I104" s="146" t="s">
        <v>673</v>
      </c>
      <c r="J104" s="149">
        <v>1</v>
      </c>
      <c r="K104" s="150">
        <v>2021</v>
      </c>
      <c r="L104" s="151" t="s">
        <v>1021</v>
      </c>
      <c r="M104" s="151" t="s">
        <v>1022</v>
      </c>
      <c r="N104" s="161"/>
      <c r="O104" s="153" t="s">
        <v>1023</v>
      </c>
      <c r="P104" s="154" t="s">
        <v>676</v>
      </c>
      <c r="Q104" s="154">
        <v>1971</v>
      </c>
      <c r="R104" s="155">
        <v>6</v>
      </c>
      <c r="S104" s="146"/>
      <c r="T104" s="168"/>
      <c r="U104" s="146"/>
      <c r="V104" s="146"/>
      <c r="W104" s="146"/>
      <c r="X104" s="156">
        <v>0</v>
      </c>
      <c r="Y104" s="156">
        <v>0</v>
      </c>
      <c r="Z104" s="157" t="s">
        <v>677</v>
      </c>
      <c r="AA104" s="158">
        <v>2021</v>
      </c>
      <c r="AB104" s="158">
        <v>8</v>
      </c>
      <c r="AC104" s="158">
        <v>9</v>
      </c>
      <c r="AD104" s="122" t="b">
        <f>IF(ISBLANK(GroupMember[[#This Row],[1. Identifiant interne d’exploitation agricole*]]),"",IF(ISERROR(MATCH(GroupMember[[#This Row],[1. Identifiant interne d’exploitation agricole*]],CertifiedCrop[1. Identifiant interne d’exploitation agricole*],0)),FALSE,TRUE))</f>
        <v>1</v>
      </c>
      <c r="AE104" s="122" t="b">
        <f>IF(ISBLANK(GroupMember[[#This Row],[1. Identifiant interne d’exploitation agricole*]]),"",IF(ISERROR(MATCH(GroupMember[[#This Row],[1. Identifiant interne d’exploitation agricole*]],FarmUnit[1. Identifiant interne d’exploitation agricole*],0)),FALSE,TRUE))</f>
        <v>1</v>
      </c>
      <c r="AF104" s="9" t="str">
        <f t="shared" si="3"/>
        <v>DOH GLOU JONAS</v>
      </c>
      <c r="AG104" s="243" t="str">
        <f t="shared" si="4"/>
        <v>9/8/2021</v>
      </c>
      <c r="AH104" s="51">
        <f>COUNTIFS(Z:Z,Z104,AG:AG,AG104)</f>
        <v>5</v>
      </c>
      <c r="AI104" s="49">
        <f t="shared" si="5"/>
        <v>0</v>
      </c>
    </row>
    <row r="105" spans="1:35" ht="15" x14ac:dyDescent="0.2">
      <c r="A105" s="145" t="s">
        <v>1024</v>
      </c>
      <c r="B105" s="146" t="s">
        <v>668</v>
      </c>
      <c r="C105" s="145" t="s">
        <v>1024</v>
      </c>
      <c r="D105" s="147" t="s">
        <v>669</v>
      </c>
      <c r="E105" s="146" t="s">
        <v>670</v>
      </c>
      <c r="F105" s="146" t="s">
        <v>671</v>
      </c>
      <c r="G105" s="146" t="s">
        <v>672</v>
      </c>
      <c r="H105" s="148">
        <v>3.66</v>
      </c>
      <c r="I105" s="146" t="s">
        <v>673</v>
      </c>
      <c r="J105" s="149">
        <v>1</v>
      </c>
      <c r="K105" s="150">
        <v>2021</v>
      </c>
      <c r="L105" s="151" t="s">
        <v>1025</v>
      </c>
      <c r="M105" s="151" t="s">
        <v>1026</v>
      </c>
      <c r="N105" s="161" t="s">
        <v>1027</v>
      </c>
      <c r="O105" s="153"/>
      <c r="P105" s="154" t="s">
        <v>676</v>
      </c>
      <c r="Q105" s="154"/>
      <c r="R105" s="155">
        <v>9</v>
      </c>
      <c r="S105" s="146"/>
      <c r="T105" s="168"/>
      <c r="U105" s="146"/>
      <c r="V105" s="146"/>
      <c r="W105" s="146"/>
      <c r="X105" s="156">
        <v>0</v>
      </c>
      <c r="Y105" s="156">
        <v>0</v>
      </c>
      <c r="Z105" s="157" t="s">
        <v>677</v>
      </c>
      <c r="AA105" s="158">
        <v>2021</v>
      </c>
      <c r="AB105" s="158">
        <v>8</v>
      </c>
      <c r="AC105" s="158">
        <v>5</v>
      </c>
      <c r="AD105" s="122" t="b">
        <f>IF(ISBLANK(GroupMember[[#This Row],[1. Identifiant interne d’exploitation agricole*]]),"",IF(ISERROR(MATCH(GroupMember[[#This Row],[1. Identifiant interne d’exploitation agricole*]],CertifiedCrop[1. Identifiant interne d’exploitation agricole*],0)),FALSE,TRUE))</f>
        <v>1</v>
      </c>
      <c r="AE105" s="122" t="b">
        <f>IF(ISBLANK(GroupMember[[#This Row],[1. Identifiant interne d’exploitation agricole*]]),"",IF(ISERROR(MATCH(GroupMember[[#This Row],[1. Identifiant interne d’exploitation agricole*]],FarmUnit[1. Identifiant interne d’exploitation agricole*],0)),FALSE,TRUE))</f>
        <v>1</v>
      </c>
      <c r="AF105" s="9" t="str">
        <f t="shared" si="3"/>
        <v>OMAIPIEU  MARUS</v>
      </c>
      <c r="AG105" s="243" t="str">
        <f t="shared" si="4"/>
        <v>5/8/2021</v>
      </c>
      <c r="AH105" s="51">
        <f>COUNTIFS(Z:Z,Z105,AG:AG,AG105)</f>
        <v>5</v>
      </c>
      <c r="AI105" s="49">
        <f t="shared" si="5"/>
        <v>0</v>
      </c>
    </row>
    <row r="106" spans="1:35" ht="15" x14ac:dyDescent="0.2">
      <c r="A106" s="145" t="s">
        <v>1028</v>
      </c>
      <c r="B106" s="146" t="s">
        <v>668</v>
      </c>
      <c r="C106" s="145" t="s">
        <v>1028</v>
      </c>
      <c r="D106" s="147" t="s">
        <v>669</v>
      </c>
      <c r="E106" s="146" t="s">
        <v>670</v>
      </c>
      <c r="F106" s="146" t="s">
        <v>671</v>
      </c>
      <c r="G106" s="146" t="s">
        <v>672</v>
      </c>
      <c r="H106" s="148">
        <v>9</v>
      </c>
      <c r="I106" s="146" t="s">
        <v>673</v>
      </c>
      <c r="J106" s="149">
        <v>2</v>
      </c>
      <c r="K106" s="150">
        <v>2021</v>
      </c>
      <c r="L106" s="151" t="s">
        <v>768</v>
      </c>
      <c r="M106" s="151" t="s">
        <v>1029</v>
      </c>
      <c r="N106" s="161"/>
      <c r="O106" s="153"/>
      <c r="P106" s="154" t="s">
        <v>676</v>
      </c>
      <c r="Q106" s="154"/>
      <c r="R106" s="155">
        <v>5</v>
      </c>
      <c r="S106" s="146"/>
      <c r="T106" s="168"/>
      <c r="U106" s="146"/>
      <c r="V106" s="146"/>
      <c r="W106" s="146"/>
      <c r="X106" s="156">
        <v>0</v>
      </c>
      <c r="Y106" s="156">
        <v>0</v>
      </c>
      <c r="Z106" s="157" t="s">
        <v>677</v>
      </c>
      <c r="AA106" s="158">
        <v>2021</v>
      </c>
      <c r="AB106" s="158">
        <v>8</v>
      </c>
      <c r="AC106" s="158">
        <v>7</v>
      </c>
      <c r="AD106" s="122" t="b">
        <f>IF(ISBLANK(GroupMember[[#This Row],[1. Identifiant interne d’exploitation agricole*]]),"",IF(ISERROR(MATCH(GroupMember[[#This Row],[1. Identifiant interne d’exploitation agricole*]],CertifiedCrop[1. Identifiant interne d’exploitation agricole*],0)),FALSE,TRUE))</f>
        <v>1</v>
      </c>
      <c r="AE106" s="122" t="b">
        <f>IF(ISBLANK(GroupMember[[#This Row],[1. Identifiant interne d’exploitation agricole*]]),"",IF(ISERROR(MATCH(GroupMember[[#This Row],[1. Identifiant interne d’exploitation agricole*]],FarmUnit[1. Identifiant interne d’exploitation agricole*],0)),FALSE,TRUE))</f>
        <v>1</v>
      </c>
      <c r="AF106" s="9" t="str">
        <f t="shared" si="3"/>
        <v>GUEI  MATHIEU</v>
      </c>
      <c r="AG106" s="243" t="str">
        <f t="shared" si="4"/>
        <v>7/8/2021</v>
      </c>
      <c r="AH106" s="51">
        <f>COUNTIFS(Z:Z,Z106,AG:AG,AG106)</f>
        <v>4</v>
      </c>
      <c r="AI106" s="49">
        <f t="shared" si="5"/>
        <v>0</v>
      </c>
    </row>
    <row r="107" spans="1:35" ht="15" x14ac:dyDescent="0.2">
      <c r="A107" s="145" t="s">
        <v>1030</v>
      </c>
      <c r="B107" s="146" t="s">
        <v>668</v>
      </c>
      <c r="C107" s="145" t="s">
        <v>1030</v>
      </c>
      <c r="D107" s="147" t="s">
        <v>669</v>
      </c>
      <c r="E107" s="146" t="s">
        <v>670</v>
      </c>
      <c r="F107" s="146" t="s">
        <v>671</v>
      </c>
      <c r="G107" s="146" t="s">
        <v>672</v>
      </c>
      <c r="H107" s="148">
        <v>1.29</v>
      </c>
      <c r="I107" s="146" t="s">
        <v>673</v>
      </c>
      <c r="J107" s="149">
        <v>1</v>
      </c>
      <c r="K107" s="150">
        <v>2021</v>
      </c>
      <c r="L107" s="151" t="s">
        <v>682</v>
      </c>
      <c r="M107" s="169" t="s">
        <v>1031</v>
      </c>
      <c r="N107" s="161" t="s">
        <v>1032</v>
      </c>
      <c r="O107" s="153"/>
      <c r="P107" s="154" t="s">
        <v>676</v>
      </c>
      <c r="Q107" s="154"/>
      <c r="R107" s="155">
        <v>7</v>
      </c>
      <c r="S107" s="146"/>
      <c r="T107" s="168"/>
      <c r="U107" s="146"/>
      <c r="V107" s="146"/>
      <c r="W107" s="146"/>
      <c r="X107" s="156">
        <v>0</v>
      </c>
      <c r="Y107" s="156">
        <v>0</v>
      </c>
      <c r="Z107" s="157" t="s">
        <v>677</v>
      </c>
      <c r="AA107" s="158">
        <v>2021</v>
      </c>
      <c r="AB107" s="158">
        <v>7</v>
      </c>
      <c r="AC107" s="158">
        <v>8</v>
      </c>
      <c r="AD107" s="122" t="b">
        <f>IF(ISBLANK(GroupMember[[#This Row],[1. Identifiant interne d’exploitation agricole*]]),"",IF(ISERROR(MATCH(GroupMember[[#This Row],[1. Identifiant interne d’exploitation agricole*]],CertifiedCrop[1. Identifiant interne d’exploitation agricole*],0)),FALSE,TRUE))</f>
        <v>1</v>
      </c>
      <c r="AE107" s="122" t="b">
        <f>IF(ISBLANK(GroupMember[[#This Row],[1. Identifiant interne d’exploitation agricole*]]),"",IF(ISERROR(MATCH(GroupMember[[#This Row],[1. Identifiant interne d’exploitation agricole*]],FarmUnit[1. Identifiant interne d’exploitation agricole*],0)),FALSE,TRUE))</f>
        <v>1</v>
      </c>
      <c r="AF107" s="9" t="str">
        <f t="shared" si="3"/>
        <v>SANGARE MOIMEL LAMINE</v>
      </c>
      <c r="AG107" s="243" t="str">
        <f t="shared" si="4"/>
        <v>8/7/2021</v>
      </c>
      <c r="AH107" s="51">
        <f>COUNTIFS(Z:Z,Z107,AG:AG,AG107)</f>
        <v>5</v>
      </c>
      <c r="AI107" s="49">
        <f t="shared" si="5"/>
        <v>0</v>
      </c>
    </row>
    <row r="108" spans="1:35" ht="15" x14ac:dyDescent="0.2">
      <c r="A108" s="145" t="s">
        <v>1033</v>
      </c>
      <c r="B108" s="146" t="s">
        <v>668</v>
      </c>
      <c r="C108" s="145" t="s">
        <v>1033</v>
      </c>
      <c r="D108" s="147" t="s">
        <v>669</v>
      </c>
      <c r="E108" s="146" t="s">
        <v>670</v>
      </c>
      <c r="F108" s="146" t="s">
        <v>671</v>
      </c>
      <c r="G108" s="146" t="s">
        <v>672</v>
      </c>
      <c r="H108" s="148">
        <v>3</v>
      </c>
      <c r="I108" s="146" t="s">
        <v>673</v>
      </c>
      <c r="J108" s="149">
        <v>1</v>
      </c>
      <c r="K108" s="150">
        <v>2021</v>
      </c>
      <c r="L108" s="151" t="s">
        <v>799</v>
      </c>
      <c r="M108" s="151" t="s">
        <v>1034</v>
      </c>
      <c r="N108" s="161" t="s">
        <v>1035</v>
      </c>
      <c r="O108" s="153"/>
      <c r="P108" s="154" t="s">
        <v>676</v>
      </c>
      <c r="Q108" s="154"/>
      <c r="R108" s="155">
        <v>6</v>
      </c>
      <c r="S108" s="146"/>
      <c r="T108" s="168"/>
      <c r="U108" s="146"/>
      <c r="V108" s="146"/>
      <c r="W108" s="146"/>
      <c r="X108" s="156">
        <v>0</v>
      </c>
      <c r="Y108" s="156">
        <v>0</v>
      </c>
      <c r="Z108" s="157" t="s">
        <v>677</v>
      </c>
      <c r="AA108" s="158">
        <v>2021</v>
      </c>
      <c r="AB108" s="158">
        <v>7</v>
      </c>
      <c r="AC108" s="158">
        <v>15</v>
      </c>
      <c r="AD108" s="122" t="b">
        <f>IF(ISBLANK(GroupMember[[#This Row],[1. Identifiant interne d’exploitation agricole*]]),"",IF(ISERROR(MATCH(GroupMember[[#This Row],[1. Identifiant interne d’exploitation agricole*]],CertifiedCrop[1. Identifiant interne d’exploitation agricole*],0)),FALSE,TRUE))</f>
        <v>1</v>
      </c>
      <c r="AE108" s="122" t="b">
        <f>IF(ISBLANK(GroupMember[[#This Row],[1. Identifiant interne d’exploitation agricole*]]),"",IF(ISERROR(MATCH(GroupMember[[#This Row],[1. Identifiant interne d’exploitation agricole*]],FarmUnit[1. Identifiant interne d’exploitation agricole*],0)),FALSE,TRUE))</f>
        <v>1</v>
      </c>
      <c r="AF108" s="9" t="str">
        <f t="shared" si="3"/>
        <v>OMEPIEU DIDIER</v>
      </c>
      <c r="AG108" s="243" t="str">
        <f t="shared" si="4"/>
        <v>15/7/2021</v>
      </c>
      <c r="AH108" s="51">
        <f>COUNTIFS(Z:Z,Z108,AG:AG,AG108)</f>
        <v>4</v>
      </c>
      <c r="AI108" s="49">
        <f t="shared" si="5"/>
        <v>0</v>
      </c>
    </row>
    <row r="109" spans="1:35" ht="15" x14ac:dyDescent="0.2">
      <c r="A109" s="145" t="s">
        <v>1036</v>
      </c>
      <c r="B109" s="146" t="s">
        <v>668</v>
      </c>
      <c r="C109" s="145" t="s">
        <v>1036</v>
      </c>
      <c r="D109" s="147" t="s">
        <v>669</v>
      </c>
      <c r="E109" s="146" t="s">
        <v>670</v>
      </c>
      <c r="F109" s="146" t="s">
        <v>671</v>
      </c>
      <c r="G109" s="146" t="s">
        <v>672</v>
      </c>
      <c r="H109" s="148">
        <v>2</v>
      </c>
      <c r="I109" s="146" t="s">
        <v>673</v>
      </c>
      <c r="J109" s="149">
        <v>1</v>
      </c>
      <c r="K109" s="150">
        <v>2021</v>
      </c>
      <c r="L109" s="151" t="s">
        <v>803</v>
      </c>
      <c r="M109" s="151" t="s">
        <v>1037</v>
      </c>
      <c r="N109" s="161"/>
      <c r="O109" s="153"/>
      <c r="P109" s="154" t="s">
        <v>676</v>
      </c>
      <c r="Q109" s="154"/>
      <c r="R109" s="155">
        <v>86</v>
      </c>
      <c r="S109" s="146"/>
      <c r="T109" s="168"/>
      <c r="U109" s="146"/>
      <c r="V109" s="146"/>
      <c r="W109" s="146"/>
      <c r="X109" s="156">
        <v>0</v>
      </c>
      <c r="Y109" s="156">
        <v>0</v>
      </c>
      <c r="Z109" s="157" t="s">
        <v>677</v>
      </c>
      <c r="AA109" s="158">
        <v>2021</v>
      </c>
      <c r="AB109" s="158">
        <v>8</v>
      </c>
      <c r="AC109" s="158">
        <v>5</v>
      </c>
      <c r="AD109" s="122" t="b">
        <f>IF(ISBLANK(GroupMember[[#This Row],[1. Identifiant interne d’exploitation agricole*]]),"",IF(ISERROR(MATCH(GroupMember[[#This Row],[1. Identifiant interne d’exploitation agricole*]],CertifiedCrop[1. Identifiant interne d’exploitation agricole*],0)),FALSE,TRUE))</f>
        <v>1</v>
      </c>
      <c r="AE109" s="122" t="b">
        <f>IF(ISBLANK(GroupMember[[#This Row],[1. Identifiant interne d’exploitation agricole*]]),"",IF(ISERROR(MATCH(GroupMember[[#This Row],[1. Identifiant interne d’exploitation agricole*]],FarmUnit[1. Identifiant interne d’exploitation agricole*],0)),FALSE,TRUE))</f>
        <v>1</v>
      </c>
      <c r="AF109" s="9" t="str">
        <f t="shared" si="3"/>
        <v>GUEU  MARC ARSENE</v>
      </c>
      <c r="AG109" s="243" t="str">
        <f t="shared" si="4"/>
        <v>5/8/2021</v>
      </c>
      <c r="AH109" s="51">
        <f>COUNTIFS(Z:Z,Z109,AG:AG,AG109)</f>
        <v>5</v>
      </c>
      <c r="AI109" s="49">
        <f t="shared" si="5"/>
        <v>0</v>
      </c>
    </row>
    <row r="110" spans="1:35" ht="15" x14ac:dyDescent="0.2">
      <c r="A110" s="145" t="s">
        <v>1038</v>
      </c>
      <c r="B110" s="146" t="s">
        <v>668</v>
      </c>
      <c r="C110" s="145" t="s">
        <v>1038</v>
      </c>
      <c r="D110" s="147" t="s">
        <v>669</v>
      </c>
      <c r="E110" s="146" t="s">
        <v>670</v>
      </c>
      <c r="F110" s="146" t="s">
        <v>671</v>
      </c>
      <c r="G110" s="146" t="s">
        <v>672</v>
      </c>
      <c r="H110" s="148">
        <v>4</v>
      </c>
      <c r="I110" s="146" t="s">
        <v>673</v>
      </c>
      <c r="J110" s="149">
        <v>1</v>
      </c>
      <c r="K110" s="150">
        <v>2021</v>
      </c>
      <c r="L110" s="151" t="s">
        <v>803</v>
      </c>
      <c r="M110" s="151" t="s">
        <v>1039</v>
      </c>
      <c r="N110" s="161"/>
      <c r="O110" s="153"/>
      <c r="P110" s="154" t="s">
        <v>676</v>
      </c>
      <c r="Q110" s="154"/>
      <c r="R110" s="155">
        <v>7</v>
      </c>
      <c r="S110" s="146"/>
      <c r="T110" s="168"/>
      <c r="U110" s="146"/>
      <c r="V110" s="146"/>
      <c r="W110" s="146"/>
      <c r="X110" s="156">
        <v>0</v>
      </c>
      <c r="Y110" s="156">
        <v>0</v>
      </c>
      <c r="Z110" s="157" t="s">
        <v>677</v>
      </c>
      <c r="AA110" s="158">
        <v>2021</v>
      </c>
      <c r="AB110" s="158">
        <v>8</v>
      </c>
      <c r="AC110" s="158">
        <v>9</v>
      </c>
      <c r="AD110" s="122" t="b">
        <f>IF(ISBLANK(GroupMember[[#This Row],[1. Identifiant interne d’exploitation agricole*]]),"",IF(ISERROR(MATCH(GroupMember[[#This Row],[1. Identifiant interne d’exploitation agricole*]],CertifiedCrop[1. Identifiant interne d’exploitation agricole*],0)),FALSE,TRUE))</f>
        <v>1</v>
      </c>
      <c r="AE110" s="122" t="b">
        <f>IF(ISBLANK(GroupMember[[#This Row],[1. Identifiant interne d’exploitation agricole*]]),"",IF(ISERROR(MATCH(GroupMember[[#This Row],[1. Identifiant interne d’exploitation agricole*]],FarmUnit[1. Identifiant interne d’exploitation agricole*],0)),FALSE,TRUE))</f>
        <v>1</v>
      </c>
      <c r="AF110" s="9" t="str">
        <f t="shared" si="3"/>
        <v>GUEU LAZARE</v>
      </c>
      <c r="AG110" s="243" t="str">
        <f t="shared" si="4"/>
        <v>9/8/2021</v>
      </c>
      <c r="AH110" s="51">
        <f>COUNTIFS(Z:Z,Z110,AG:AG,AG110)</f>
        <v>5</v>
      </c>
      <c r="AI110" s="49">
        <f t="shared" si="5"/>
        <v>0</v>
      </c>
    </row>
    <row r="111" spans="1:35" ht="17.25" x14ac:dyDescent="0.2">
      <c r="A111" s="145" t="s">
        <v>1040</v>
      </c>
      <c r="B111" s="146" t="s">
        <v>668</v>
      </c>
      <c r="C111" s="145" t="s">
        <v>1040</v>
      </c>
      <c r="D111" s="147" t="s">
        <v>669</v>
      </c>
      <c r="E111" s="146" t="s">
        <v>670</v>
      </c>
      <c r="F111" s="146" t="s">
        <v>671</v>
      </c>
      <c r="G111" s="146" t="s">
        <v>672</v>
      </c>
      <c r="H111" s="148">
        <v>2.29</v>
      </c>
      <c r="I111" s="146" t="s">
        <v>673</v>
      </c>
      <c r="J111" s="149">
        <v>1</v>
      </c>
      <c r="K111" s="150">
        <v>2021</v>
      </c>
      <c r="L111" s="151" t="s">
        <v>760</v>
      </c>
      <c r="M111" s="151" t="s">
        <v>1041</v>
      </c>
      <c r="N111" s="161" t="s">
        <v>1042</v>
      </c>
      <c r="O111" s="153"/>
      <c r="P111" s="154" t="s">
        <v>676</v>
      </c>
      <c r="Q111" s="154"/>
      <c r="R111" s="155">
        <v>5</v>
      </c>
      <c r="S111" s="146"/>
      <c r="T111" s="168"/>
      <c r="U111" s="146"/>
      <c r="V111" s="146"/>
      <c r="W111" s="146"/>
      <c r="X111" s="156">
        <v>0</v>
      </c>
      <c r="Y111" s="156">
        <v>0</v>
      </c>
      <c r="Z111" s="157" t="s">
        <v>677</v>
      </c>
      <c r="AA111" s="158">
        <v>2021</v>
      </c>
      <c r="AB111" s="158">
        <v>8</v>
      </c>
      <c r="AC111" s="158">
        <v>5</v>
      </c>
      <c r="AD111" s="122" t="b">
        <f>IF(ISBLANK(GroupMember[[#This Row],[1. Identifiant interne d’exploitation agricole*]]),"",IF(ISERROR(MATCH(GroupMember[[#This Row],[1. Identifiant interne d’exploitation agricole*]],CertifiedCrop[1. Identifiant interne d’exploitation agricole*],0)),FALSE,TRUE))</f>
        <v>1</v>
      </c>
      <c r="AE111" s="122" t="b">
        <f>IF(ISBLANK(GroupMember[[#This Row],[1. Identifiant interne d’exploitation agricole*]]),"",IF(ISERROR(MATCH(GroupMember[[#This Row],[1. Identifiant interne d’exploitation agricole*]],FarmUnit[1. Identifiant interne d’exploitation agricole*],0)),FALSE,TRUE))</f>
        <v>1</v>
      </c>
      <c r="AF111" s="9" t="str">
        <f t="shared" si="3"/>
        <v>YERBANGA  N. FRANCIOS</v>
      </c>
      <c r="AG111" s="243" t="str">
        <f t="shared" si="4"/>
        <v>5/8/2021</v>
      </c>
      <c r="AH111" s="51">
        <f>COUNTIFS(Z:Z,Z111,AG:AG,AG111)</f>
        <v>5</v>
      </c>
      <c r="AI111" s="49">
        <f t="shared" si="5"/>
        <v>0</v>
      </c>
    </row>
    <row r="112" spans="1:35" ht="17.25" x14ac:dyDescent="0.2">
      <c r="A112" s="145" t="s">
        <v>1043</v>
      </c>
      <c r="B112" s="146" t="s">
        <v>668</v>
      </c>
      <c r="C112" s="145" t="s">
        <v>1043</v>
      </c>
      <c r="D112" s="147" t="s">
        <v>669</v>
      </c>
      <c r="E112" s="146" t="s">
        <v>670</v>
      </c>
      <c r="F112" s="146" t="s">
        <v>671</v>
      </c>
      <c r="G112" s="146" t="s">
        <v>672</v>
      </c>
      <c r="H112" s="148">
        <v>3</v>
      </c>
      <c r="I112" s="146" t="s">
        <v>673</v>
      </c>
      <c r="J112" s="149">
        <v>1</v>
      </c>
      <c r="K112" s="150">
        <v>2021</v>
      </c>
      <c r="L112" s="151" t="s">
        <v>1044</v>
      </c>
      <c r="M112" s="151" t="s">
        <v>1045</v>
      </c>
      <c r="N112" s="161"/>
      <c r="O112" s="153"/>
      <c r="P112" s="154" t="s">
        <v>676</v>
      </c>
      <c r="Q112" s="154"/>
      <c r="R112" s="155">
        <v>8</v>
      </c>
      <c r="S112" s="146"/>
      <c r="T112" s="168"/>
      <c r="U112" s="146"/>
      <c r="V112" s="146"/>
      <c r="W112" s="146"/>
      <c r="X112" s="156">
        <v>0</v>
      </c>
      <c r="Y112" s="156">
        <v>0</v>
      </c>
      <c r="Z112" s="157" t="s">
        <v>677</v>
      </c>
      <c r="AA112" s="158">
        <v>2021</v>
      </c>
      <c r="AB112" s="158">
        <v>8</v>
      </c>
      <c r="AC112" s="158">
        <v>7</v>
      </c>
      <c r="AD112" s="122" t="b">
        <f>IF(ISBLANK(GroupMember[[#This Row],[1. Identifiant interne d’exploitation agricole*]]),"",IF(ISERROR(MATCH(GroupMember[[#This Row],[1. Identifiant interne d’exploitation agricole*]],CertifiedCrop[1. Identifiant interne d’exploitation agricole*],0)),FALSE,TRUE))</f>
        <v>1</v>
      </c>
      <c r="AE112" s="122" t="b">
        <f>IF(ISBLANK(GroupMember[[#This Row],[1. Identifiant interne d’exploitation agricole*]]),"",IF(ISERROR(MATCH(GroupMember[[#This Row],[1. Identifiant interne d’exploitation agricole*]],FarmUnit[1. Identifiant interne d’exploitation agricole*],0)),FALSE,TRUE))</f>
        <v>1</v>
      </c>
      <c r="AF112" s="9" t="str">
        <f t="shared" si="3"/>
        <v>SINAYAGA  SEBASIN</v>
      </c>
      <c r="AG112" s="243" t="str">
        <f t="shared" si="4"/>
        <v>7/8/2021</v>
      </c>
      <c r="AH112" s="51">
        <f>COUNTIFS(Z:Z,Z112,AG:AG,AG112)</f>
        <v>4</v>
      </c>
      <c r="AI112" s="49">
        <f t="shared" si="5"/>
        <v>0</v>
      </c>
    </row>
    <row r="113" spans="1:35" ht="17.25" x14ac:dyDescent="0.2">
      <c r="A113" s="145" t="s">
        <v>1046</v>
      </c>
      <c r="B113" s="146" t="s">
        <v>668</v>
      </c>
      <c r="C113" s="145" t="s">
        <v>1046</v>
      </c>
      <c r="D113" s="147" t="s">
        <v>669</v>
      </c>
      <c r="E113" s="146" t="s">
        <v>670</v>
      </c>
      <c r="F113" s="146" t="s">
        <v>671</v>
      </c>
      <c r="G113" s="146" t="s">
        <v>672</v>
      </c>
      <c r="H113" s="148">
        <v>1.23</v>
      </c>
      <c r="I113" s="146" t="s">
        <v>673</v>
      </c>
      <c r="J113" s="149">
        <v>1</v>
      </c>
      <c r="K113" s="150">
        <v>2021</v>
      </c>
      <c r="L113" s="151" t="s">
        <v>1047</v>
      </c>
      <c r="M113" s="151" t="s">
        <v>1048</v>
      </c>
      <c r="N113" s="161"/>
      <c r="O113" s="153"/>
      <c r="P113" s="154" t="s">
        <v>676</v>
      </c>
      <c r="Q113" s="154"/>
      <c r="R113" s="155">
        <v>6</v>
      </c>
      <c r="S113" s="146"/>
      <c r="T113" s="168"/>
      <c r="U113" s="146"/>
      <c r="V113" s="146"/>
      <c r="W113" s="146"/>
      <c r="X113" s="156">
        <v>0</v>
      </c>
      <c r="Y113" s="156">
        <v>0</v>
      </c>
      <c r="Z113" s="157" t="s">
        <v>677</v>
      </c>
      <c r="AA113" s="158">
        <v>2021</v>
      </c>
      <c r="AB113" s="158">
        <v>8</v>
      </c>
      <c r="AC113" s="158">
        <v>5</v>
      </c>
      <c r="AD113" s="122" t="b">
        <f>IF(ISBLANK(GroupMember[[#This Row],[1. Identifiant interne d’exploitation agricole*]]),"",IF(ISERROR(MATCH(GroupMember[[#This Row],[1. Identifiant interne d’exploitation agricole*]],CertifiedCrop[1. Identifiant interne d’exploitation agricole*],0)),FALSE,TRUE))</f>
        <v>1</v>
      </c>
      <c r="AE113" s="122" t="b">
        <f>IF(ISBLANK(GroupMember[[#This Row],[1. Identifiant interne d’exploitation agricole*]]),"",IF(ISERROR(MATCH(GroupMember[[#This Row],[1. Identifiant interne d’exploitation agricole*]],FarmUnit[1. Identifiant interne d’exploitation agricole*],0)),FALSE,TRUE))</f>
        <v>1</v>
      </c>
      <c r="AF113" s="9" t="str">
        <f t="shared" si="3"/>
        <v>BAMOUNI  SAIYOUBA</v>
      </c>
      <c r="AG113" s="243" t="str">
        <f t="shared" si="4"/>
        <v>5/8/2021</v>
      </c>
      <c r="AH113" s="51">
        <f>COUNTIFS(Z:Z,Z113,AG:AG,AG113)</f>
        <v>5</v>
      </c>
      <c r="AI113" s="49">
        <f t="shared" si="5"/>
        <v>0</v>
      </c>
    </row>
    <row r="114" spans="1:35" ht="17.25" x14ac:dyDescent="0.2">
      <c r="A114" s="145" t="s">
        <v>1049</v>
      </c>
      <c r="B114" s="146" t="s">
        <v>668</v>
      </c>
      <c r="C114" s="145" t="s">
        <v>1049</v>
      </c>
      <c r="D114" s="147" t="s">
        <v>669</v>
      </c>
      <c r="E114" s="146" t="s">
        <v>670</v>
      </c>
      <c r="F114" s="146" t="s">
        <v>671</v>
      </c>
      <c r="G114" s="146" t="s">
        <v>672</v>
      </c>
      <c r="H114" s="148">
        <v>1.31</v>
      </c>
      <c r="I114" s="146" t="s">
        <v>673</v>
      </c>
      <c r="J114" s="149">
        <v>1</v>
      </c>
      <c r="K114" s="150">
        <v>2021</v>
      </c>
      <c r="L114" s="151" t="s">
        <v>707</v>
      </c>
      <c r="M114" s="151" t="s">
        <v>1050</v>
      </c>
      <c r="N114" s="161"/>
      <c r="O114" s="153"/>
      <c r="P114" s="154" t="s">
        <v>676</v>
      </c>
      <c r="Q114" s="154"/>
      <c r="R114" s="155">
        <v>9</v>
      </c>
      <c r="S114" s="146"/>
      <c r="T114" s="168"/>
      <c r="U114" s="146"/>
      <c r="V114" s="146"/>
      <c r="W114" s="146"/>
      <c r="X114" s="156">
        <v>0</v>
      </c>
      <c r="Y114" s="156">
        <v>0</v>
      </c>
      <c r="Z114" s="157" t="s">
        <v>677</v>
      </c>
      <c r="AA114" s="158">
        <v>2021</v>
      </c>
      <c r="AB114" s="158">
        <v>8</v>
      </c>
      <c r="AC114" s="158">
        <v>10</v>
      </c>
      <c r="AD114" s="122" t="b">
        <f>IF(ISBLANK(GroupMember[[#This Row],[1. Identifiant interne d’exploitation agricole*]]),"",IF(ISERROR(MATCH(GroupMember[[#This Row],[1. Identifiant interne d’exploitation agricole*]],CertifiedCrop[1. Identifiant interne d’exploitation agricole*],0)),FALSE,TRUE))</f>
        <v>1</v>
      </c>
      <c r="AE114" s="122" t="b">
        <f>IF(ISBLANK(GroupMember[[#This Row],[1. Identifiant interne d’exploitation agricole*]]),"",IF(ISERROR(MATCH(GroupMember[[#This Row],[1. Identifiant interne d’exploitation agricole*]],FarmUnit[1. Identifiant interne d’exploitation agricole*],0)),FALSE,TRUE))</f>
        <v>1</v>
      </c>
      <c r="AF114" s="9" t="str">
        <f t="shared" si="3"/>
        <v>OUEDRAOGO  ALMED</v>
      </c>
      <c r="AG114" s="243" t="str">
        <f t="shared" si="4"/>
        <v>10/8/2021</v>
      </c>
      <c r="AH114" s="51">
        <f>COUNTIFS(Z:Z,Z114,AG:AG,AG114)</f>
        <v>4</v>
      </c>
      <c r="AI114" s="49">
        <f t="shared" si="5"/>
        <v>0</v>
      </c>
    </row>
    <row r="115" spans="1:35" ht="15" x14ac:dyDescent="0.2">
      <c r="A115" s="145" t="s">
        <v>1051</v>
      </c>
      <c r="B115" s="146" t="s">
        <v>668</v>
      </c>
      <c r="C115" s="145" t="s">
        <v>1051</v>
      </c>
      <c r="D115" s="147" t="s">
        <v>669</v>
      </c>
      <c r="E115" s="146" t="s">
        <v>670</v>
      </c>
      <c r="F115" s="146" t="s">
        <v>671</v>
      </c>
      <c r="G115" s="146" t="s">
        <v>672</v>
      </c>
      <c r="H115" s="148">
        <v>3.38</v>
      </c>
      <c r="I115" s="146" t="s">
        <v>673</v>
      </c>
      <c r="J115" s="149">
        <v>1</v>
      </c>
      <c r="K115" s="150">
        <v>2021</v>
      </c>
      <c r="L115" s="151" t="s">
        <v>1052</v>
      </c>
      <c r="M115" s="151" t="s">
        <v>1053</v>
      </c>
      <c r="N115" s="161"/>
      <c r="O115" s="153"/>
      <c r="P115" s="154" t="s">
        <v>676</v>
      </c>
      <c r="Q115" s="154"/>
      <c r="R115" s="155">
        <v>8</v>
      </c>
      <c r="S115" s="146"/>
      <c r="T115" s="168"/>
      <c r="U115" s="146"/>
      <c r="V115" s="146"/>
      <c r="W115" s="146"/>
      <c r="X115" s="156">
        <v>0</v>
      </c>
      <c r="Y115" s="156">
        <v>0</v>
      </c>
      <c r="Z115" s="157" t="s">
        <v>677</v>
      </c>
      <c r="AA115" s="158">
        <v>2021</v>
      </c>
      <c r="AB115" s="158">
        <v>8</v>
      </c>
      <c r="AC115" s="158">
        <v>16</v>
      </c>
      <c r="AD115" s="122" t="b">
        <f>IF(ISBLANK(GroupMember[[#This Row],[1. Identifiant interne d’exploitation agricole*]]),"",IF(ISERROR(MATCH(GroupMember[[#This Row],[1. Identifiant interne d’exploitation agricole*]],CertifiedCrop[1. Identifiant interne d’exploitation agricole*],0)),FALSE,TRUE))</f>
        <v>1</v>
      </c>
      <c r="AE115" s="122" t="b">
        <f>IF(ISBLANK(GroupMember[[#This Row],[1. Identifiant interne d’exploitation agricole*]]),"",IF(ISERROR(MATCH(GroupMember[[#This Row],[1. Identifiant interne d’exploitation agricole*]],FarmUnit[1. Identifiant interne d’exploitation agricole*],0)),FALSE,TRUE))</f>
        <v>1</v>
      </c>
      <c r="AF115" s="9" t="str">
        <f t="shared" ref="AF115:AF178" si="6">IFERROR(CONCATENATE(L115," ",M115),"")</f>
        <v>TONPIEU  SEVERIEN</v>
      </c>
      <c r="AG115" s="243" t="str">
        <f t="shared" ref="AG115:AG178" si="7">CONCATENATE(AC115,"/",AB115,"/",AA115)</f>
        <v>16/8/2021</v>
      </c>
      <c r="AH115" s="51">
        <f>COUNTIFS(Z:Z,Z115,AG:AG,AG115)</f>
        <v>3</v>
      </c>
      <c r="AI115" s="49">
        <f t="shared" ref="AI115:AI178" si="8">IF((X115+Y115/12)&lt;0,"",(X115+Y115/12))</f>
        <v>0</v>
      </c>
    </row>
    <row r="116" spans="1:35" ht="15" x14ac:dyDescent="0.2">
      <c r="A116" s="145" t="s">
        <v>1054</v>
      </c>
      <c r="B116" s="146" t="s">
        <v>668</v>
      </c>
      <c r="C116" s="145" t="s">
        <v>1054</v>
      </c>
      <c r="D116" s="147" t="s">
        <v>669</v>
      </c>
      <c r="E116" s="146" t="s">
        <v>670</v>
      </c>
      <c r="F116" s="146" t="s">
        <v>671</v>
      </c>
      <c r="G116" s="146" t="s">
        <v>672</v>
      </c>
      <c r="H116" s="148">
        <v>3.41</v>
      </c>
      <c r="I116" s="146" t="s">
        <v>673</v>
      </c>
      <c r="J116" s="149">
        <v>1</v>
      </c>
      <c r="K116" s="150">
        <v>2021</v>
      </c>
      <c r="L116" s="151" t="s">
        <v>768</v>
      </c>
      <c r="M116" s="151" t="s">
        <v>1055</v>
      </c>
      <c r="N116" s="161" t="s">
        <v>1056</v>
      </c>
      <c r="O116" s="153" t="s">
        <v>1057</v>
      </c>
      <c r="P116" s="154" t="s">
        <v>676</v>
      </c>
      <c r="Q116" s="154">
        <v>1986</v>
      </c>
      <c r="R116" s="155">
        <v>5</v>
      </c>
      <c r="S116" s="146"/>
      <c r="T116" s="168"/>
      <c r="U116" s="146"/>
      <c r="V116" s="146"/>
      <c r="W116" s="146"/>
      <c r="X116" s="156">
        <v>0</v>
      </c>
      <c r="Y116" s="156">
        <v>0</v>
      </c>
      <c r="Z116" s="157" t="s">
        <v>677</v>
      </c>
      <c r="AA116" s="158">
        <v>2021</v>
      </c>
      <c r="AB116" s="158">
        <v>8</v>
      </c>
      <c r="AC116" s="158">
        <v>13</v>
      </c>
      <c r="AD116" s="122" t="b">
        <f>IF(ISBLANK(GroupMember[[#This Row],[1. Identifiant interne d’exploitation agricole*]]),"",IF(ISERROR(MATCH(GroupMember[[#This Row],[1. Identifiant interne d’exploitation agricole*]],CertifiedCrop[1. Identifiant interne d’exploitation agricole*],0)),FALSE,TRUE))</f>
        <v>1</v>
      </c>
      <c r="AE116" s="122" t="b">
        <f>IF(ISBLANK(GroupMember[[#This Row],[1. Identifiant interne d’exploitation agricole*]]),"",IF(ISERROR(MATCH(GroupMember[[#This Row],[1. Identifiant interne d’exploitation agricole*]],FarmUnit[1. Identifiant interne d’exploitation agricole*],0)),FALSE,TRUE))</f>
        <v>1</v>
      </c>
      <c r="AF116" s="9" t="str">
        <f t="shared" si="6"/>
        <v>GUEI  MERMOSE</v>
      </c>
      <c r="AG116" s="243" t="str">
        <f t="shared" si="7"/>
        <v>13/8/2021</v>
      </c>
      <c r="AH116" s="51">
        <f>COUNTIFS(Z:Z,Z116,AG:AG,AG116)</f>
        <v>4</v>
      </c>
      <c r="AI116" s="49">
        <f t="shared" si="8"/>
        <v>0</v>
      </c>
    </row>
    <row r="117" spans="1:35" ht="15" x14ac:dyDescent="0.2">
      <c r="A117" s="145" t="s">
        <v>1058</v>
      </c>
      <c r="B117" s="146" t="s">
        <v>668</v>
      </c>
      <c r="C117" s="145" t="s">
        <v>1058</v>
      </c>
      <c r="D117" s="147" t="s">
        <v>669</v>
      </c>
      <c r="E117" s="146" t="s">
        <v>670</v>
      </c>
      <c r="F117" s="146" t="s">
        <v>671</v>
      </c>
      <c r="G117" s="146" t="s">
        <v>672</v>
      </c>
      <c r="H117" s="148">
        <v>4.8</v>
      </c>
      <c r="I117" s="146" t="s">
        <v>673</v>
      </c>
      <c r="J117" s="149">
        <v>2</v>
      </c>
      <c r="K117" s="150">
        <v>2021</v>
      </c>
      <c r="L117" s="151" t="s">
        <v>1059</v>
      </c>
      <c r="M117" s="151" t="s">
        <v>1060</v>
      </c>
      <c r="N117" s="161" t="s">
        <v>1061</v>
      </c>
      <c r="O117" s="153"/>
      <c r="P117" s="154" t="s">
        <v>676</v>
      </c>
      <c r="Q117" s="154"/>
      <c r="R117" s="155">
        <v>4</v>
      </c>
      <c r="S117" s="146"/>
      <c r="T117" s="168"/>
      <c r="U117" s="146"/>
      <c r="V117" s="146"/>
      <c r="W117" s="146"/>
      <c r="X117" s="156">
        <v>0</v>
      </c>
      <c r="Y117" s="156">
        <v>0</v>
      </c>
      <c r="Z117" s="157" t="s">
        <v>677</v>
      </c>
      <c r="AA117" s="158">
        <v>2021</v>
      </c>
      <c r="AB117" s="158">
        <v>8</v>
      </c>
      <c r="AC117" s="158">
        <v>11</v>
      </c>
      <c r="AD117" s="122" t="b">
        <f>IF(ISBLANK(GroupMember[[#This Row],[1. Identifiant interne d’exploitation agricole*]]),"",IF(ISERROR(MATCH(GroupMember[[#This Row],[1. Identifiant interne d’exploitation agricole*]],CertifiedCrop[1. Identifiant interne d’exploitation agricole*],0)),FALSE,TRUE))</f>
        <v>1</v>
      </c>
      <c r="AE117" s="122" t="b">
        <f>IF(ISBLANK(GroupMember[[#This Row],[1. Identifiant interne d’exploitation agricole*]]),"",IF(ISERROR(MATCH(GroupMember[[#This Row],[1. Identifiant interne d’exploitation agricole*]],FarmUnit[1. Identifiant interne d’exploitation agricole*],0)),FALSE,TRUE))</f>
        <v>1</v>
      </c>
      <c r="AF117" s="9" t="str">
        <f t="shared" si="6"/>
        <v xml:space="preserve">ZOUDI  SOULEYMANE </v>
      </c>
      <c r="AG117" s="243" t="str">
        <f t="shared" si="7"/>
        <v>11/8/2021</v>
      </c>
      <c r="AH117" s="51">
        <f>COUNTIFS(Z:Z,Z117,AG:AG,AG117)</f>
        <v>4</v>
      </c>
      <c r="AI117" s="49">
        <f t="shared" si="8"/>
        <v>0</v>
      </c>
    </row>
    <row r="118" spans="1:35" ht="15" x14ac:dyDescent="0.2">
      <c r="A118" s="145" t="s">
        <v>1062</v>
      </c>
      <c r="B118" s="146" t="s">
        <v>668</v>
      </c>
      <c r="C118" s="145" t="s">
        <v>1062</v>
      </c>
      <c r="D118" s="147" t="s">
        <v>669</v>
      </c>
      <c r="E118" s="146" t="s">
        <v>670</v>
      </c>
      <c r="F118" s="146" t="s">
        <v>671</v>
      </c>
      <c r="G118" s="146" t="s">
        <v>672</v>
      </c>
      <c r="H118" s="148">
        <v>1.55</v>
      </c>
      <c r="I118" s="146" t="s">
        <v>673</v>
      </c>
      <c r="J118" s="149">
        <v>1</v>
      </c>
      <c r="K118" s="150">
        <v>2021</v>
      </c>
      <c r="L118" s="151" t="s">
        <v>1063</v>
      </c>
      <c r="M118" s="151" t="s">
        <v>1064</v>
      </c>
      <c r="N118" s="161" t="s">
        <v>1065</v>
      </c>
      <c r="O118" s="153"/>
      <c r="P118" s="154" t="s">
        <v>676</v>
      </c>
      <c r="Q118" s="154"/>
      <c r="R118" s="171">
        <v>5</v>
      </c>
      <c r="S118" s="146"/>
      <c r="T118" s="168"/>
      <c r="U118" s="146"/>
      <c r="V118" s="146"/>
      <c r="W118" s="146"/>
      <c r="X118" s="156">
        <v>0</v>
      </c>
      <c r="Y118" s="156">
        <v>0</v>
      </c>
      <c r="Z118" s="157" t="s">
        <v>677</v>
      </c>
      <c r="AA118" s="158">
        <v>2021</v>
      </c>
      <c r="AB118" s="158">
        <v>8</v>
      </c>
      <c r="AC118" s="158">
        <v>16</v>
      </c>
      <c r="AD118" s="122" t="b">
        <f>IF(ISBLANK(GroupMember[[#This Row],[1. Identifiant interne d’exploitation agricole*]]),"",IF(ISERROR(MATCH(GroupMember[[#This Row],[1. Identifiant interne d’exploitation agricole*]],CertifiedCrop[1. Identifiant interne d’exploitation agricole*],0)),FALSE,TRUE))</f>
        <v>1</v>
      </c>
      <c r="AE118" s="122" t="b">
        <f>IF(ISBLANK(GroupMember[[#This Row],[1. Identifiant interne d’exploitation agricole*]]),"",IF(ISERROR(MATCH(GroupMember[[#This Row],[1. Identifiant interne d’exploitation agricole*]],FarmUnit[1. Identifiant interne d’exploitation agricole*],0)),FALSE,TRUE))</f>
        <v>1</v>
      </c>
      <c r="AF118" s="9" t="str">
        <f t="shared" si="6"/>
        <v>ZONGO  PASCAL</v>
      </c>
      <c r="AG118" s="243" t="str">
        <f t="shared" si="7"/>
        <v>16/8/2021</v>
      </c>
      <c r="AH118" s="51">
        <f>COUNTIFS(Z:Z,Z118,AG:AG,AG118)</f>
        <v>3</v>
      </c>
      <c r="AI118" s="49">
        <f t="shared" si="8"/>
        <v>0</v>
      </c>
    </row>
    <row r="119" spans="1:35" ht="15" x14ac:dyDescent="0.2">
      <c r="A119" s="145" t="s">
        <v>1066</v>
      </c>
      <c r="B119" s="146" t="s">
        <v>668</v>
      </c>
      <c r="C119" s="145" t="s">
        <v>1066</v>
      </c>
      <c r="D119" s="147" t="s">
        <v>669</v>
      </c>
      <c r="E119" s="146" t="s">
        <v>670</v>
      </c>
      <c r="F119" s="146" t="s">
        <v>671</v>
      </c>
      <c r="G119" s="146" t="s">
        <v>672</v>
      </c>
      <c r="H119" s="148">
        <v>1.29</v>
      </c>
      <c r="I119" s="146" t="s">
        <v>673</v>
      </c>
      <c r="J119" s="149">
        <v>1</v>
      </c>
      <c r="K119" s="150">
        <v>2021</v>
      </c>
      <c r="L119" s="151" t="s">
        <v>707</v>
      </c>
      <c r="M119" s="151" t="s">
        <v>1067</v>
      </c>
      <c r="N119" s="161" t="s">
        <v>1068</v>
      </c>
      <c r="O119" s="288" t="s">
        <v>3420</v>
      </c>
      <c r="P119" s="154" t="s">
        <v>676</v>
      </c>
      <c r="Q119" s="154">
        <v>1981</v>
      </c>
      <c r="R119" s="155">
        <v>6</v>
      </c>
      <c r="S119" s="146"/>
      <c r="T119" s="168"/>
      <c r="U119" s="146"/>
      <c r="V119" s="146"/>
      <c r="W119" s="146"/>
      <c r="X119" s="156">
        <v>0</v>
      </c>
      <c r="Y119" s="156">
        <v>0</v>
      </c>
      <c r="Z119" s="157" t="s">
        <v>677</v>
      </c>
      <c r="AA119" s="158">
        <v>2021</v>
      </c>
      <c r="AB119" s="158">
        <v>7</v>
      </c>
      <c r="AC119" s="158">
        <v>8</v>
      </c>
      <c r="AD119" s="122" t="b">
        <f>IF(ISBLANK(GroupMember[[#This Row],[1. Identifiant interne d’exploitation agricole*]]),"",IF(ISERROR(MATCH(GroupMember[[#This Row],[1. Identifiant interne d’exploitation agricole*]],CertifiedCrop[1. Identifiant interne d’exploitation agricole*],0)),FALSE,TRUE))</f>
        <v>1</v>
      </c>
      <c r="AE119" s="122" t="b">
        <f>IF(ISBLANK(GroupMember[[#This Row],[1. Identifiant interne d’exploitation agricole*]]),"",IF(ISERROR(MATCH(GroupMember[[#This Row],[1. Identifiant interne d’exploitation agricole*]],FarmUnit[1. Identifiant interne d’exploitation agricole*],0)),FALSE,TRUE))</f>
        <v>1</v>
      </c>
      <c r="AF119" s="9" t="str">
        <f t="shared" si="6"/>
        <v>OUEDRAOGO  N. DANIEL</v>
      </c>
      <c r="AG119" s="243" t="str">
        <f t="shared" si="7"/>
        <v>8/7/2021</v>
      </c>
      <c r="AH119" s="51">
        <f>COUNTIFS(Z:Z,Z119,AG:AG,AG119)</f>
        <v>5</v>
      </c>
      <c r="AI119" s="49">
        <f t="shared" si="8"/>
        <v>0</v>
      </c>
    </row>
    <row r="120" spans="1:35" ht="15" x14ac:dyDescent="0.2">
      <c r="A120" s="145" t="s">
        <v>1069</v>
      </c>
      <c r="B120" s="146" t="s">
        <v>668</v>
      </c>
      <c r="C120" s="145" t="s">
        <v>1069</v>
      </c>
      <c r="D120" s="147" t="s">
        <v>669</v>
      </c>
      <c r="E120" s="146" t="s">
        <v>670</v>
      </c>
      <c r="F120" s="146" t="s">
        <v>671</v>
      </c>
      <c r="G120" s="146" t="s">
        <v>672</v>
      </c>
      <c r="H120" s="148">
        <v>2.93</v>
      </c>
      <c r="I120" s="146" t="s">
        <v>673</v>
      </c>
      <c r="J120" s="149">
        <v>1</v>
      </c>
      <c r="K120" s="150">
        <v>2021</v>
      </c>
      <c r="L120" s="151" t="s">
        <v>1070</v>
      </c>
      <c r="M120" s="151" t="s">
        <v>1071</v>
      </c>
      <c r="N120" s="161" t="s">
        <v>1072</v>
      </c>
      <c r="O120" s="288" t="s">
        <v>3415</v>
      </c>
      <c r="P120" s="154" t="s">
        <v>676</v>
      </c>
      <c r="Q120" s="154">
        <v>1978</v>
      </c>
      <c r="R120" s="155">
        <v>4</v>
      </c>
      <c r="S120" s="146"/>
      <c r="T120" s="168"/>
      <c r="U120" s="146"/>
      <c r="V120" s="146"/>
      <c r="W120" s="146"/>
      <c r="X120" s="156">
        <v>0</v>
      </c>
      <c r="Y120" s="156">
        <v>0</v>
      </c>
      <c r="Z120" s="157" t="s">
        <v>677</v>
      </c>
      <c r="AA120" s="158">
        <v>2021</v>
      </c>
      <c r="AB120" s="158">
        <v>7</v>
      </c>
      <c r="AC120" s="158">
        <v>16</v>
      </c>
      <c r="AD120" s="122" t="b">
        <f>IF(ISBLANK(GroupMember[[#This Row],[1. Identifiant interne d’exploitation agricole*]]),"",IF(ISERROR(MATCH(GroupMember[[#This Row],[1. Identifiant interne d’exploitation agricole*]],CertifiedCrop[1. Identifiant interne d’exploitation agricole*],0)),FALSE,TRUE))</f>
        <v>1</v>
      </c>
      <c r="AE120" s="122" t="b">
        <f>IF(ISBLANK(GroupMember[[#This Row],[1. Identifiant interne d’exploitation agricole*]]),"",IF(ISERROR(MATCH(GroupMember[[#This Row],[1. Identifiant interne d’exploitation agricole*]],FarmUnit[1. Identifiant interne d’exploitation agricole*],0)),FALSE,TRUE))</f>
        <v>1</v>
      </c>
      <c r="AF120" s="9" t="str">
        <f t="shared" si="6"/>
        <v>BONKOUNGOU  HAMIDOU</v>
      </c>
      <c r="AG120" s="243" t="str">
        <f t="shared" si="7"/>
        <v>16/7/2021</v>
      </c>
      <c r="AH120" s="51">
        <f>COUNTIFS(Z:Z,Z120,AG:AG,AG120)</f>
        <v>4</v>
      </c>
      <c r="AI120" s="49">
        <f t="shared" si="8"/>
        <v>0</v>
      </c>
    </row>
    <row r="121" spans="1:35" ht="15" x14ac:dyDescent="0.2">
      <c r="A121" s="145" t="s">
        <v>1073</v>
      </c>
      <c r="B121" s="146" t="s">
        <v>668</v>
      </c>
      <c r="C121" s="145" t="s">
        <v>1073</v>
      </c>
      <c r="D121" s="147" t="s">
        <v>669</v>
      </c>
      <c r="E121" s="146" t="s">
        <v>670</v>
      </c>
      <c r="F121" s="146" t="s">
        <v>671</v>
      </c>
      <c r="G121" s="146" t="s">
        <v>672</v>
      </c>
      <c r="H121" s="148">
        <v>2.7</v>
      </c>
      <c r="I121" s="146" t="s">
        <v>673</v>
      </c>
      <c r="J121" s="149">
        <v>1</v>
      </c>
      <c r="K121" s="150">
        <v>2021</v>
      </c>
      <c r="L121" s="159" t="s">
        <v>1074</v>
      </c>
      <c r="M121" s="159" t="s">
        <v>1075</v>
      </c>
      <c r="N121" s="161" t="s">
        <v>1076</v>
      </c>
      <c r="O121" s="288" t="s">
        <v>3416</v>
      </c>
      <c r="P121" s="154" t="s">
        <v>676</v>
      </c>
      <c r="Q121" s="154">
        <v>1974</v>
      </c>
      <c r="R121" s="155">
        <v>5</v>
      </c>
      <c r="S121" s="146"/>
      <c r="T121" s="168"/>
      <c r="U121" s="146"/>
      <c r="V121" s="146"/>
      <c r="W121" s="146"/>
      <c r="X121" s="156">
        <v>0</v>
      </c>
      <c r="Y121" s="156">
        <v>0</v>
      </c>
      <c r="Z121" s="157" t="s">
        <v>677</v>
      </c>
      <c r="AA121" s="158">
        <v>2021</v>
      </c>
      <c r="AB121" s="158">
        <v>8</v>
      </c>
      <c r="AC121" s="158">
        <v>10</v>
      </c>
      <c r="AD121" s="122" t="b">
        <f>IF(ISBLANK(GroupMember[[#This Row],[1. Identifiant interne d’exploitation agricole*]]),"",IF(ISERROR(MATCH(GroupMember[[#This Row],[1. Identifiant interne d’exploitation agricole*]],CertifiedCrop[1. Identifiant interne d’exploitation agricole*],0)),FALSE,TRUE))</f>
        <v>1</v>
      </c>
      <c r="AE121" s="122" t="b">
        <f>IF(ISBLANK(GroupMember[[#This Row],[1. Identifiant interne d’exploitation agricole*]]),"",IF(ISERROR(MATCH(GroupMember[[#This Row],[1. Identifiant interne d’exploitation agricole*]],FarmUnit[1. Identifiant interne d’exploitation agricole*],0)),FALSE,TRUE))</f>
        <v>1</v>
      </c>
      <c r="AF121" s="9" t="str">
        <f t="shared" si="6"/>
        <v>PAGABELGUEM  ISSOUF</v>
      </c>
      <c r="AG121" s="243" t="str">
        <f t="shared" si="7"/>
        <v>10/8/2021</v>
      </c>
      <c r="AH121" s="51">
        <f>COUNTIFS(Z:Z,Z121,AG:AG,AG121)</f>
        <v>4</v>
      </c>
      <c r="AI121" s="49">
        <f t="shared" si="8"/>
        <v>0</v>
      </c>
    </row>
    <row r="122" spans="1:35" ht="15" x14ac:dyDescent="0.2">
      <c r="A122" s="145" t="s">
        <v>1077</v>
      </c>
      <c r="B122" s="146" t="s">
        <v>668</v>
      </c>
      <c r="C122" s="145" t="s">
        <v>1077</v>
      </c>
      <c r="D122" s="147" t="s">
        <v>669</v>
      </c>
      <c r="E122" s="146" t="s">
        <v>670</v>
      </c>
      <c r="F122" s="146" t="s">
        <v>671</v>
      </c>
      <c r="G122" s="146" t="s">
        <v>672</v>
      </c>
      <c r="H122" s="148">
        <v>2</v>
      </c>
      <c r="I122" s="146" t="s">
        <v>673</v>
      </c>
      <c r="J122" s="149">
        <v>1</v>
      </c>
      <c r="K122" s="150">
        <v>2021</v>
      </c>
      <c r="L122" s="159" t="s">
        <v>1078</v>
      </c>
      <c r="M122" s="159" t="s">
        <v>1079</v>
      </c>
      <c r="N122" s="161"/>
      <c r="O122" s="287" t="s">
        <v>3417</v>
      </c>
      <c r="P122" s="154" t="s">
        <v>676</v>
      </c>
      <c r="Q122" s="154">
        <v>1991</v>
      </c>
      <c r="R122" s="155">
        <v>4</v>
      </c>
      <c r="S122" s="146"/>
      <c r="T122" s="168"/>
      <c r="U122" s="146"/>
      <c r="V122" s="146"/>
      <c r="W122" s="146"/>
      <c r="X122" s="156">
        <v>0</v>
      </c>
      <c r="Y122" s="156">
        <v>0</v>
      </c>
      <c r="Z122" s="157" t="s">
        <v>677</v>
      </c>
      <c r="AA122" s="158">
        <v>2021</v>
      </c>
      <c r="AB122" s="158">
        <v>8</v>
      </c>
      <c r="AC122" s="158">
        <v>12</v>
      </c>
      <c r="AD122" s="122" t="b">
        <f>IF(ISBLANK(GroupMember[[#This Row],[1. Identifiant interne d’exploitation agricole*]]),"",IF(ISERROR(MATCH(GroupMember[[#This Row],[1. Identifiant interne d’exploitation agricole*]],CertifiedCrop[1. Identifiant interne d’exploitation agricole*],0)),FALSE,TRUE))</f>
        <v>1</v>
      </c>
      <c r="AE122" s="122" t="b">
        <f>IF(ISBLANK(GroupMember[[#This Row],[1. Identifiant interne d’exploitation agricole*]]),"",IF(ISERROR(MATCH(GroupMember[[#This Row],[1. Identifiant interne d’exploitation agricole*]],FarmUnit[1. Identifiant interne d’exploitation agricole*],0)),FALSE,TRUE))</f>
        <v>1</v>
      </c>
      <c r="AF122" s="9" t="str">
        <f t="shared" si="6"/>
        <v>ZOUNDY  SOULEYMANE</v>
      </c>
      <c r="AG122" s="243" t="str">
        <f t="shared" si="7"/>
        <v>12/8/2021</v>
      </c>
      <c r="AH122" s="51">
        <f>COUNTIFS(Z:Z,Z122,AG:AG,AG122)</f>
        <v>4</v>
      </c>
      <c r="AI122" s="49">
        <f t="shared" si="8"/>
        <v>0</v>
      </c>
    </row>
    <row r="123" spans="1:35" ht="15" x14ac:dyDescent="0.2">
      <c r="A123" s="145" t="s">
        <v>1080</v>
      </c>
      <c r="B123" s="146" t="s">
        <v>668</v>
      </c>
      <c r="C123" s="145" t="s">
        <v>1080</v>
      </c>
      <c r="D123" s="147" t="s">
        <v>669</v>
      </c>
      <c r="E123" s="146" t="s">
        <v>670</v>
      </c>
      <c r="F123" s="146" t="s">
        <v>671</v>
      </c>
      <c r="G123" s="146" t="s">
        <v>672</v>
      </c>
      <c r="H123" s="148">
        <v>1.06</v>
      </c>
      <c r="I123" s="146" t="s">
        <v>673</v>
      </c>
      <c r="J123" s="149">
        <v>1</v>
      </c>
      <c r="K123" s="150">
        <v>2021</v>
      </c>
      <c r="L123" s="159" t="s">
        <v>1081</v>
      </c>
      <c r="M123" s="159" t="s">
        <v>1082</v>
      </c>
      <c r="N123" s="161" t="s">
        <v>1083</v>
      </c>
      <c r="O123" s="287" t="s">
        <v>3418</v>
      </c>
      <c r="P123" s="154" t="s">
        <v>676</v>
      </c>
      <c r="Q123" s="154">
        <v>1986</v>
      </c>
      <c r="R123" s="155">
        <v>7</v>
      </c>
      <c r="S123" s="146"/>
      <c r="T123" s="168"/>
      <c r="U123" s="146"/>
      <c r="V123" s="146"/>
      <c r="W123" s="146"/>
      <c r="X123" s="156">
        <v>0</v>
      </c>
      <c r="Y123" s="156">
        <v>0</v>
      </c>
      <c r="Z123" s="157" t="s">
        <v>677</v>
      </c>
      <c r="AA123" s="158">
        <v>2021</v>
      </c>
      <c r="AB123" s="158">
        <v>8</v>
      </c>
      <c r="AC123" s="158">
        <v>14</v>
      </c>
      <c r="AD123" s="122" t="b">
        <f>IF(ISBLANK(GroupMember[[#This Row],[1. Identifiant interne d’exploitation agricole*]]),"",IF(ISERROR(MATCH(GroupMember[[#This Row],[1. Identifiant interne d’exploitation agricole*]],CertifiedCrop[1. Identifiant interne d’exploitation agricole*],0)),FALSE,TRUE))</f>
        <v>1</v>
      </c>
      <c r="AE123" s="122" t="b">
        <f>IF(ISBLANK(GroupMember[[#This Row],[1. Identifiant interne d’exploitation agricole*]]),"",IF(ISERROR(MATCH(GroupMember[[#This Row],[1. Identifiant interne d’exploitation agricole*]],FarmUnit[1. Identifiant interne d’exploitation agricole*],0)),FALSE,TRUE))</f>
        <v>1</v>
      </c>
      <c r="AF123" s="9" t="str">
        <f t="shared" si="6"/>
        <v>KABORE  SAIDOU FRANCOIS</v>
      </c>
      <c r="AG123" s="243" t="str">
        <f t="shared" si="7"/>
        <v>14/8/2021</v>
      </c>
      <c r="AH123" s="51">
        <f>COUNTIFS(Z:Z,Z123,AG:AG,AG123)</f>
        <v>4</v>
      </c>
      <c r="AI123" s="49">
        <f t="shared" si="8"/>
        <v>0</v>
      </c>
    </row>
    <row r="124" spans="1:35" ht="15" x14ac:dyDescent="0.2">
      <c r="A124" s="145" t="s">
        <v>1084</v>
      </c>
      <c r="B124" s="146" t="s">
        <v>668</v>
      </c>
      <c r="C124" s="145" t="s">
        <v>1084</v>
      </c>
      <c r="D124" s="147" t="s">
        <v>669</v>
      </c>
      <c r="E124" s="146" t="s">
        <v>670</v>
      </c>
      <c r="F124" s="146" t="s">
        <v>671</v>
      </c>
      <c r="G124" s="146" t="s">
        <v>672</v>
      </c>
      <c r="H124" s="148">
        <v>2.4900000000000002</v>
      </c>
      <c r="I124" s="146" t="s">
        <v>673</v>
      </c>
      <c r="J124" s="149">
        <v>1</v>
      </c>
      <c r="K124" s="150">
        <v>2021</v>
      </c>
      <c r="L124" s="151" t="s">
        <v>701</v>
      </c>
      <c r="M124" s="151" t="s">
        <v>956</v>
      </c>
      <c r="N124" s="161"/>
      <c r="O124" s="287" t="s">
        <v>3419</v>
      </c>
      <c r="P124" s="154" t="s">
        <v>676</v>
      </c>
      <c r="Q124" s="154">
        <v>1972</v>
      </c>
      <c r="R124" s="155">
        <v>8</v>
      </c>
      <c r="S124" s="146"/>
      <c r="T124" s="168"/>
      <c r="U124" s="146"/>
      <c r="V124" s="146"/>
      <c r="W124" s="146"/>
      <c r="X124" s="156">
        <v>0</v>
      </c>
      <c r="Y124" s="156">
        <v>0</v>
      </c>
      <c r="Z124" s="157" t="s">
        <v>677</v>
      </c>
      <c r="AA124" s="158">
        <v>2021</v>
      </c>
      <c r="AB124" s="158">
        <v>8</v>
      </c>
      <c r="AC124" s="158">
        <v>16</v>
      </c>
      <c r="AD124" s="122" t="b">
        <f>IF(ISBLANK(GroupMember[[#This Row],[1. Identifiant interne d’exploitation agricole*]]),"",IF(ISERROR(MATCH(GroupMember[[#This Row],[1. Identifiant interne d’exploitation agricole*]],CertifiedCrop[1. Identifiant interne d’exploitation agricole*],0)),FALSE,TRUE))</f>
        <v>1</v>
      </c>
      <c r="AE124" s="122" t="b">
        <f>IF(ISBLANK(GroupMember[[#This Row],[1. Identifiant interne d’exploitation agricole*]]),"",IF(ISERROR(MATCH(GroupMember[[#This Row],[1. Identifiant interne d’exploitation agricole*]],FarmUnit[1. Identifiant interne d’exploitation agricole*],0)),FALSE,TRUE))</f>
        <v>1</v>
      </c>
      <c r="AF124" s="9" t="str">
        <f t="shared" si="6"/>
        <v>OUATTARA  SEYDOU</v>
      </c>
      <c r="AG124" s="243" t="str">
        <f t="shared" si="7"/>
        <v>16/8/2021</v>
      </c>
      <c r="AH124" s="51">
        <f>COUNTIFS(Z:Z,Z124,AG:AG,AG124)</f>
        <v>3</v>
      </c>
      <c r="AI124" s="49">
        <f t="shared" si="8"/>
        <v>0</v>
      </c>
    </row>
    <row r="125" spans="1:35" ht="15" x14ac:dyDescent="0.2">
      <c r="A125" s="145" t="s">
        <v>1085</v>
      </c>
      <c r="B125" s="146" t="s">
        <v>668</v>
      </c>
      <c r="C125" s="145" t="s">
        <v>1085</v>
      </c>
      <c r="D125" s="147" t="s">
        <v>669</v>
      </c>
      <c r="E125" s="146" t="s">
        <v>670</v>
      </c>
      <c r="F125" s="146" t="s">
        <v>671</v>
      </c>
      <c r="G125" s="146" t="s">
        <v>672</v>
      </c>
      <c r="H125" s="148">
        <v>2.02</v>
      </c>
      <c r="I125" s="146" t="s">
        <v>673</v>
      </c>
      <c r="J125" s="149">
        <v>1</v>
      </c>
      <c r="K125" s="150">
        <v>2021</v>
      </c>
      <c r="L125" s="151" t="s">
        <v>1086</v>
      </c>
      <c r="M125" s="151" t="s">
        <v>1087</v>
      </c>
      <c r="N125" s="161" t="s">
        <v>1088</v>
      </c>
      <c r="O125" s="153"/>
      <c r="P125" s="154" t="s">
        <v>676</v>
      </c>
      <c r="Q125" s="154"/>
      <c r="R125" s="155">
        <v>6</v>
      </c>
      <c r="S125" s="146"/>
      <c r="T125" s="168"/>
      <c r="U125" s="146"/>
      <c r="V125" s="146"/>
      <c r="W125" s="146"/>
      <c r="X125" s="156">
        <v>0</v>
      </c>
      <c r="Y125" s="156">
        <v>0</v>
      </c>
      <c r="Z125" s="157" t="s">
        <v>677</v>
      </c>
      <c r="AA125" s="158">
        <v>2021</v>
      </c>
      <c r="AB125" s="158">
        <v>8</v>
      </c>
      <c r="AC125" s="158">
        <v>10</v>
      </c>
      <c r="AD125" s="122" t="b">
        <f>IF(ISBLANK(GroupMember[[#This Row],[1. Identifiant interne d’exploitation agricole*]]),"",IF(ISERROR(MATCH(GroupMember[[#This Row],[1. Identifiant interne d’exploitation agricole*]],CertifiedCrop[1. Identifiant interne d’exploitation agricole*],0)),FALSE,TRUE))</f>
        <v>1</v>
      </c>
      <c r="AE125" s="122" t="b">
        <f>IF(ISBLANK(GroupMember[[#This Row],[1. Identifiant interne d’exploitation agricole*]]),"",IF(ISERROR(MATCH(GroupMember[[#This Row],[1. Identifiant interne d’exploitation agricole*]],FarmUnit[1. Identifiant interne d’exploitation agricole*],0)),FALSE,TRUE))</f>
        <v>1</v>
      </c>
      <c r="AF125" s="9" t="str">
        <f t="shared" si="6"/>
        <v>KOROGO  BASILE</v>
      </c>
      <c r="AG125" s="243" t="str">
        <f t="shared" si="7"/>
        <v>10/8/2021</v>
      </c>
      <c r="AH125" s="51">
        <f>COUNTIFS(Z:Z,Z125,AG:AG,AG125)</f>
        <v>4</v>
      </c>
      <c r="AI125" s="49">
        <f t="shared" si="8"/>
        <v>0</v>
      </c>
    </row>
    <row r="126" spans="1:35" ht="15" x14ac:dyDescent="0.2">
      <c r="A126" s="145" t="s">
        <v>1089</v>
      </c>
      <c r="B126" s="146" t="s">
        <v>668</v>
      </c>
      <c r="C126" s="145" t="s">
        <v>1089</v>
      </c>
      <c r="D126" s="147" t="s">
        <v>669</v>
      </c>
      <c r="E126" s="146" t="s">
        <v>670</v>
      </c>
      <c r="F126" s="146" t="s">
        <v>671</v>
      </c>
      <c r="G126" s="146" t="s">
        <v>672</v>
      </c>
      <c r="H126" s="148">
        <v>4.1100000000000003</v>
      </c>
      <c r="I126" s="146" t="s">
        <v>673</v>
      </c>
      <c r="J126" s="149">
        <v>1</v>
      </c>
      <c r="K126" s="150">
        <v>2021</v>
      </c>
      <c r="L126" s="151" t="s">
        <v>1090</v>
      </c>
      <c r="M126" s="151" t="s">
        <v>1091</v>
      </c>
      <c r="N126" s="161" t="s">
        <v>1092</v>
      </c>
      <c r="O126" s="153"/>
      <c r="P126" s="154" t="s">
        <v>676</v>
      </c>
      <c r="Q126" s="154"/>
      <c r="R126" s="155">
        <v>8</v>
      </c>
      <c r="S126" s="146"/>
      <c r="T126" s="168"/>
      <c r="U126" s="146"/>
      <c r="V126" s="146"/>
      <c r="W126" s="146"/>
      <c r="X126" s="156">
        <v>0</v>
      </c>
      <c r="Y126" s="156">
        <v>0</v>
      </c>
      <c r="Z126" s="157" t="s">
        <v>677</v>
      </c>
      <c r="AA126" s="158">
        <v>2021</v>
      </c>
      <c r="AB126" s="158">
        <v>8</v>
      </c>
      <c r="AC126" s="158">
        <v>12</v>
      </c>
      <c r="AD126" s="122" t="b">
        <f>IF(ISBLANK(GroupMember[[#This Row],[1. Identifiant interne d’exploitation agricole*]]),"",IF(ISERROR(MATCH(GroupMember[[#This Row],[1. Identifiant interne d’exploitation agricole*]],CertifiedCrop[1. Identifiant interne d’exploitation agricole*],0)),FALSE,TRUE))</f>
        <v>1</v>
      </c>
      <c r="AE126" s="122" t="b">
        <f>IF(ISBLANK(GroupMember[[#This Row],[1. Identifiant interne d’exploitation agricole*]]),"",IF(ISERROR(MATCH(GroupMember[[#This Row],[1. Identifiant interne d’exploitation agricole*]],FarmUnit[1. Identifiant interne d’exploitation agricole*],0)),FALSE,TRUE))</f>
        <v>1</v>
      </c>
      <c r="AF126" s="9" t="str">
        <f t="shared" si="6"/>
        <v>GAMSORI  YAHISIA</v>
      </c>
      <c r="AG126" s="243" t="str">
        <f t="shared" si="7"/>
        <v>12/8/2021</v>
      </c>
      <c r="AH126" s="51">
        <f>COUNTIFS(Z:Z,Z126,AG:AG,AG126)</f>
        <v>4</v>
      </c>
      <c r="AI126" s="49">
        <f t="shared" si="8"/>
        <v>0</v>
      </c>
    </row>
    <row r="127" spans="1:35" ht="15" x14ac:dyDescent="0.2">
      <c r="A127" s="145" t="s">
        <v>1093</v>
      </c>
      <c r="B127" s="146" t="s">
        <v>668</v>
      </c>
      <c r="C127" s="145" t="s">
        <v>1093</v>
      </c>
      <c r="D127" s="147" t="s">
        <v>669</v>
      </c>
      <c r="E127" s="146" t="s">
        <v>670</v>
      </c>
      <c r="F127" s="146" t="s">
        <v>671</v>
      </c>
      <c r="G127" s="146" t="s">
        <v>672</v>
      </c>
      <c r="H127" s="148">
        <v>2</v>
      </c>
      <c r="I127" s="146" t="s">
        <v>673</v>
      </c>
      <c r="J127" s="149">
        <v>1</v>
      </c>
      <c r="K127" s="150">
        <v>2021</v>
      </c>
      <c r="L127" s="151" t="s">
        <v>1094</v>
      </c>
      <c r="M127" s="151" t="s">
        <v>695</v>
      </c>
      <c r="N127" s="161"/>
      <c r="O127" s="153"/>
      <c r="P127" s="154" t="s">
        <v>676</v>
      </c>
      <c r="Q127" s="154"/>
      <c r="R127" s="155">
        <v>7</v>
      </c>
      <c r="S127" s="146"/>
      <c r="T127" s="168"/>
      <c r="U127" s="146"/>
      <c r="V127" s="146"/>
      <c r="W127" s="146"/>
      <c r="X127" s="156">
        <v>0</v>
      </c>
      <c r="Y127" s="156">
        <v>0</v>
      </c>
      <c r="Z127" s="157" t="s">
        <v>677</v>
      </c>
      <c r="AA127" s="158">
        <v>2021</v>
      </c>
      <c r="AB127" s="158">
        <v>8</v>
      </c>
      <c r="AC127" s="158">
        <v>14</v>
      </c>
      <c r="AD127" s="122" t="b">
        <f>IF(ISBLANK(GroupMember[[#This Row],[1. Identifiant interne d’exploitation agricole*]]),"",IF(ISERROR(MATCH(GroupMember[[#This Row],[1. Identifiant interne d’exploitation agricole*]],CertifiedCrop[1. Identifiant interne d’exploitation agricole*],0)),FALSE,TRUE))</f>
        <v>1</v>
      </c>
      <c r="AE127" s="122" t="b">
        <f>IF(ISBLANK(GroupMember[[#This Row],[1. Identifiant interne d’exploitation agricole*]]),"",IF(ISERROR(MATCH(GroupMember[[#This Row],[1. Identifiant interne d’exploitation agricole*]],FarmUnit[1. Identifiant interne d’exploitation agricole*],0)),FALSE,TRUE))</f>
        <v>1</v>
      </c>
      <c r="AF127" s="9" t="str">
        <f t="shared" si="6"/>
        <v>KINDA  MAMOUDOU</v>
      </c>
      <c r="AG127" s="243" t="str">
        <f t="shared" si="7"/>
        <v>14/8/2021</v>
      </c>
      <c r="AH127" s="51">
        <f>COUNTIFS(Z:Z,Z127,AG:AG,AG127)</f>
        <v>4</v>
      </c>
      <c r="AI127" s="49">
        <f t="shared" si="8"/>
        <v>0</v>
      </c>
    </row>
    <row r="128" spans="1:35" ht="15" x14ac:dyDescent="0.2">
      <c r="A128" s="145" t="s">
        <v>1095</v>
      </c>
      <c r="B128" s="146" t="s">
        <v>668</v>
      </c>
      <c r="C128" s="145" t="s">
        <v>1095</v>
      </c>
      <c r="D128" s="147" t="s">
        <v>669</v>
      </c>
      <c r="E128" s="146" t="s">
        <v>670</v>
      </c>
      <c r="F128" s="146" t="s">
        <v>671</v>
      </c>
      <c r="G128" s="146" t="s">
        <v>672</v>
      </c>
      <c r="H128" s="148">
        <v>5</v>
      </c>
      <c r="I128" s="146" t="s">
        <v>673</v>
      </c>
      <c r="J128" s="149">
        <v>1</v>
      </c>
      <c r="K128" s="150">
        <v>2021</v>
      </c>
      <c r="L128" s="151" t="s">
        <v>883</v>
      </c>
      <c r="M128" s="151" t="s">
        <v>1096</v>
      </c>
      <c r="N128" s="161"/>
      <c r="O128" s="153"/>
      <c r="P128" s="154" t="s">
        <v>676</v>
      </c>
      <c r="Q128" s="154"/>
      <c r="R128" s="155">
        <v>5</v>
      </c>
      <c r="S128" s="146"/>
      <c r="T128" s="168"/>
      <c r="U128" s="146"/>
      <c r="V128" s="146"/>
      <c r="W128" s="146"/>
      <c r="X128" s="156">
        <v>0</v>
      </c>
      <c r="Y128" s="156">
        <v>0</v>
      </c>
      <c r="Z128" s="157" t="s">
        <v>677</v>
      </c>
      <c r="AA128" s="158">
        <v>2021</v>
      </c>
      <c r="AB128" s="158">
        <v>8</v>
      </c>
      <c r="AC128" s="158">
        <v>11</v>
      </c>
      <c r="AD128" s="122" t="b">
        <f>IF(ISBLANK(GroupMember[[#This Row],[1. Identifiant interne d’exploitation agricole*]]),"",IF(ISERROR(MATCH(GroupMember[[#This Row],[1. Identifiant interne d’exploitation agricole*]],CertifiedCrop[1. Identifiant interne d’exploitation agricole*],0)),FALSE,TRUE))</f>
        <v>1</v>
      </c>
      <c r="AE128" s="122" t="b">
        <f>IF(ISBLANK(GroupMember[[#This Row],[1. Identifiant interne d’exploitation agricole*]]),"",IF(ISERROR(MATCH(GroupMember[[#This Row],[1. Identifiant interne d’exploitation agricole*]],FarmUnit[1. Identifiant interne d’exploitation agricole*],0)),FALSE,TRUE))</f>
        <v>1</v>
      </c>
      <c r="AF128" s="9" t="str">
        <f t="shared" si="6"/>
        <v>TIEU  OUNWA CHARLES</v>
      </c>
      <c r="AG128" s="243" t="str">
        <f t="shared" si="7"/>
        <v>11/8/2021</v>
      </c>
      <c r="AH128" s="51">
        <f>COUNTIFS(Z:Z,Z128,AG:AG,AG128)</f>
        <v>4</v>
      </c>
      <c r="AI128" s="49">
        <f t="shared" si="8"/>
        <v>0</v>
      </c>
    </row>
    <row r="129" spans="1:35" ht="15" x14ac:dyDescent="0.2">
      <c r="A129" s="145" t="s">
        <v>1097</v>
      </c>
      <c r="B129" s="146" t="s">
        <v>668</v>
      </c>
      <c r="C129" s="145" t="s">
        <v>1097</v>
      </c>
      <c r="D129" s="147" t="s">
        <v>669</v>
      </c>
      <c r="E129" s="146" t="s">
        <v>670</v>
      </c>
      <c r="F129" s="146" t="s">
        <v>671</v>
      </c>
      <c r="G129" s="146" t="s">
        <v>672</v>
      </c>
      <c r="H129" s="148">
        <v>6.58</v>
      </c>
      <c r="I129" s="146" t="s">
        <v>673</v>
      </c>
      <c r="J129" s="149">
        <v>1</v>
      </c>
      <c r="K129" s="150">
        <v>2021</v>
      </c>
      <c r="L129" s="151" t="s">
        <v>1098</v>
      </c>
      <c r="M129" s="151" t="s">
        <v>1099</v>
      </c>
      <c r="N129" s="172"/>
      <c r="O129" s="153"/>
      <c r="P129" s="154" t="s">
        <v>676</v>
      </c>
      <c r="Q129" s="154"/>
      <c r="R129" s="155">
        <v>5</v>
      </c>
      <c r="S129" s="146"/>
      <c r="T129" s="168"/>
      <c r="U129" s="146"/>
      <c r="V129" s="146"/>
      <c r="W129" s="146"/>
      <c r="X129" s="156">
        <v>0</v>
      </c>
      <c r="Y129" s="156">
        <v>0</v>
      </c>
      <c r="Z129" s="157" t="s">
        <v>677</v>
      </c>
      <c r="AA129" s="158">
        <v>2021</v>
      </c>
      <c r="AB129" s="158">
        <v>8</v>
      </c>
      <c r="AC129" s="158">
        <v>12</v>
      </c>
      <c r="AD129" s="122" t="b">
        <f>IF(ISBLANK(GroupMember[[#This Row],[1. Identifiant interne d’exploitation agricole*]]),"",IF(ISERROR(MATCH(GroupMember[[#This Row],[1. Identifiant interne d’exploitation agricole*]],CertifiedCrop[1. Identifiant interne d’exploitation agricole*],0)),FALSE,TRUE))</f>
        <v>1</v>
      </c>
      <c r="AE129" s="122" t="b">
        <f>IF(ISBLANK(GroupMember[[#This Row],[1. Identifiant interne d’exploitation agricole*]]),"",IF(ISERROR(MATCH(GroupMember[[#This Row],[1. Identifiant interne d’exploitation agricole*]],FarmUnit[1. Identifiant interne d’exploitation agricole*],0)),FALSE,TRUE))</f>
        <v>1</v>
      </c>
      <c r="AF129" s="9" t="str">
        <f t="shared" si="6"/>
        <v>SANKARA  KARTE</v>
      </c>
      <c r="AG129" s="243" t="str">
        <f t="shared" si="7"/>
        <v>12/8/2021</v>
      </c>
      <c r="AH129" s="51">
        <f>COUNTIFS(Z:Z,Z129,AG:AG,AG129)</f>
        <v>4</v>
      </c>
      <c r="AI129" s="49">
        <f t="shared" si="8"/>
        <v>0</v>
      </c>
    </row>
    <row r="130" spans="1:35" ht="15" x14ac:dyDescent="0.2">
      <c r="A130" s="145" t="s">
        <v>1100</v>
      </c>
      <c r="B130" s="146" t="s">
        <v>668</v>
      </c>
      <c r="C130" s="145" t="s">
        <v>1100</v>
      </c>
      <c r="D130" s="147" t="s">
        <v>669</v>
      </c>
      <c r="E130" s="146" t="s">
        <v>670</v>
      </c>
      <c r="F130" s="146" t="s">
        <v>671</v>
      </c>
      <c r="G130" s="146" t="s">
        <v>672</v>
      </c>
      <c r="H130" s="148">
        <v>1.18</v>
      </c>
      <c r="I130" s="146" t="s">
        <v>673</v>
      </c>
      <c r="J130" s="149">
        <v>1</v>
      </c>
      <c r="K130" s="150">
        <v>2021</v>
      </c>
      <c r="L130" s="151" t="s">
        <v>1101</v>
      </c>
      <c r="M130" s="151" t="s">
        <v>1003</v>
      </c>
      <c r="N130" s="172" t="s">
        <v>1102</v>
      </c>
      <c r="O130" s="153"/>
      <c r="P130" s="154" t="s">
        <v>676</v>
      </c>
      <c r="Q130" s="154"/>
      <c r="R130" s="155">
        <v>4</v>
      </c>
      <c r="S130" s="146"/>
      <c r="T130" s="168"/>
      <c r="U130" s="146"/>
      <c r="V130" s="146"/>
      <c r="W130" s="146"/>
      <c r="X130" s="156">
        <v>0</v>
      </c>
      <c r="Y130" s="156">
        <v>0</v>
      </c>
      <c r="Z130" s="157" t="s">
        <v>677</v>
      </c>
      <c r="AA130" s="158">
        <v>2021</v>
      </c>
      <c r="AB130" s="158">
        <v>8</v>
      </c>
      <c r="AC130" s="158">
        <v>10</v>
      </c>
      <c r="AD130" s="122" t="b">
        <f>IF(ISBLANK(GroupMember[[#This Row],[1. Identifiant interne d’exploitation agricole*]]),"",IF(ISERROR(MATCH(GroupMember[[#This Row],[1. Identifiant interne d’exploitation agricole*]],CertifiedCrop[1. Identifiant interne d’exploitation agricole*],0)),FALSE,TRUE))</f>
        <v>1</v>
      </c>
      <c r="AE130" s="122" t="b">
        <f>IF(ISBLANK(GroupMember[[#This Row],[1. Identifiant interne d’exploitation agricole*]]),"",IF(ISERROR(MATCH(GroupMember[[#This Row],[1. Identifiant interne d’exploitation agricole*]],FarmUnit[1. Identifiant interne d’exploitation agricole*],0)),FALSE,TRUE))</f>
        <v>1</v>
      </c>
      <c r="AF130" s="9" t="str">
        <f t="shared" si="6"/>
        <v>BAKAYOKO  ISSIAKA</v>
      </c>
      <c r="AG130" s="243" t="str">
        <f t="shared" si="7"/>
        <v>10/8/2021</v>
      </c>
      <c r="AH130" s="51">
        <f>COUNTIFS(Z:Z,Z130,AG:AG,AG130)</f>
        <v>4</v>
      </c>
      <c r="AI130" s="49">
        <f t="shared" si="8"/>
        <v>0</v>
      </c>
    </row>
    <row r="131" spans="1:35" ht="15" x14ac:dyDescent="0.2">
      <c r="A131" s="145" t="s">
        <v>1103</v>
      </c>
      <c r="B131" s="146" t="s">
        <v>668</v>
      </c>
      <c r="C131" s="145" t="s">
        <v>1103</v>
      </c>
      <c r="D131" s="147" t="s">
        <v>669</v>
      </c>
      <c r="E131" s="146" t="s">
        <v>670</v>
      </c>
      <c r="F131" s="146" t="s">
        <v>671</v>
      </c>
      <c r="G131" s="146" t="s">
        <v>672</v>
      </c>
      <c r="H131" s="148">
        <v>2.44</v>
      </c>
      <c r="I131" s="146" t="s">
        <v>673</v>
      </c>
      <c r="J131" s="149">
        <v>1</v>
      </c>
      <c r="K131" s="150">
        <v>2021</v>
      </c>
      <c r="L131" s="151" t="s">
        <v>1104</v>
      </c>
      <c r="M131" s="151" t="s">
        <v>1105</v>
      </c>
      <c r="N131" s="172"/>
      <c r="O131" s="153"/>
      <c r="P131" s="154" t="s">
        <v>676</v>
      </c>
      <c r="Q131" s="154"/>
      <c r="R131" s="155">
        <v>5</v>
      </c>
      <c r="S131" s="146"/>
      <c r="T131" s="168"/>
      <c r="U131" s="146"/>
      <c r="V131" s="146"/>
      <c r="W131" s="146"/>
      <c r="X131" s="156">
        <v>0</v>
      </c>
      <c r="Y131" s="156">
        <v>0</v>
      </c>
      <c r="Z131" s="157" t="s">
        <v>677</v>
      </c>
      <c r="AA131" s="158">
        <v>2021</v>
      </c>
      <c r="AB131" s="158">
        <v>7</v>
      </c>
      <c r="AC131" s="158">
        <v>8</v>
      </c>
      <c r="AD131" s="122" t="b">
        <f>IF(ISBLANK(GroupMember[[#This Row],[1. Identifiant interne d’exploitation agricole*]]),"",IF(ISERROR(MATCH(GroupMember[[#This Row],[1. Identifiant interne d’exploitation agricole*]],CertifiedCrop[1. Identifiant interne d’exploitation agricole*],0)),FALSE,TRUE))</f>
        <v>1</v>
      </c>
      <c r="AE131" s="122" t="b">
        <f>IF(ISBLANK(GroupMember[[#This Row],[1. Identifiant interne d’exploitation agricole*]]),"",IF(ISERROR(MATCH(GroupMember[[#This Row],[1. Identifiant interne d’exploitation agricole*]],FarmUnit[1. Identifiant interne d’exploitation agricole*],0)),FALSE,TRUE))</f>
        <v>1</v>
      </c>
      <c r="AF131" s="9" t="str">
        <f t="shared" si="6"/>
        <v>RAMDE  AROUNA</v>
      </c>
      <c r="AG131" s="243" t="str">
        <f t="shared" si="7"/>
        <v>8/7/2021</v>
      </c>
      <c r="AH131" s="51">
        <f>COUNTIFS(Z:Z,Z131,AG:AG,AG131)</f>
        <v>5</v>
      </c>
      <c r="AI131" s="49">
        <f t="shared" si="8"/>
        <v>0</v>
      </c>
    </row>
    <row r="132" spans="1:35" ht="15" x14ac:dyDescent="0.2">
      <c r="A132" s="145" t="s">
        <v>1106</v>
      </c>
      <c r="B132" s="146" t="s">
        <v>668</v>
      </c>
      <c r="C132" s="145" t="s">
        <v>1106</v>
      </c>
      <c r="D132" s="147" t="s">
        <v>669</v>
      </c>
      <c r="E132" s="146" t="s">
        <v>670</v>
      </c>
      <c r="F132" s="146" t="s">
        <v>671</v>
      </c>
      <c r="G132" s="146" t="s">
        <v>672</v>
      </c>
      <c r="H132" s="148">
        <v>2.61</v>
      </c>
      <c r="I132" s="146" t="s">
        <v>673</v>
      </c>
      <c r="J132" s="149">
        <v>1</v>
      </c>
      <c r="K132" s="150">
        <v>2021</v>
      </c>
      <c r="L132" s="151" t="s">
        <v>883</v>
      </c>
      <c r="M132" s="151" t="s">
        <v>1107</v>
      </c>
      <c r="N132" s="172" t="s">
        <v>1108</v>
      </c>
      <c r="O132" s="153"/>
      <c r="P132" s="154" t="s">
        <v>676</v>
      </c>
      <c r="Q132" s="154"/>
      <c r="R132" s="155">
        <v>5</v>
      </c>
      <c r="S132" s="146"/>
      <c r="T132" s="168"/>
      <c r="U132" s="146"/>
      <c r="V132" s="146"/>
      <c r="W132" s="146"/>
      <c r="X132" s="156">
        <v>0</v>
      </c>
      <c r="Y132" s="156">
        <v>0</v>
      </c>
      <c r="Z132" s="157" t="s">
        <v>677</v>
      </c>
      <c r="AA132" s="158">
        <v>2021</v>
      </c>
      <c r="AB132" s="158">
        <v>7</v>
      </c>
      <c r="AC132" s="158">
        <v>16</v>
      </c>
      <c r="AD132" s="122" t="b">
        <f>IF(ISBLANK(GroupMember[[#This Row],[1. Identifiant interne d’exploitation agricole*]]),"",IF(ISERROR(MATCH(GroupMember[[#This Row],[1. Identifiant interne d’exploitation agricole*]],CertifiedCrop[1. Identifiant interne d’exploitation agricole*],0)),FALSE,TRUE))</f>
        <v>1</v>
      </c>
      <c r="AE132" s="122" t="b">
        <f>IF(ISBLANK(GroupMember[[#This Row],[1. Identifiant interne d’exploitation agricole*]]),"",IF(ISERROR(MATCH(GroupMember[[#This Row],[1. Identifiant interne d’exploitation agricole*]],FarmUnit[1. Identifiant interne d’exploitation agricole*],0)),FALSE,TRUE))</f>
        <v>1</v>
      </c>
      <c r="AF132" s="9" t="str">
        <f t="shared" si="6"/>
        <v>TIEU TALY ALBERT</v>
      </c>
      <c r="AG132" s="243" t="str">
        <f t="shared" si="7"/>
        <v>16/7/2021</v>
      </c>
      <c r="AH132" s="51">
        <f>COUNTIFS(Z:Z,Z132,AG:AG,AG132)</f>
        <v>4</v>
      </c>
      <c r="AI132" s="49">
        <f t="shared" si="8"/>
        <v>0</v>
      </c>
    </row>
    <row r="133" spans="1:35" ht="15" x14ac:dyDescent="0.2">
      <c r="A133" s="145" t="s">
        <v>1109</v>
      </c>
      <c r="B133" s="146" t="s">
        <v>668</v>
      </c>
      <c r="C133" s="145" t="s">
        <v>1109</v>
      </c>
      <c r="D133" s="147" t="s">
        <v>669</v>
      </c>
      <c r="E133" s="146" t="s">
        <v>670</v>
      </c>
      <c r="F133" s="146" t="s">
        <v>671</v>
      </c>
      <c r="G133" s="146" t="s">
        <v>672</v>
      </c>
      <c r="H133" s="148">
        <v>2.0499999999999998</v>
      </c>
      <c r="I133" s="146" t="s">
        <v>673</v>
      </c>
      <c r="J133" s="149">
        <v>1</v>
      </c>
      <c r="K133" s="150">
        <v>2021</v>
      </c>
      <c r="L133" s="151" t="s">
        <v>795</v>
      </c>
      <c r="M133" s="151" t="s">
        <v>1110</v>
      </c>
      <c r="N133" s="172" t="s">
        <v>1111</v>
      </c>
      <c r="O133" s="153"/>
      <c r="P133" s="154" t="s">
        <v>676</v>
      </c>
      <c r="Q133" s="154"/>
      <c r="R133" s="155">
        <v>6</v>
      </c>
      <c r="S133" s="146"/>
      <c r="T133" s="168"/>
      <c r="U133" s="146"/>
      <c r="V133" s="146"/>
      <c r="W133" s="146"/>
      <c r="X133" s="156">
        <v>0</v>
      </c>
      <c r="Y133" s="156">
        <v>0</v>
      </c>
      <c r="Z133" s="157" t="s">
        <v>677</v>
      </c>
      <c r="AA133" s="158">
        <v>2021</v>
      </c>
      <c r="AB133" s="158">
        <v>8</v>
      </c>
      <c r="AC133" s="158">
        <v>12</v>
      </c>
      <c r="AD133" s="122" t="b">
        <f>IF(ISBLANK(GroupMember[[#This Row],[1. Identifiant interne d’exploitation agricole*]]),"",IF(ISERROR(MATCH(GroupMember[[#This Row],[1. Identifiant interne d’exploitation agricole*]],CertifiedCrop[1. Identifiant interne d’exploitation agricole*],0)),FALSE,TRUE))</f>
        <v>1</v>
      </c>
      <c r="AE133" s="122" t="b">
        <f>IF(ISBLANK(GroupMember[[#This Row],[1. Identifiant interne d’exploitation agricole*]]),"",IF(ISERROR(MATCH(GroupMember[[#This Row],[1. Identifiant interne d’exploitation agricole*]],FarmUnit[1. Identifiant interne d’exploitation agricole*],0)),FALSE,TRUE))</f>
        <v>1</v>
      </c>
      <c r="AF133" s="9" t="str">
        <f t="shared" si="6"/>
        <v>GOMPOU  EUGENE</v>
      </c>
      <c r="AG133" s="243" t="str">
        <f t="shared" si="7"/>
        <v>12/8/2021</v>
      </c>
      <c r="AH133" s="51">
        <f>COUNTIFS(Z:Z,Z133,AG:AG,AG133)</f>
        <v>4</v>
      </c>
      <c r="AI133" s="49">
        <f t="shared" si="8"/>
        <v>0</v>
      </c>
    </row>
    <row r="134" spans="1:35" ht="15" x14ac:dyDescent="0.2">
      <c r="A134" s="145" t="s">
        <v>1112</v>
      </c>
      <c r="B134" s="146" t="s">
        <v>668</v>
      </c>
      <c r="C134" s="145" t="s">
        <v>1112</v>
      </c>
      <c r="D134" s="147" t="s">
        <v>669</v>
      </c>
      <c r="E134" s="146" t="s">
        <v>670</v>
      </c>
      <c r="F134" s="146" t="s">
        <v>671</v>
      </c>
      <c r="G134" s="146" t="s">
        <v>672</v>
      </c>
      <c r="H134" s="148">
        <v>2.41</v>
      </c>
      <c r="I134" s="146" t="s">
        <v>673</v>
      </c>
      <c r="J134" s="149">
        <v>1</v>
      </c>
      <c r="K134" s="150">
        <v>2021</v>
      </c>
      <c r="L134" s="151" t="s">
        <v>1113</v>
      </c>
      <c r="M134" s="151" t="s">
        <v>1114</v>
      </c>
      <c r="N134" s="277" t="s">
        <v>3298</v>
      </c>
      <c r="O134" s="153" t="s">
        <v>1115</v>
      </c>
      <c r="P134" s="154" t="s">
        <v>676</v>
      </c>
      <c r="Q134" s="154">
        <v>1972</v>
      </c>
      <c r="R134" s="155">
        <v>8</v>
      </c>
      <c r="S134" s="146"/>
      <c r="T134" s="168"/>
      <c r="U134" s="146"/>
      <c r="V134" s="146"/>
      <c r="W134" s="146"/>
      <c r="X134" s="156">
        <v>0</v>
      </c>
      <c r="Y134" s="156">
        <v>0</v>
      </c>
      <c r="Z134" s="157" t="s">
        <v>677</v>
      </c>
      <c r="AA134" s="158">
        <v>2021</v>
      </c>
      <c r="AB134" s="158">
        <v>8</v>
      </c>
      <c r="AC134" s="158">
        <v>14</v>
      </c>
      <c r="AD134" s="122" t="b">
        <f>IF(ISBLANK(GroupMember[[#This Row],[1. Identifiant interne d’exploitation agricole*]]),"",IF(ISERROR(MATCH(GroupMember[[#This Row],[1. Identifiant interne d’exploitation agricole*]],CertifiedCrop[1. Identifiant interne d’exploitation agricole*],0)),FALSE,TRUE))</f>
        <v>1</v>
      </c>
      <c r="AE134" s="122" t="b">
        <f>IF(ISBLANK(GroupMember[[#This Row],[1. Identifiant interne d’exploitation agricole*]]),"",IF(ISERROR(MATCH(GroupMember[[#This Row],[1. Identifiant interne d’exploitation agricole*]],FarmUnit[1. Identifiant interne d’exploitation agricole*],0)),FALSE,TRUE))</f>
        <v>1</v>
      </c>
      <c r="AF134" s="9" t="str">
        <f t="shared" si="6"/>
        <v>DANKOUEN MEKA P. SALOMON</v>
      </c>
      <c r="AG134" s="243" t="str">
        <f t="shared" si="7"/>
        <v>14/8/2021</v>
      </c>
      <c r="AH134" s="51">
        <f>COUNTIFS(Z:Z,Z134,AG:AG,AG134)</f>
        <v>4</v>
      </c>
      <c r="AI134" s="49">
        <f t="shared" si="8"/>
        <v>0</v>
      </c>
    </row>
    <row r="135" spans="1:35" ht="15" x14ac:dyDescent="0.2">
      <c r="A135" s="145" t="s">
        <v>1116</v>
      </c>
      <c r="B135" s="146" t="s">
        <v>668</v>
      </c>
      <c r="C135" s="145" t="s">
        <v>1116</v>
      </c>
      <c r="D135" s="147" t="s">
        <v>669</v>
      </c>
      <c r="E135" s="146" t="s">
        <v>670</v>
      </c>
      <c r="F135" s="146" t="s">
        <v>671</v>
      </c>
      <c r="G135" s="146" t="s">
        <v>672</v>
      </c>
      <c r="H135" s="148">
        <v>0.75</v>
      </c>
      <c r="I135" s="146" t="s">
        <v>673</v>
      </c>
      <c r="J135" s="149">
        <v>1</v>
      </c>
      <c r="K135" s="150">
        <v>2021</v>
      </c>
      <c r="L135" s="151" t="s">
        <v>1117</v>
      </c>
      <c r="M135" s="151" t="s">
        <v>1118</v>
      </c>
      <c r="N135" s="172"/>
      <c r="O135" s="153"/>
      <c r="P135" s="154" t="s">
        <v>676</v>
      </c>
      <c r="Q135" s="154"/>
      <c r="R135" s="155">
        <v>5</v>
      </c>
      <c r="S135" s="146"/>
      <c r="T135" s="168"/>
      <c r="U135" s="146"/>
      <c r="V135" s="146"/>
      <c r="W135" s="146"/>
      <c r="X135" s="156">
        <v>0</v>
      </c>
      <c r="Y135" s="156">
        <v>0</v>
      </c>
      <c r="Z135" s="157" t="s">
        <v>677</v>
      </c>
      <c r="AA135" s="158">
        <v>2021</v>
      </c>
      <c r="AB135" s="158">
        <v>8</v>
      </c>
      <c r="AC135" s="158">
        <v>11</v>
      </c>
      <c r="AD135" s="122" t="b">
        <f>IF(ISBLANK(GroupMember[[#This Row],[1. Identifiant interne d’exploitation agricole*]]),"",IF(ISERROR(MATCH(GroupMember[[#This Row],[1. Identifiant interne d’exploitation agricole*]],CertifiedCrop[1. Identifiant interne d’exploitation agricole*],0)),FALSE,TRUE))</f>
        <v>1</v>
      </c>
      <c r="AE135" s="122" t="b">
        <f>IF(ISBLANK(GroupMember[[#This Row],[1. Identifiant interne d’exploitation agricole*]]),"",IF(ISERROR(MATCH(GroupMember[[#This Row],[1. Identifiant interne d’exploitation agricole*]],FarmUnit[1. Identifiant interne d’exploitation agricole*],0)),FALSE,TRUE))</f>
        <v>1</v>
      </c>
      <c r="AF135" s="9" t="str">
        <f t="shared" si="6"/>
        <v>WAKELEU  KOIGON FABRICE</v>
      </c>
      <c r="AG135" s="243" t="str">
        <f t="shared" si="7"/>
        <v>11/8/2021</v>
      </c>
      <c r="AH135" s="51">
        <f>COUNTIFS(Z:Z,Z135,AG:AG,AG135)</f>
        <v>4</v>
      </c>
      <c r="AI135" s="49">
        <f t="shared" si="8"/>
        <v>0</v>
      </c>
    </row>
    <row r="136" spans="1:35" ht="15" x14ac:dyDescent="0.2">
      <c r="A136" s="145" t="s">
        <v>1119</v>
      </c>
      <c r="B136" s="146" t="s">
        <v>668</v>
      </c>
      <c r="C136" s="145" t="s">
        <v>1119</v>
      </c>
      <c r="D136" s="147" t="s">
        <v>669</v>
      </c>
      <c r="E136" s="146" t="s">
        <v>670</v>
      </c>
      <c r="F136" s="146" t="s">
        <v>671</v>
      </c>
      <c r="G136" s="146" t="s">
        <v>672</v>
      </c>
      <c r="H136" s="148">
        <v>2</v>
      </c>
      <c r="I136" s="146" t="s">
        <v>673</v>
      </c>
      <c r="J136" s="149">
        <v>1</v>
      </c>
      <c r="K136" s="150">
        <v>2021</v>
      </c>
      <c r="L136" s="151" t="s">
        <v>1120</v>
      </c>
      <c r="M136" s="151" t="s">
        <v>1121</v>
      </c>
      <c r="N136" s="172"/>
      <c r="O136" s="153"/>
      <c r="P136" s="154" t="s">
        <v>676</v>
      </c>
      <c r="Q136" s="154"/>
      <c r="R136" s="155">
        <v>7</v>
      </c>
      <c r="S136" s="146"/>
      <c r="T136" s="168"/>
      <c r="U136" s="146"/>
      <c r="V136" s="146"/>
      <c r="W136" s="146"/>
      <c r="X136" s="156">
        <v>0</v>
      </c>
      <c r="Y136" s="156">
        <v>0</v>
      </c>
      <c r="Z136" s="157" t="s">
        <v>677</v>
      </c>
      <c r="AA136" s="158">
        <v>2021</v>
      </c>
      <c r="AB136" s="158">
        <v>8</v>
      </c>
      <c r="AC136" s="158">
        <v>17</v>
      </c>
      <c r="AD136" s="122" t="b">
        <f>IF(ISBLANK(GroupMember[[#This Row],[1. Identifiant interne d’exploitation agricole*]]),"",IF(ISERROR(MATCH(GroupMember[[#This Row],[1. Identifiant interne d’exploitation agricole*]],CertifiedCrop[1. Identifiant interne d’exploitation agricole*],0)),FALSE,TRUE))</f>
        <v>1</v>
      </c>
      <c r="AE136" s="122" t="b">
        <f>IF(ISBLANK(GroupMember[[#This Row],[1. Identifiant interne d’exploitation agricole*]]),"",IF(ISERROR(MATCH(GroupMember[[#This Row],[1. Identifiant interne d’exploitation agricole*]],FarmUnit[1. Identifiant interne d’exploitation agricole*],0)),FALSE,TRUE))</f>
        <v>1</v>
      </c>
      <c r="AF136" s="9" t="str">
        <f t="shared" si="6"/>
        <v>PEUGOUANKEU  K. ERIC</v>
      </c>
      <c r="AG136" s="243" t="str">
        <f t="shared" si="7"/>
        <v>17/8/2021</v>
      </c>
      <c r="AH136" s="51">
        <f>COUNTIFS(Z:Z,Z136,AG:AG,AG136)</f>
        <v>3</v>
      </c>
      <c r="AI136" s="49">
        <f t="shared" si="8"/>
        <v>0</v>
      </c>
    </row>
    <row r="137" spans="1:35" ht="15" x14ac:dyDescent="0.2">
      <c r="A137" s="145" t="s">
        <v>1122</v>
      </c>
      <c r="B137" s="146" t="s">
        <v>668</v>
      </c>
      <c r="C137" s="145" t="s">
        <v>1122</v>
      </c>
      <c r="D137" s="147" t="s">
        <v>669</v>
      </c>
      <c r="E137" s="146" t="s">
        <v>670</v>
      </c>
      <c r="F137" s="146" t="s">
        <v>671</v>
      </c>
      <c r="G137" s="146" t="s">
        <v>672</v>
      </c>
      <c r="H137" s="148">
        <v>3</v>
      </c>
      <c r="I137" s="146" t="s">
        <v>673</v>
      </c>
      <c r="J137" s="149">
        <v>1</v>
      </c>
      <c r="K137" s="150">
        <v>2021</v>
      </c>
      <c r="L137" s="151" t="s">
        <v>1123</v>
      </c>
      <c r="M137" s="151" t="s">
        <v>1124</v>
      </c>
      <c r="N137" s="172" t="s">
        <v>1125</v>
      </c>
      <c r="O137" s="217" t="s">
        <v>3421</v>
      </c>
      <c r="P137" s="154" t="s">
        <v>676</v>
      </c>
      <c r="Q137" s="154">
        <v>1993</v>
      </c>
      <c r="R137" s="155">
        <v>5</v>
      </c>
      <c r="S137" s="146"/>
      <c r="T137" s="168"/>
      <c r="U137" s="146"/>
      <c r="V137" s="146"/>
      <c r="W137" s="146"/>
      <c r="X137" s="156">
        <v>0</v>
      </c>
      <c r="Y137" s="156">
        <v>0</v>
      </c>
      <c r="Z137" s="157" t="s">
        <v>677</v>
      </c>
      <c r="AA137" s="158">
        <v>2021</v>
      </c>
      <c r="AB137" s="158">
        <v>8</v>
      </c>
      <c r="AC137" s="158">
        <v>13</v>
      </c>
      <c r="AD137" s="122" t="b">
        <f>IF(ISBLANK(GroupMember[[#This Row],[1. Identifiant interne d’exploitation agricole*]]),"",IF(ISERROR(MATCH(GroupMember[[#This Row],[1. Identifiant interne d’exploitation agricole*]],CertifiedCrop[1. Identifiant interne d’exploitation agricole*],0)),FALSE,TRUE))</f>
        <v>1</v>
      </c>
      <c r="AE137" s="122" t="b">
        <f>IF(ISBLANK(GroupMember[[#This Row],[1. Identifiant interne d’exploitation agricole*]]),"",IF(ISERROR(MATCH(GroupMember[[#This Row],[1. Identifiant interne d’exploitation agricole*]],FarmUnit[1. Identifiant interne d’exploitation agricole*],0)),FALSE,TRUE))</f>
        <v>1</v>
      </c>
      <c r="AF137" s="9" t="str">
        <f t="shared" si="6"/>
        <v>KPANNIEU  RODOPH</v>
      </c>
      <c r="AG137" s="243" t="str">
        <f t="shared" si="7"/>
        <v>13/8/2021</v>
      </c>
      <c r="AH137" s="51">
        <f>COUNTIFS(Z:Z,Z137,AG:AG,AG137)</f>
        <v>4</v>
      </c>
      <c r="AI137" s="49">
        <f t="shared" si="8"/>
        <v>0</v>
      </c>
    </row>
    <row r="138" spans="1:35" ht="15" x14ac:dyDescent="0.2">
      <c r="A138" s="145" t="s">
        <v>1126</v>
      </c>
      <c r="B138" s="146" t="s">
        <v>668</v>
      </c>
      <c r="C138" s="145" t="s">
        <v>1126</v>
      </c>
      <c r="D138" s="147" t="s">
        <v>669</v>
      </c>
      <c r="E138" s="146" t="s">
        <v>670</v>
      </c>
      <c r="F138" s="146" t="s">
        <v>671</v>
      </c>
      <c r="G138" s="146" t="s">
        <v>672</v>
      </c>
      <c r="H138" s="148">
        <v>3</v>
      </c>
      <c r="I138" s="146" t="s">
        <v>673</v>
      </c>
      <c r="J138" s="149">
        <v>1</v>
      </c>
      <c r="K138" s="150">
        <v>2021</v>
      </c>
      <c r="L138" s="151" t="s">
        <v>1123</v>
      </c>
      <c r="M138" s="151" t="s">
        <v>1127</v>
      </c>
      <c r="N138" s="172"/>
      <c r="O138" s="153"/>
      <c r="P138" s="154" t="s">
        <v>676</v>
      </c>
      <c r="Q138" s="154"/>
      <c r="R138" s="155">
        <v>4</v>
      </c>
      <c r="S138" s="146"/>
      <c r="T138" s="168"/>
      <c r="U138" s="146"/>
      <c r="V138" s="146"/>
      <c r="W138" s="146"/>
      <c r="X138" s="156">
        <v>0</v>
      </c>
      <c r="Y138" s="156">
        <v>0</v>
      </c>
      <c r="Z138" s="157" t="s">
        <v>677</v>
      </c>
      <c r="AA138" s="158">
        <v>2021</v>
      </c>
      <c r="AB138" s="158">
        <v>8</v>
      </c>
      <c r="AC138" s="158">
        <v>17</v>
      </c>
      <c r="AD138" s="122" t="b">
        <f>IF(ISBLANK(GroupMember[[#This Row],[1. Identifiant interne d’exploitation agricole*]]),"",IF(ISERROR(MATCH(GroupMember[[#This Row],[1. Identifiant interne d’exploitation agricole*]],CertifiedCrop[1. Identifiant interne d’exploitation agricole*],0)),FALSE,TRUE))</f>
        <v>1</v>
      </c>
      <c r="AE138" s="122" t="b">
        <f>IF(ISBLANK(GroupMember[[#This Row],[1. Identifiant interne d’exploitation agricole*]]),"",IF(ISERROR(MATCH(GroupMember[[#This Row],[1. Identifiant interne d’exploitation agricole*]],FarmUnit[1. Identifiant interne d’exploitation agricole*],0)),FALSE,TRUE))</f>
        <v>1</v>
      </c>
      <c r="AF138" s="9" t="str">
        <f t="shared" si="6"/>
        <v>KPANNIEU  ERIC</v>
      </c>
      <c r="AG138" s="243" t="str">
        <f t="shared" si="7"/>
        <v>17/8/2021</v>
      </c>
      <c r="AH138" s="51">
        <f>COUNTIFS(Z:Z,Z138,AG:AG,AG138)</f>
        <v>3</v>
      </c>
      <c r="AI138" s="49">
        <f t="shared" si="8"/>
        <v>0</v>
      </c>
    </row>
    <row r="139" spans="1:35" ht="15" x14ac:dyDescent="0.2">
      <c r="A139" s="145" t="s">
        <v>1128</v>
      </c>
      <c r="B139" s="146" t="s">
        <v>668</v>
      </c>
      <c r="C139" s="145" t="s">
        <v>1128</v>
      </c>
      <c r="D139" s="147" t="s">
        <v>669</v>
      </c>
      <c r="E139" s="146" t="s">
        <v>670</v>
      </c>
      <c r="F139" s="146" t="s">
        <v>671</v>
      </c>
      <c r="G139" s="146" t="s">
        <v>672</v>
      </c>
      <c r="H139" s="148">
        <v>6.19</v>
      </c>
      <c r="I139" s="146" t="s">
        <v>673</v>
      </c>
      <c r="J139" s="149">
        <v>1</v>
      </c>
      <c r="K139" s="150">
        <v>2021</v>
      </c>
      <c r="L139" s="151" t="s">
        <v>1010</v>
      </c>
      <c r="M139" s="151" t="s">
        <v>1129</v>
      </c>
      <c r="N139" s="172" t="s">
        <v>1130</v>
      </c>
      <c r="O139" s="153"/>
      <c r="P139" s="154" t="s">
        <v>676</v>
      </c>
      <c r="Q139" s="154"/>
      <c r="R139" s="155">
        <v>5</v>
      </c>
      <c r="S139" s="146"/>
      <c r="T139" s="168"/>
      <c r="U139" s="146"/>
      <c r="V139" s="146"/>
      <c r="W139" s="146"/>
      <c r="X139" s="156">
        <v>0</v>
      </c>
      <c r="Y139" s="156">
        <v>0</v>
      </c>
      <c r="Z139" s="157" t="s">
        <v>677</v>
      </c>
      <c r="AA139" s="158">
        <v>2021</v>
      </c>
      <c r="AB139" s="158">
        <v>8</v>
      </c>
      <c r="AC139" s="158">
        <v>11</v>
      </c>
      <c r="AD139" s="122" t="b">
        <f>IF(ISBLANK(GroupMember[[#This Row],[1. Identifiant interne d’exploitation agricole*]]),"",IF(ISERROR(MATCH(GroupMember[[#This Row],[1. Identifiant interne d’exploitation agricole*]],CertifiedCrop[1. Identifiant interne d’exploitation agricole*],0)),FALSE,TRUE))</f>
        <v>1</v>
      </c>
      <c r="AE139" s="122" t="b">
        <f>IF(ISBLANK(GroupMember[[#This Row],[1. Identifiant interne d’exploitation agricole*]]),"",IF(ISERROR(MATCH(GroupMember[[#This Row],[1. Identifiant interne d’exploitation agricole*]],FarmUnit[1. Identifiant interne d’exploitation agricole*],0)),FALSE,TRUE))</f>
        <v>1</v>
      </c>
      <c r="AF139" s="9" t="str">
        <f t="shared" si="6"/>
        <v>BAMBA  OUSMANE</v>
      </c>
      <c r="AG139" s="243" t="str">
        <f t="shared" si="7"/>
        <v>11/8/2021</v>
      </c>
      <c r="AH139" s="51">
        <f>COUNTIFS(Z:Z,Z139,AG:AG,AG139)</f>
        <v>4</v>
      </c>
      <c r="AI139" s="49">
        <f t="shared" si="8"/>
        <v>0</v>
      </c>
    </row>
    <row r="140" spans="1:35" ht="15" x14ac:dyDescent="0.2">
      <c r="A140" s="145" t="s">
        <v>1131</v>
      </c>
      <c r="B140" s="146" t="s">
        <v>668</v>
      </c>
      <c r="C140" s="145" t="s">
        <v>1131</v>
      </c>
      <c r="D140" s="147" t="s">
        <v>669</v>
      </c>
      <c r="E140" s="146" t="s">
        <v>670</v>
      </c>
      <c r="F140" s="146" t="s">
        <v>671</v>
      </c>
      <c r="G140" s="146" t="s">
        <v>672</v>
      </c>
      <c r="H140" s="148">
        <v>2.0099999999999998</v>
      </c>
      <c r="I140" s="146" t="s">
        <v>673</v>
      </c>
      <c r="J140" s="149">
        <v>1</v>
      </c>
      <c r="K140" s="150">
        <v>2021</v>
      </c>
      <c r="L140" s="151" t="s">
        <v>1132</v>
      </c>
      <c r="M140" s="151" t="s">
        <v>1133</v>
      </c>
      <c r="N140" s="172" t="s">
        <v>1134</v>
      </c>
      <c r="O140" s="153"/>
      <c r="P140" s="154" t="s">
        <v>676</v>
      </c>
      <c r="Q140" s="154"/>
      <c r="R140" s="155">
        <v>5</v>
      </c>
      <c r="S140" s="146"/>
      <c r="T140" s="168"/>
      <c r="U140" s="146"/>
      <c r="V140" s="146"/>
      <c r="W140" s="146"/>
      <c r="X140" s="156">
        <v>0</v>
      </c>
      <c r="Y140" s="156">
        <v>0</v>
      </c>
      <c r="Z140" s="157" t="s">
        <v>677</v>
      </c>
      <c r="AA140" s="158">
        <v>2021</v>
      </c>
      <c r="AB140" s="158">
        <v>8</v>
      </c>
      <c r="AC140" s="158">
        <v>13</v>
      </c>
      <c r="AD140" s="122" t="b">
        <f>IF(ISBLANK(GroupMember[[#This Row],[1. Identifiant interne d’exploitation agricole*]]),"",IF(ISERROR(MATCH(GroupMember[[#This Row],[1. Identifiant interne d’exploitation agricole*]],CertifiedCrop[1. Identifiant interne d’exploitation agricole*],0)),FALSE,TRUE))</f>
        <v>1</v>
      </c>
      <c r="AE140" s="122" t="b">
        <f>IF(ISBLANK(GroupMember[[#This Row],[1. Identifiant interne d’exploitation agricole*]]),"",IF(ISERROR(MATCH(GroupMember[[#This Row],[1. Identifiant interne d’exploitation agricole*]],FarmUnit[1. Identifiant interne d’exploitation agricole*],0)),FALSE,TRUE))</f>
        <v>1</v>
      </c>
      <c r="AF140" s="9" t="str">
        <f t="shared" si="6"/>
        <v>FANE CHEICKINA</v>
      </c>
      <c r="AG140" s="243" t="str">
        <f t="shared" si="7"/>
        <v>13/8/2021</v>
      </c>
      <c r="AH140" s="51">
        <f>COUNTIFS(Z:Z,Z140,AG:AG,AG140)</f>
        <v>4</v>
      </c>
      <c r="AI140" s="49">
        <f t="shared" si="8"/>
        <v>0</v>
      </c>
    </row>
    <row r="141" spans="1:35" ht="15" x14ac:dyDescent="0.2">
      <c r="A141" s="145" t="s">
        <v>1135</v>
      </c>
      <c r="B141" s="146" t="s">
        <v>668</v>
      </c>
      <c r="C141" s="145" t="s">
        <v>1135</v>
      </c>
      <c r="D141" s="147" t="s">
        <v>669</v>
      </c>
      <c r="E141" s="146" t="s">
        <v>670</v>
      </c>
      <c r="F141" s="146" t="s">
        <v>671</v>
      </c>
      <c r="G141" s="146" t="s">
        <v>672</v>
      </c>
      <c r="H141" s="148">
        <v>4</v>
      </c>
      <c r="I141" s="146" t="s">
        <v>673</v>
      </c>
      <c r="J141" s="149">
        <v>2</v>
      </c>
      <c r="K141" s="150">
        <v>2021</v>
      </c>
      <c r="L141" s="151" t="s">
        <v>1136</v>
      </c>
      <c r="M141" s="151" t="s">
        <v>1137</v>
      </c>
      <c r="N141" s="172"/>
      <c r="O141" s="153"/>
      <c r="P141" s="154" t="s">
        <v>676</v>
      </c>
      <c r="Q141" s="154"/>
      <c r="R141" s="155">
        <v>8</v>
      </c>
      <c r="S141" s="146"/>
      <c r="T141" s="168"/>
      <c r="U141" s="146"/>
      <c r="V141" s="146"/>
      <c r="W141" s="146"/>
      <c r="X141" s="156">
        <v>0</v>
      </c>
      <c r="Y141" s="156">
        <v>0</v>
      </c>
      <c r="Z141" s="157" t="s">
        <v>677</v>
      </c>
      <c r="AA141" s="158">
        <v>2021</v>
      </c>
      <c r="AB141" s="158">
        <v>7</v>
      </c>
      <c r="AC141" s="158">
        <v>16</v>
      </c>
      <c r="AD141" s="122" t="b">
        <f>IF(ISBLANK(GroupMember[[#This Row],[1. Identifiant interne d’exploitation agricole*]]),"",IF(ISERROR(MATCH(GroupMember[[#This Row],[1. Identifiant interne d’exploitation agricole*]],CertifiedCrop[1. Identifiant interne d’exploitation agricole*],0)),FALSE,TRUE))</f>
        <v>1</v>
      </c>
      <c r="AE141" s="122" t="b">
        <f>IF(ISBLANK(GroupMember[[#This Row],[1. Identifiant interne d’exploitation agricole*]]),"",IF(ISERROR(MATCH(GroupMember[[#This Row],[1. Identifiant interne d’exploitation agricole*]],FarmUnit[1. Identifiant interne d’exploitation agricole*],0)),FALSE,TRUE))</f>
        <v>1</v>
      </c>
      <c r="AF141" s="9" t="str">
        <f t="shared" si="6"/>
        <v>HAMED  TIENTRA</v>
      </c>
      <c r="AG141" s="243" t="str">
        <f t="shared" si="7"/>
        <v>16/7/2021</v>
      </c>
      <c r="AH141" s="51">
        <f>COUNTIFS(Z:Z,Z141,AG:AG,AG141)</f>
        <v>4</v>
      </c>
      <c r="AI141" s="49">
        <f t="shared" si="8"/>
        <v>0</v>
      </c>
    </row>
    <row r="142" spans="1:35" ht="15" x14ac:dyDescent="0.2">
      <c r="A142" s="145" t="s">
        <v>1138</v>
      </c>
      <c r="B142" s="146" t="s">
        <v>668</v>
      </c>
      <c r="C142" s="145" t="s">
        <v>1138</v>
      </c>
      <c r="D142" s="147" t="s">
        <v>669</v>
      </c>
      <c r="E142" s="146" t="s">
        <v>670</v>
      </c>
      <c r="F142" s="146" t="s">
        <v>671</v>
      </c>
      <c r="G142" s="146" t="s">
        <v>672</v>
      </c>
      <c r="H142" s="148">
        <v>1.41</v>
      </c>
      <c r="I142" s="146" t="s">
        <v>673</v>
      </c>
      <c r="J142" s="149">
        <v>1</v>
      </c>
      <c r="K142" s="150">
        <v>2021</v>
      </c>
      <c r="L142" s="151" t="s">
        <v>1139</v>
      </c>
      <c r="M142" s="151" t="s">
        <v>1140</v>
      </c>
      <c r="N142" s="172" t="s">
        <v>1141</v>
      </c>
      <c r="O142" s="153"/>
      <c r="P142" s="154" t="s">
        <v>676</v>
      </c>
      <c r="Q142" s="154"/>
      <c r="R142" s="155">
        <v>5</v>
      </c>
      <c r="S142" s="146"/>
      <c r="T142" s="168"/>
      <c r="U142" s="146"/>
      <c r="V142" s="146"/>
      <c r="W142" s="146"/>
      <c r="X142" s="156">
        <v>0</v>
      </c>
      <c r="Y142" s="156">
        <v>0</v>
      </c>
      <c r="Z142" s="157" t="s">
        <v>677</v>
      </c>
      <c r="AA142" s="158">
        <v>2021</v>
      </c>
      <c r="AB142" s="158">
        <v>7</v>
      </c>
      <c r="AC142" s="158">
        <v>8</v>
      </c>
      <c r="AD142" s="122" t="b">
        <f>IF(ISBLANK(GroupMember[[#This Row],[1. Identifiant interne d’exploitation agricole*]]),"",IF(ISERROR(MATCH(GroupMember[[#This Row],[1. Identifiant interne d’exploitation agricole*]],CertifiedCrop[1. Identifiant interne d’exploitation agricole*],0)),FALSE,TRUE))</f>
        <v>1</v>
      </c>
      <c r="AE142" s="122" t="b">
        <f>IF(ISBLANK(GroupMember[[#This Row],[1. Identifiant interne d’exploitation agricole*]]),"",IF(ISERROR(MATCH(GroupMember[[#This Row],[1. Identifiant interne d’exploitation agricole*]],FarmUnit[1. Identifiant interne d’exploitation agricole*],0)),FALSE,TRUE))</f>
        <v>1</v>
      </c>
      <c r="AF142" s="9" t="str">
        <f t="shared" si="6"/>
        <v>HAMALA  DIAKITE</v>
      </c>
      <c r="AG142" s="243" t="str">
        <f t="shared" si="7"/>
        <v>8/7/2021</v>
      </c>
      <c r="AH142" s="51">
        <f>COUNTIFS(Z:Z,Z142,AG:AG,AG142)</f>
        <v>5</v>
      </c>
      <c r="AI142" s="49">
        <f t="shared" si="8"/>
        <v>0</v>
      </c>
    </row>
    <row r="143" spans="1:35" ht="15" x14ac:dyDescent="0.2">
      <c r="A143" s="145" t="s">
        <v>1142</v>
      </c>
      <c r="B143" s="146" t="s">
        <v>668</v>
      </c>
      <c r="C143" s="145" t="s">
        <v>1142</v>
      </c>
      <c r="D143" s="147" t="s">
        <v>669</v>
      </c>
      <c r="E143" s="146" t="s">
        <v>670</v>
      </c>
      <c r="F143" s="146" t="s">
        <v>671</v>
      </c>
      <c r="G143" s="146" t="s">
        <v>672</v>
      </c>
      <c r="H143" s="148">
        <v>5.66</v>
      </c>
      <c r="I143" s="146" t="s">
        <v>673</v>
      </c>
      <c r="J143" s="149">
        <v>1</v>
      </c>
      <c r="K143" s="150">
        <v>2021</v>
      </c>
      <c r="L143" s="151" t="s">
        <v>1132</v>
      </c>
      <c r="M143" s="151" t="s">
        <v>1143</v>
      </c>
      <c r="N143" s="172" t="s">
        <v>1144</v>
      </c>
      <c r="O143" s="153" t="s">
        <v>1145</v>
      </c>
      <c r="P143" s="154" t="s">
        <v>676</v>
      </c>
      <c r="Q143" s="154">
        <v>1962</v>
      </c>
      <c r="R143" s="155">
        <v>7</v>
      </c>
      <c r="S143" s="146"/>
      <c r="T143" s="168"/>
      <c r="U143" s="146"/>
      <c r="V143" s="146"/>
      <c r="W143" s="146"/>
      <c r="X143" s="156">
        <v>0</v>
      </c>
      <c r="Y143" s="156">
        <v>0</v>
      </c>
      <c r="Z143" s="157" t="s">
        <v>677</v>
      </c>
      <c r="AA143" s="158">
        <v>2021</v>
      </c>
      <c r="AB143" s="158">
        <v>8</v>
      </c>
      <c r="AC143" s="158">
        <v>14</v>
      </c>
      <c r="AD143" s="122" t="b">
        <f>IF(ISBLANK(GroupMember[[#This Row],[1. Identifiant interne d’exploitation agricole*]]),"",IF(ISERROR(MATCH(GroupMember[[#This Row],[1. Identifiant interne d’exploitation agricole*]],CertifiedCrop[1. Identifiant interne d’exploitation agricole*],0)),FALSE,TRUE))</f>
        <v>1</v>
      </c>
      <c r="AE143" s="122" t="b">
        <f>IF(ISBLANK(GroupMember[[#This Row],[1. Identifiant interne d’exploitation agricole*]]),"",IF(ISERROR(MATCH(GroupMember[[#This Row],[1. Identifiant interne d’exploitation agricole*]],FarmUnit[1. Identifiant interne d’exploitation agricole*],0)),FALSE,TRUE))</f>
        <v>1</v>
      </c>
      <c r="AF143" s="9" t="str">
        <f t="shared" si="6"/>
        <v>FANE SAIBOU</v>
      </c>
      <c r="AG143" s="243" t="str">
        <f t="shared" si="7"/>
        <v>14/8/2021</v>
      </c>
      <c r="AH143" s="51">
        <f>COUNTIFS(Z:Z,Z143,AG:AG,AG143)</f>
        <v>4</v>
      </c>
      <c r="AI143" s="49">
        <f t="shared" si="8"/>
        <v>0</v>
      </c>
    </row>
    <row r="144" spans="1:35" ht="15" x14ac:dyDescent="0.2">
      <c r="A144" s="145" t="s">
        <v>1146</v>
      </c>
      <c r="B144" s="146" t="s">
        <v>668</v>
      </c>
      <c r="C144" s="145" t="s">
        <v>1146</v>
      </c>
      <c r="D144" s="147" t="s">
        <v>669</v>
      </c>
      <c r="E144" s="146" t="s">
        <v>670</v>
      </c>
      <c r="F144" s="146" t="s">
        <v>671</v>
      </c>
      <c r="G144" s="146" t="s">
        <v>672</v>
      </c>
      <c r="H144" s="148">
        <v>3.11</v>
      </c>
      <c r="I144" s="146" t="s">
        <v>673</v>
      </c>
      <c r="J144" s="149">
        <v>1</v>
      </c>
      <c r="K144" s="150">
        <v>2021</v>
      </c>
      <c r="L144" s="151" t="s">
        <v>1147</v>
      </c>
      <c r="M144" s="151" t="s">
        <v>1148</v>
      </c>
      <c r="N144" s="172"/>
      <c r="O144" s="153" t="s">
        <v>1149</v>
      </c>
      <c r="P144" s="154" t="s">
        <v>676</v>
      </c>
      <c r="Q144" s="154">
        <v>1976</v>
      </c>
      <c r="R144" s="155">
        <v>6</v>
      </c>
      <c r="S144" s="146"/>
      <c r="T144" s="168"/>
      <c r="U144" s="146"/>
      <c r="V144" s="146"/>
      <c r="W144" s="146"/>
      <c r="X144" s="156">
        <v>0</v>
      </c>
      <c r="Y144" s="156">
        <v>0</v>
      </c>
      <c r="Z144" s="157" t="s">
        <v>677</v>
      </c>
      <c r="AA144" s="158">
        <v>2021</v>
      </c>
      <c r="AB144" s="158">
        <v>8</v>
      </c>
      <c r="AC144" s="158">
        <v>17</v>
      </c>
      <c r="AD144" s="122" t="b">
        <f>IF(ISBLANK(GroupMember[[#This Row],[1. Identifiant interne d’exploitation agricole*]]),"",IF(ISERROR(MATCH(GroupMember[[#This Row],[1. Identifiant interne d’exploitation agricole*]],CertifiedCrop[1. Identifiant interne d’exploitation agricole*],0)),FALSE,TRUE))</f>
        <v>1</v>
      </c>
      <c r="AE144" s="122" t="b">
        <f>IF(ISBLANK(GroupMember[[#This Row],[1. Identifiant interne d’exploitation agricole*]]),"",IF(ISERROR(MATCH(GroupMember[[#This Row],[1. Identifiant interne d’exploitation agricole*]],FarmUnit[1. Identifiant interne d’exploitation agricole*],0)),FALSE,TRUE))</f>
        <v>1</v>
      </c>
      <c r="AF144" s="9" t="str">
        <f t="shared" si="6"/>
        <v>SEDE ROLAND</v>
      </c>
      <c r="AG144" s="243" t="str">
        <f t="shared" si="7"/>
        <v>17/8/2021</v>
      </c>
      <c r="AH144" s="51">
        <f>COUNTIFS(Z:Z,Z144,AG:AG,AG144)</f>
        <v>3</v>
      </c>
      <c r="AI144" s="49">
        <f t="shared" si="8"/>
        <v>0</v>
      </c>
    </row>
    <row r="145" spans="1:35" ht="15" x14ac:dyDescent="0.2">
      <c r="A145" s="145" t="s">
        <v>1150</v>
      </c>
      <c r="B145" s="146" t="s">
        <v>668</v>
      </c>
      <c r="C145" s="145" t="s">
        <v>1150</v>
      </c>
      <c r="D145" s="147" t="s">
        <v>669</v>
      </c>
      <c r="E145" s="146" t="s">
        <v>670</v>
      </c>
      <c r="F145" s="146" t="s">
        <v>671</v>
      </c>
      <c r="G145" s="146" t="s">
        <v>672</v>
      </c>
      <c r="H145" s="148">
        <v>1.25</v>
      </c>
      <c r="I145" s="146" t="s">
        <v>673</v>
      </c>
      <c r="J145" s="149">
        <v>1</v>
      </c>
      <c r="K145" s="150">
        <v>2021</v>
      </c>
      <c r="L145" s="151" t="s">
        <v>722</v>
      </c>
      <c r="M145" s="151" t="s">
        <v>1151</v>
      </c>
      <c r="N145" s="172" t="s">
        <v>1152</v>
      </c>
      <c r="O145" s="282" t="s">
        <v>3422</v>
      </c>
      <c r="P145" s="154" t="s">
        <v>676</v>
      </c>
      <c r="Q145" s="154">
        <v>1967</v>
      </c>
      <c r="R145" s="155">
        <v>9</v>
      </c>
      <c r="S145" s="146"/>
      <c r="T145" s="168"/>
      <c r="U145" s="146"/>
      <c r="V145" s="146"/>
      <c r="W145" s="146"/>
      <c r="X145" s="156">
        <v>0</v>
      </c>
      <c r="Y145" s="156">
        <v>0</v>
      </c>
      <c r="Z145" s="157" t="s">
        <v>677</v>
      </c>
      <c r="AA145" s="158">
        <v>2021</v>
      </c>
      <c r="AB145" s="158">
        <v>8</v>
      </c>
      <c r="AC145" s="158">
        <v>19</v>
      </c>
      <c r="AD145" s="122" t="b">
        <f>IF(ISBLANK(GroupMember[[#This Row],[1. Identifiant interne d’exploitation agricole*]]),"",IF(ISERROR(MATCH(GroupMember[[#This Row],[1. Identifiant interne d’exploitation agricole*]],CertifiedCrop[1. Identifiant interne d’exploitation agricole*],0)),FALSE,TRUE))</f>
        <v>1</v>
      </c>
      <c r="AE145" s="122" t="b">
        <f>IF(ISBLANK(GroupMember[[#This Row],[1. Identifiant interne d’exploitation agricole*]]),"",IF(ISERROR(MATCH(GroupMember[[#This Row],[1. Identifiant interne d’exploitation agricole*]],FarmUnit[1. Identifiant interne d’exploitation agricole*],0)),FALSE,TRUE))</f>
        <v>1</v>
      </c>
      <c r="AF145" s="9" t="str">
        <f t="shared" si="6"/>
        <v>KAPIEU  ETIENNE</v>
      </c>
      <c r="AG145" s="243" t="str">
        <f t="shared" si="7"/>
        <v>19/8/2021</v>
      </c>
      <c r="AH145" s="51">
        <f>COUNTIFS(Z:Z,Z145,AG:AG,AG145)</f>
        <v>2</v>
      </c>
      <c r="AI145" s="49">
        <f t="shared" si="8"/>
        <v>0</v>
      </c>
    </row>
    <row r="146" spans="1:35" ht="15" x14ac:dyDescent="0.2">
      <c r="A146" s="145" t="s">
        <v>1153</v>
      </c>
      <c r="B146" s="146" t="s">
        <v>668</v>
      </c>
      <c r="C146" s="145" t="s">
        <v>1153</v>
      </c>
      <c r="D146" s="147" t="s">
        <v>669</v>
      </c>
      <c r="E146" s="146" t="s">
        <v>670</v>
      </c>
      <c r="F146" s="146" t="s">
        <v>671</v>
      </c>
      <c r="G146" s="146" t="s">
        <v>672</v>
      </c>
      <c r="H146" s="148">
        <v>4</v>
      </c>
      <c r="I146" s="146" t="s">
        <v>673</v>
      </c>
      <c r="J146" s="149">
        <v>1</v>
      </c>
      <c r="K146" s="150">
        <v>2021</v>
      </c>
      <c r="L146" s="151" t="s">
        <v>883</v>
      </c>
      <c r="M146" s="151" t="s">
        <v>1154</v>
      </c>
      <c r="N146" s="172"/>
      <c r="O146" s="153"/>
      <c r="P146" s="154" t="s">
        <v>676</v>
      </c>
      <c r="Q146" s="154"/>
      <c r="R146" s="155">
        <v>5</v>
      </c>
      <c r="S146" s="146"/>
      <c r="T146" s="168"/>
      <c r="U146" s="146"/>
      <c r="V146" s="146"/>
      <c r="W146" s="146"/>
      <c r="X146" s="156">
        <v>0</v>
      </c>
      <c r="Y146" s="156">
        <v>0</v>
      </c>
      <c r="Z146" s="157" t="s">
        <v>677</v>
      </c>
      <c r="AA146" s="158">
        <v>2021</v>
      </c>
      <c r="AB146" s="158">
        <v>8</v>
      </c>
      <c r="AC146" s="158">
        <v>21</v>
      </c>
      <c r="AD146" s="122" t="b">
        <f>IF(ISBLANK(GroupMember[[#This Row],[1. Identifiant interne d’exploitation agricole*]]),"",IF(ISERROR(MATCH(GroupMember[[#This Row],[1. Identifiant interne d’exploitation agricole*]],CertifiedCrop[1. Identifiant interne d’exploitation agricole*],0)),FALSE,TRUE))</f>
        <v>1</v>
      </c>
      <c r="AE146" s="122" t="b">
        <f>IF(ISBLANK(GroupMember[[#This Row],[1. Identifiant interne d’exploitation agricole*]]),"",IF(ISERROR(MATCH(GroupMember[[#This Row],[1. Identifiant interne d’exploitation agricole*]],FarmUnit[1. Identifiant interne d’exploitation agricole*],0)),FALSE,TRUE))</f>
        <v>1</v>
      </c>
      <c r="AF146" s="9" t="str">
        <f t="shared" si="6"/>
        <v>TIEU  MALLA CHRISTOPHE</v>
      </c>
      <c r="AG146" s="243" t="str">
        <f t="shared" si="7"/>
        <v>21/8/2021</v>
      </c>
      <c r="AH146" s="51">
        <f>COUNTIFS(Z:Z,Z146,AG:AG,AG146)</f>
        <v>5</v>
      </c>
      <c r="AI146" s="49">
        <f t="shared" si="8"/>
        <v>0</v>
      </c>
    </row>
    <row r="147" spans="1:35" ht="15" x14ac:dyDescent="0.2">
      <c r="A147" s="145" t="s">
        <v>1155</v>
      </c>
      <c r="B147" s="146" t="s">
        <v>668</v>
      </c>
      <c r="C147" s="145" t="s">
        <v>1155</v>
      </c>
      <c r="D147" s="147" t="s">
        <v>669</v>
      </c>
      <c r="E147" s="146" t="s">
        <v>670</v>
      </c>
      <c r="F147" s="146" t="s">
        <v>671</v>
      </c>
      <c r="G147" s="146" t="s">
        <v>672</v>
      </c>
      <c r="H147" s="148">
        <v>0.72</v>
      </c>
      <c r="I147" s="146" t="s">
        <v>673</v>
      </c>
      <c r="J147" s="149">
        <v>1</v>
      </c>
      <c r="K147" s="150">
        <v>2021</v>
      </c>
      <c r="L147" s="151" t="s">
        <v>948</v>
      </c>
      <c r="M147" s="151" t="s">
        <v>1156</v>
      </c>
      <c r="N147" s="172" t="s">
        <v>1157</v>
      </c>
      <c r="O147" s="153" t="s">
        <v>1158</v>
      </c>
      <c r="P147" s="154" t="s">
        <v>676</v>
      </c>
      <c r="Q147" s="154">
        <v>1983</v>
      </c>
      <c r="R147" s="155">
        <v>7</v>
      </c>
      <c r="S147" s="146"/>
      <c r="T147" s="168"/>
      <c r="U147" s="146"/>
      <c r="V147" s="146"/>
      <c r="W147" s="146"/>
      <c r="X147" s="156">
        <v>0</v>
      </c>
      <c r="Y147" s="156">
        <v>0</v>
      </c>
      <c r="Z147" s="157" t="s">
        <v>677</v>
      </c>
      <c r="AA147" s="158">
        <v>2021</v>
      </c>
      <c r="AB147" s="158">
        <v>8</v>
      </c>
      <c r="AC147" s="158">
        <v>19</v>
      </c>
      <c r="AD147" s="122" t="b">
        <f>IF(ISBLANK(GroupMember[[#This Row],[1. Identifiant interne d’exploitation agricole*]]),"",IF(ISERROR(MATCH(GroupMember[[#This Row],[1. Identifiant interne d’exploitation agricole*]],CertifiedCrop[1. Identifiant interne d’exploitation agricole*],0)),FALSE,TRUE))</f>
        <v>1</v>
      </c>
      <c r="AE147" s="122" t="b">
        <f>IF(ISBLANK(GroupMember[[#This Row],[1. Identifiant interne d’exploitation agricole*]]),"",IF(ISERROR(MATCH(GroupMember[[#This Row],[1. Identifiant interne d’exploitation agricole*]],FarmUnit[1. Identifiant interne d’exploitation agricole*],0)),FALSE,TRUE))</f>
        <v>1</v>
      </c>
      <c r="AF147" s="9" t="str">
        <f t="shared" si="6"/>
        <v>SAWADOGO  BOUKARI</v>
      </c>
      <c r="AG147" s="243" t="str">
        <f t="shared" si="7"/>
        <v>19/8/2021</v>
      </c>
      <c r="AH147" s="51">
        <f>COUNTIFS(Z:Z,Z147,AG:AG,AG147)</f>
        <v>2</v>
      </c>
      <c r="AI147" s="49">
        <f t="shared" si="8"/>
        <v>0</v>
      </c>
    </row>
    <row r="148" spans="1:35" ht="15" x14ac:dyDescent="0.2">
      <c r="A148" s="145" t="s">
        <v>1159</v>
      </c>
      <c r="B148" s="146" t="s">
        <v>668</v>
      </c>
      <c r="C148" s="145" t="s">
        <v>1159</v>
      </c>
      <c r="D148" s="147" t="s">
        <v>669</v>
      </c>
      <c r="E148" s="146" t="s">
        <v>670</v>
      </c>
      <c r="F148" s="146" t="s">
        <v>671</v>
      </c>
      <c r="G148" s="146" t="s">
        <v>672</v>
      </c>
      <c r="H148" s="148">
        <v>4.42</v>
      </c>
      <c r="I148" s="146" t="s">
        <v>673</v>
      </c>
      <c r="J148" s="149">
        <v>1</v>
      </c>
      <c r="K148" s="150">
        <v>2021</v>
      </c>
      <c r="L148" s="151" t="s">
        <v>1160</v>
      </c>
      <c r="M148" s="151" t="s">
        <v>1161</v>
      </c>
      <c r="N148" s="172" t="s">
        <v>1162</v>
      </c>
      <c r="O148" s="153" t="s">
        <v>1163</v>
      </c>
      <c r="P148" s="154" t="s">
        <v>676</v>
      </c>
      <c r="Q148" s="154">
        <v>1975</v>
      </c>
      <c r="R148" s="155">
        <v>5</v>
      </c>
      <c r="S148" s="146"/>
      <c r="T148" s="168"/>
      <c r="U148" s="146"/>
      <c r="V148" s="146"/>
      <c r="W148" s="146"/>
      <c r="X148" s="156">
        <v>0</v>
      </c>
      <c r="Y148" s="156">
        <v>0</v>
      </c>
      <c r="Z148" s="157" t="s">
        <v>677</v>
      </c>
      <c r="AA148" s="158">
        <v>2021</v>
      </c>
      <c r="AB148" s="158">
        <v>8</v>
      </c>
      <c r="AC148" s="158">
        <v>13</v>
      </c>
      <c r="AD148" s="122" t="b">
        <f>IF(ISBLANK(GroupMember[[#This Row],[1. Identifiant interne d’exploitation agricole*]]),"",IF(ISERROR(MATCH(GroupMember[[#This Row],[1. Identifiant interne d’exploitation agricole*]],CertifiedCrop[1. Identifiant interne d’exploitation agricole*],0)),FALSE,TRUE))</f>
        <v>1</v>
      </c>
      <c r="AE148" s="122" t="b">
        <f>IF(ISBLANK(GroupMember[[#This Row],[1. Identifiant interne d’exploitation agricole*]]),"",IF(ISERROR(MATCH(GroupMember[[#This Row],[1. Identifiant interne d’exploitation agricole*]],FarmUnit[1. Identifiant interne d’exploitation agricole*],0)),FALSE,TRUE))</f>
        <v>1</v>
      </c>
      <c r="AF148" s="9" t="str">
        <f t="shared" si="6"/>
        <v>MAPIEU  GONTO SYLVAIN</v>
      </c>
      <c r="AG148" s="243" t="str">
        <f t="shared" si="7"/>
        <v>13/8/2021</v>
      </c>
      <c r="AH148" s="51">
        <f>COUNTIFS(Z:Z,Z148,AG:AG,AG148)</f>
        <v>4</v>
      </c>
      <c r="AI148" s="49">
        <f t="shared" si="8"/>
        <v>0</v>
      </c>
    </row>
    <row r="149" spans="1:35" ht="15" x14ac:dyDescent="0.2">
      <c r="A149" s="145" t="s">
        <v>1164</v>
      </c>
      <c r="B149" s="146" t="s">
        <v>668</v>
      </c>
      <c r="C149" s="145" t="s">
        <v>1164</v>
      </c>
      <c r="D149" s="147" t="s">
        <v>669</v>
      </c>
      <c r="E149" s="146" t="s">
        <v>670</v>
      </c>
      <c r="F149" s="146" t="s">
        <v>671</v>
      </c>
      <c r="G149" s="146" t="s">
        <v>672</v>
      </c>
      <c r="H149" s="148">
        <v>4.53</v>
      </c>
      <c r="I149" s="146" t="s">
        <v>673</v>
      </c>
      <c r="J149" s="149">
        <v>1</v>
      </c>
      <c r="K149" s="150">
        <v>2021</v>
      </c>
      <c r="L149" s="151" t="s">
        <v>1165</v>
      </c>
      <c r="M149" s="151" t="s">
        <v>1166</v>
      </c>
      <c r="N149" s="172" t="s">
        <v>1167</v>
      </c>
      <c r="O149" s="153" t="s">
        <v>1168</v>
      </c>
      <c r="P149" s="154" t="s">
        <v>676</v>
      </c>
      <c r="Q149" s="154">
        <v>1969</v>
      </c>
      <c r="R149" s="155">
        <v>4</v>
      </c>
      <c r="S149" s="146"/>
      <c r="T149" s="168"/>
      <c r="U149" s="146"/>
      <c r="V149" s="146"/>
      <c r="W149" s="146"/>
      <c r="X149" s="156">
        <v>0</v>
      </c>
      <c r="Y149" s="156">
        <v>0</v>
      </c>
      <c r="Z149" s="157" t="s">
        <v>677</v>
      </c>
      <c r="AA149" s="158">
        <v>2021</v>
      </c>
      <c r="AB149" s="158">
        <v>8</v>
      </c>
      <c r="AC149" s="158">
        <v>9</v>
      </c>
      <c r="AD149" s="122" t="b">
        <f>IF(ISBLANK(GroupMember[[#This Row],[1. Identifiant interne d’exploitation agricole*]]),"",IF(ISERROR(MATCH(GroupMember[[#This Row],[1. Identifiant interne d’exploitation agricole*]],CertifiedCrop[1. Identifiant interne d’exploitation agricole*],0)),FALSE,TRUE))</f>
        <v>1</v>
      </c>
      <c r="AE149" s="122" t="b">
        <f>IF(ISBLANK(GroupMember[[#This Row],[1. Identifiant interne d’exploitation agricole*]]),"",IF(ISERROR(MATCH(GroupMember[[#This Row],[1. Identifiant interne d’exploitation agricole*]],FarmUnit[1. Identifiant interne d’exploitation agricole*],0)),FALSE,TRUE))</f>
        <v>1</v>
      </c>
      <c r="AF149" s="9" t="str">
        <f t="shared" si="6"/>
        <v>DOUEUGUI  OUEDIE THEODORE</v>
      </c>
      <c r="AG149" s="243" t="str">
        <f t="shared" si="7"/>
        <v>9/8/2021</v>
      </c>
      <c r="AH149" s="51">
        <f>COUNTIFS(Z:Z,Z149,AG:AG,AG149)</f>
        <v>5</v>
      </c>
      <c r="AI149" s="49">
        <f t="shared" si="8"/>
        <v>0</v>
      </c>
    </row>
    <row r="150" spans="1:35" ht="15" x14ac:dyDescent="0.2">
      <c r="A150" s="145" t="s">
        <v>1169</v>
      </c>
      <c r="B150" s="146" t="s">
        <v>668</v>
      </c>
      <c r="C150" s="145" t="s">
        <v>1169</v>
      </c>
      <c r="D150" s="147" t="s">
        <v>669</v>
      </c>
      <c r="E150" s="146" t="s">
        <v>670</v>
      </c>
      <c r="F150" s="146" t="s">
        <v>671</v>
      </c>
      <c r="G150" s="146" t="s">
        <v>672</v>
      </c>
      <c r="H150" s="148">
        <v>1.07</v>
      </c>
      <c r="I150" s="146" t="s">
        <v>673</v>
      </c>
      <c r="J150" s="149">
        <v>1</v>
      </c>
      <c r="K150" s="150">
        <v>2021</v>
      </c>
      <c r="L150" s="151" t="s">
        <v>1170</v>
      </c>
      <c r="M150" s="151" t="s">
        <v>1171</v>
      </c>
      <c r="N150" s="172" t="s">
        <v>1172</v>
      </c>
      <c r="O150" s="217" t="s">
        <v>3423</v>
      </c>
      <c r="P150" s="154" t="s">
        <v>676</v>
      </c>
      <c r="Q150" s="154">
        <v>1954</v>
      </c>
      <c r="R150" s="155">
        <v>6</v>
      </c>
      <c r="S150" s="146"/>
      <c r="T150" s="168"/>
      <c r="U150" s="146"/>
      <c r="V150" s="146"/>
      <c r="W150" s="146"/>
      <c r="X150" s="156">
        <v>0</v>
      </c>
      <c r="Y150" s="156">
        <v>0</v>
      </c>
      <c r="Z150" s="157" t="s">
        <v>677</v>
      </c>
      <c r="AA150" s="158">
        <v>2021</v>
      </c>
      <c r="AB150" s="158">
        <v>8</v>
      </c>
      <c r="AC150" s="158">
        <v>21</v>
      </c>
      <c r="AD150" s="122" t="b">
        <f>IF(ISBLANK(GroupMember[[#This Row],[1. Identifiant interne d’exploitation agricole*]]),"",IF(ISERROR(MATCH(GroupMember[[#This Row],[1. Identifiant interne d’exploitation agricole*]],CertifiedCrop[1. Identifiant interne d’exploitation agricole*],0)),FALSE,TRUE))</f>
        <v>1</v>
      </c>
      <c r="AE150" s="122" t="b">
        <f>IF(ISBLANK(GroupMember[[#This Row],[1. Identifiant interne d’exploitation agricole*]]),"",IF(ISERROR(MATCH(GroupMember[[#This Row],[1. Identifiant interne d’exploitation agricole*]],FarmUnit[1. Identifiant interne d’exploitation agricole*],0)),FALSE,TRUE))</f>
        <v>1</v>
      </c>
      <c r="AF150" s="9" t="str">
        <f t="shared" si="6"/>
        <v>GOGOMON  D. VILASCO</v>
      </c>
      <c r="AG150" s="243" t="str">
        <f t="shared" si="7"/>
        <v>21/8/2021</v>
      </c>
      <c r="AH150" s="51">
        <f>COUNTIFS(Z:Z,Z150,AG:AG,AG150)</f>
        <v>5</v>
      </c>
      <c r="AI150" s="49">
        <f t="shared" si="8"/>
        <v>0</v>
      </c>
    </row>
    <row r="151" spans="1:35" ht="15" x14ac:dyDescent="0.2">
      <c r="A151" s="145" t="s">
        <v>1173</v>
      </c>
      <c r="B151" s="146" t="s">
        <v>668</v>
      </c>
      <c r="C151" s="145" t="s">
        <v>1173</v>
      </c>
      <c r="D151" s="147" t="s">
        <v>669</v>
      </c>
      <c r="E151" s="146" t="s">
        <v>670</v>
      </c>
      <c r="F151" s="146" t="s">
        <v>671</v>
      </c>
      <c r="G151" s="146" t="s">
        <v>672</v>
      </c>
      <c r="H151" s="148">
        <v>2</v>
      </c>
      <c r="I151" s="146" t="s">
        <v>673</v>
      </c>
      <c r="J151" s="149">
        <v>1</v>
      </c>
      <c r="K151" s="150">
        <v>2021</v>
      </c>
      <c r="L151" s="151" t="s">
        <v>1147</v>
      </c>
      <c r="M151" s="151" t="s">
        <v>1174</v>
      </c>
      <c r="N151" s="172"/>
      <c r="O151" s="282" t="s">
        <v>3424</v>
      </c>
      <c r="P151" s="154" t="s">
        <v>676</v>
      </c>
      <c r="Q151" s="154">
        <v>1976</v>
      </c>
      <c r="R151" s="155">
        <v>5</v>
      </c>
      <c r="S151" s="146"/>
      <c r="T151" s="168"/>
      <c r="U151" s="146"/>
      <c r="V151" s="146"/>
      <c r="W151" s="146"/>
      <c r="X151" s="156">
        <v>0</v>
      </c>
      <c r="Y151" s="156">
        <v>0</v>
      </c>
      <c r="Z151" s="157" t="s">
        <v>677</v>
      </c>
      <c r="AA151" s="158">
        <v>2021</v>
      </c>
      <c r="AB151" s="158">
        <v>8</v>
      </c>
      <c r="AC151" s="158">
        <v>20</v>
      </c>
      <c r="AD151" s="122" t="b">
        <f>IF(ISBLANK(GroupMember[[#This Row],[1. Identifiant interne d’exploitation agricole*]]),"",IF(ISERROR(MATCH(GroupMember[[#This Row],[1. Identifiant interne d’exploitation agricole*]],CertifiedCrop[1. Identifiant interne d’exploitation agricole*],0)),FALSE,TRUE))</f>
        <v>1</v>
      </c>
      <c r="AE151" s="122" t="b">
        <f>IF(ISBLANK(GroupMember[[#This Row],[1. Identifiant interne d’exploitation agricole*]]),"",IF(ISERROR(MATCH(GroupMember[[#This Row],[1. Identifiant interne d’exploitation agricole*]],FarmUnit[1. Identifiant interne d’exploitation agricole*],0)),FALSE,TRUE))</f>
        <v>1</v>
      </c>
      <c r="AF151" s="9" t="str">
        <f t="shared" si="6"/>
        <v>SEDE  SEHI ANDRE</v>
      </c>
      <c r="AG151" s="243" t="str">
        <f t="shared" si="7"/>
        <v>20/8/2021</v>
      </c>
      <c r="AH151" s="51">
        <f>COUNTIFS(Z:Z,Z151,AG:AG,AG151)</f>
        <v>3</v>
      </c>
      <c r="AI151" s="49">
        <f t="shared" si="8"/>
        <v>0</v>
      </c>
    </row>
    <row r="152" spans="1:35" ht="15" x14ac:dyDescent="0.2">
      <c r="A152" s="145" t="s">
        <v>1175</v>
      </c>
      <c r="B152" s="146" t="s">
        <v>668</v>
      </c>
      <c r="C152" s="145" t="s">
        <v>1175</v>
      </c>
      <c r="D152" s="147" t="s">
        <v>669</v>
      </c>
      <c r="E152" s="146" t="s">
        <v>670</v>
      </c>
      <c r="F152" s="146" t="s">
        <v>671</v>
      </c>
      <c r="G152" s="146" t="s">
        <v>672</v>
      </c>
      <c r="H152" s="148">
        <v>2</v>
      </c>
      <c r="I152" s="146" t="s">
        <v>673</v>
      </c>
      <c r="J152" s="149">
        <v>1</v>
      </c>
      <c r="K152" s="150">
        <v>2021</v>
      </c>
      <c r="L152" s="151" t="s">
        <v>1176</v>
      </c>
      <c r="M152" s="151" t="s">
        <v>1177</v>
      </c>
      <c r="N152" s="172"/>
      <c r="O152" s="217"/>
      <c r="P152" s="154" t="s">
        <v>676</v>
      </c>
      <c r="Q152" s="154"/>
      <c r="R152" s="155">
        <v>4</v>
      </c>
      <c r="S152" s="146"/>
      <c r="T152" s="168"/>
      <c r="U152" s="146"/>
      <c r="V152" s="146"/>
      <c r="W152" s="146"/>
      <c r="X152" s="156">
        <v>0</v>
      </c>
      <c r="Y152" s="156">
        <v>0</v>
      </c>
      <c r="Z152" s="157" t="s">
        <v>677</v>
      </c>
      <c r="AA152" s="158">
        <v>2021</v>
      </c>
      <c r="AB152" s="158">
        <v>8</v>
      </c>
      <c r="AC152" s="158">
        <v>22</v>
      </c>
      <c r="AD152" s="122" t="b">
        <f>IF(ISBLANK(GroupMember[[#This Row],[1. Identifiant interne d’exploitation agricole*]]),"",IF(ISERROR(MATCH(GroupMember[[#This Row],[1. Identifiant interne d’exploitation agricole*]],CertifiedCrop[1. Identifiant interne d’exploitation agricole*],0)),FALSE,TRUE))</f>
        <v>1</v>
      </c>
      <c r="AE152" s="122" t="b">
        <f>IF(ISBLANK(GroupMember[[#This Row],[1. Identifiant interne d’exploitation agricole*]]),"",IF(ISERROR(MATCH(GroupMember[[#This Row],[1. Identifiant interne d’exploitation agricole*]],FarmUnit[1. Identifiant interne d’exploitation agricole*],0)),FALSE,TRUE))</f>
        <v>1</v>
      </c>
      <c r="AF152" s="9" t="str">
        <f t="shared" si="6"/>
        <v>ZINGBE  MEISMEN</v>
      </c>
      <c r="AG152" s="243" t="str">
        <f t="shared" si="7"/>
        <v>22/8/2021</v>
      </c>
      <c r="AH152" s="51">
        <f>COUNTIFS(Z:Z,Z152,AG:AG,AG152)</f>
        <v>1</v>
      </c>
      <c r="AI152" s="49">
        <f t="shared" si="8"/>
        <v>0</v>
      </c>
    </row>
    <row r="153" spans="1:35" ht="15" x14ac:dyDescent="0.2">
      <c r="A153" s="145" t="s">
        <v>1178</v>
      </c>
      <c r="B153" s="146" t="s">
        <v>668</v>
      </c>
      <c r="C153" s="145" t="s">
        <v>1178</v>
      </c>
      <c r="D153" s="147" t="s">
        <v>669</v>
      </c>
      <c r="E153" s="146" t="s">
        <v>670</v>
      </c>
      <c r="F153" s="146" t="s">
        <v>671</v>
      </c>
      <c r="G153" s="146" t="s">
        <v>672</v>
      </c>
      <c r="H153" s="148">
        <v>5</v>
      </c>
      <c r="I153" s="146" t="s">
        <v>673</v>
      </c>
      <c r="J153" s="149">
        <v>1</v>
      </c>
      <c r="K153" s="150">
        <v>2021</v>
      </c>
      <c r="L153" s="151" t="s">
        <v>1179</v>
      </c>
      <c r="M153" s="151" t="s">
        <v>1180</v>
      </c>
      <c r="N153" s="172"/>
      <c r="O153" s="153"/>
      <c r="P153" s="154" t="s">
        <v>676</v>
      </c>
      <c r="Q153" s="154"/>
      <c r="R153" s="155">
        <v>5</v>
      </c>
      <c r="S153" s="146"/>
      <c r="T153" s="168"/>
      <c r="U153" s="146"/>
      <c r="V153" s="146"/>
      <c r="W153" s="146"/>
      <c r="X153" s="156">
        <v>0</v>
      </c>
      <c r="Y153" s="156">
        <v>0</v>
      </c>
      <c r="Z153" s="157" t="s">
        <v>677</v>
      </c>
      <c r="AA153" s="158">
        <v>2021</v>
      </c>
      <c r="AB153" s="158">
        <v>8</v>
      </c>
      <c r="AC153" s="158">
        <v>21</v>
      </c>
      <c r="AD153" s="122" t="b">
        <f>IF(ISBLANK(GroupMember[[#This Row],[1. Identifiant interne d’exploitation agricole*]]),"",IF(ISERROR(MATCH(GroupMember[[#This Row],[1. Identifiant interne d’exploitation agricole*]],CertifiedCrop[1. Identifiant interne d’exploitation agricole*],0)),FALSE,TRUE))</f>
        <v>1</v>
      </c>
      <c r="AE153" s="122" t="b">
        <f>IF(ISBLANK(GroupMember[[#This Row],[1. Identifiant interne d’exploitation agricole*]]),"",IF(ISERROR(MATCH(GroupMember[[#This Row],[1. Identifiant interne d’exploitation agricole*]],FarmUnit[1. Identifiant interne d’exploitation agricole*],0)),FALSE,TRUE))</f>
        <v>1</v>
      </c>
      <c r="AF153" s="9" t="str">
        <f t="shared" si="6"/>
        <v>SIAKA  D. MODESTE</v>
      </c>
      <c r="AG153" s="243" t="str">
        <f t="shared" si="7"/>
        <v>21/8/2021</v>
      </c>
      <c r="AH153" s="51">
        <f>COUNTIFS(Z:Z,Z153,AG:AG,AG153)</f>
        <v>5</v>
      </c>
      <c r="AI153" s="49">
        <f t="shared" si="8"/>
        <v>0</v>
      </c>
    </row>
    <row r="154" spans="1:35" ht="15" x14ac:dyDescent="0.2">
      <c r="A154" s="145" t="s">
        <v>1181</v>
      </c>
      <c r="B154" s="146" t="s">
        <v>668</v>
      </c>
      <c r="C154" s="145" t="s">
        <v>1181</v>
      </c>
      <c r="D154" s="147" t="s">
        <v>669</v>
      </c>
      <c r="E154" s="146" t="s">
        <v>670</v>
      </c>
      <c r="F154" s="146" t="s">
        <v>671</v>
      </c>
      <c r="G154" s="146" t="s">
        <v>672</v>
      </c>
      <c r="H154" s="148">
        <v>1.79</v>
      </c>
      <c r="I154" s="146" t="s">
        <v>673</v>
      </c>
      <c r="J154" s="149">
        <v>1</v>
      </c>
      <c r="K154" s="150">
        <v>2021</v>
      </c>
      <c r="L154" s="151" t="s">
        <v>1010</v>
      </c>
      <c r="M154" s="151" t="s">
        <v>1182</v>
      </c>
      <c r="N154" s="172" t="s">
        <v>1183</v>
      </c>
      <c r="O154" s="153" t="s">
        <v>1184</v>
      </c>
      <c r="P154" s="154" t="s">
        <v>676</v>
      </c>
      <c r="Q154" s="154">
        <v>1970</v>
      </c>
      <c r="R154" s="155">
        <v>5</v>
      </c>
      <c r="S154" s="146"/>
      <c r="T154" s="168"/>
      <c r="U154" s="146"/>
      <c r="V154" s="146"/>
      <c r="W154" s="146"/>
      <c r="X154" s="156">
        <v>0</v>
      </c>
      <c r="Y154" s="156">
        <v>0</v>
      </c>
      <c r="Z154" s="157" t="s">
        <v>677</v>
      </c>
      <c r="AA154" s="158">
        <v>2021</v>
      </c>
      <c r="AB154" s="158">
        <v>8</v>
      </c>
      <c r="AC154" s="158">
        <v>20</v>
      </c>
      <c r="AD154" s="122" t="b">
        <f>IF(ISBLANK(GroupMember[[#This Row],[1. Identifiant interne d’exploitation agricole*]]),"",IF(ISERROR(MATCH(GroupMember[[#This Row],[1. Identifiant interne d’exploitation agricole*]],CertifiedCrop[1. Identifiant interne d’exploitation agricole*],0)),FALSE,TRUE))</f>
        <v>1</v>
      </c>
      <c r="AE154" s="122" t="b">
        <f>IF(ISBLANK(GroupMember[[#This Row],[1. Identifiant interne d’exploitation agricole*]]),"",IF(ISERROR(MATCH(GroupMember[[#This Row],[1. Identifiant interne d’exploitation agricole*]],FarmUnit[1. Identifiant interne d’exploitation agricole*],0)),FALSE,TRUE))</f>
        <v>1</v>
      </c>
      <c r="AF154" s="9" t="str">
        <f t="shared" si="6"/>
        <v>BAMBA  ZRAN DEGOLE</v>
      </c>
      <c r="AG154" s="243" t="str">
        <f t="shared" si="7"/>
        <v>20/8/2021</v>
      </c>
      <c r="AH154" s="51">
        <f>COUNTIFS(Z:Z,Z154,AG:AG,AG154)</f>
        <v>3</v>
      </c>
      <c r="AI154" s="49">
        <f t="shared" si="8"/>
        <v>0</v>
      </c>
    </row>
    <row r="155" spans="1:35" ht="15" x14ac:dyDescent="0.2">
      <c r="A155" s="145" t="s">
        <v>1185</v>
      </c>
      <c r="B155" s="146" t="s">
        <v>668</v>
      </c>
      <c r="C155" s="145" t="s">
        <v>1185</v>
      </c>
      <c r="D155" s="147" t="s">
        <v>669</v>
      </c>
      <c r="E155" s="146" t="s">
        <v>670</v>
      </c>
      <c r="F155" s="146" t="s">
        <v>671</v>
      </c>
      <c r="G155" s="146" t="s">
        <v>672</v>
      </c>
      <c r="H155" s="148">
        <v>1.91</v>
      </c>
      <c r="I155" s="146" t="s">
        <v>673</v>
      </c>
      <c r="J155" s="149">
        <v>1</v>
      </c>
      <c r="K155" s="150">
        <v>2021</v>
      </c>
      <c r="L155" s="151" t="s">
        <v>1186</v>
      </c>
      <c r="M155" s="151" t="s">
        <v>1187</v>
      </c>
      <c r="N155" s="172" t="s">
        <v>1188</v>
      </c>
      <c r="O155" s="153"/>
      <c r="P155" s="154" t="s">
        <v>676</v>
      </c>
      <c r="Q155" s="154"/>
      <c r="R155" s="155">
        <v>4</v>
      </c>
      <c r="S155" s="146"/>
      <c r="T155" s="168"/>
      <c r="U155" s="146"/>
      <c r="V155" s="146"/>
      <c r="W155" s="146"/>
      <c r="X155" s="156">
        <v>0</v>
      </c>
      <c r="Y155" s="156">
        <v>0</v>
      </c>
      <c r="Z155" s="157" t="s">
        <v>677</v>
      </c>
      <c r="AA155" s="158">
        <v>2021</v>
      </c>
      <c r="AB155" s="158">
        <v>8</v>
      </c>
      <c r="AC155" s="158">
        <v>21</v>
      </c>
      <c r="AD155" s="122" t="b">
        <f>IF(ISBLANK(GroupMember[[#This Row],[1. Identifiant interne d’exploitation agricole*]]),"",IF(ISERROR(MATCH(GroupMember[[#This Row],[1. Identifiant interne d’exploitation agricole*]],CertifiedCrop[1. Identifiant interne d’exploitation agricole*],0)),FALSE,TRUE))</f>
        <v>1</v>
      </c>
      <c r="AE155" s="122" t="b">
        <f>IF(ISBLANK(GroupMember[[#This Row],[1. Identifiant interne d’exploitation agricole*]]),"",IF(ISERROR(MATCH(GroupMember[[#This Row],[1. Identifiant interne d’exploitation agricole*]],FarmUnit[1. Identifiant interne d’exploitation agricole*],0)),FALSE,TRUE))</f>
        <v>1</v>
      </c>
      <c r="AF155" s="9" t="str">
        <f t="shared" si="6"/>
        <v>DAN  SYLVAIN</v>
      </c>
      <c r="AG155" s="243" t="str">
        <f t="shared" si="7"/>
        <v>21/8/2021</v>
      </c>
      <c r="AH155" s="51">
        <f>COUNTIFS(Z:Z,Z155,AG:AG,AG155)</f>
        <v>5</v>
      </c>
      <c r="AI155" s="49">
        <f t="shared" si="8"/>
        <v>0</v>
      </c>
    </row>
    <row r="156" spans="1:35" ht="15" x14ac:dyDescent="0.2">
      <c r="A156" s="145" t="s">
        <v>1189</v>
      </c>
      <c r="B156" s="146" t="s">
        <v>668</v>
      </c>
      <c r="C156" s="145" t="s">
        <v>1189</v>
      </c>
      <c r="D156" s="147" t="s">
        <v>669</v>
      </c>
      <c r="E156" s="146" t="s">
        <v>670</v>
      </c>
      <c r="F156" s="146" t="s">
        <v>671</v>
      </c>
      <c r="G156" s="146" t="s">
        <v>672</v>
      </c>
      <c r="H156" s="148">
        <v>1.31</v>
      </c>
      <c r="I156" s="146" t="s">
        <v>673</v>
      </c>
      <c r="J156" s="149">
        <v>1</v>
      </c>
      <c r="K156" s="150">
        <v>2021</v>
      </c>
      <c r="L156" s="151" t="s">
        <v>803</v>
      </c>
      <c r="M156" s="151" t="s">
        <v>1190</v>
      </c>
      <c r="N156" s="172" t="s">
        <v>1191</v>
      </c>
      <c r="O156" s="153"/>
      <c r="P156" s="154" t="s">
        <v>676</v>
      </c>
      <c r="Q156" s="154"/>
      <c r="R156" s="155">
        <v>5</v>
      </c>
      <c r="S156" s="146"/>
      <c r="T156" s="168"/>
      <c r="U156" s="146"/>
      <c r="V156" s="146"/>
      <c r="W156" s="146"/>
      <c r="X156" s="156">
        <v>0</v>
      </c>
      <c r="Y156" s="156">
        <v>0</v>
      </c>
      <c r="Z156" s="157" t="s">
        <v>677</v>
      </c>
      <c r="AA156" s="158">
        <v>2021</v>
      </c>
      <c r="AB156" s="158">
        <v>8</v>
      </c>
      <c r="AC156" s="158">
        <v>21</v>
      </c>
      <c r="AD156" s="122" t="b">
        <f>IF(ISBLANK(GroupMember[[#This Row],[1. Identifiant interne d’exploitation agricole*]]),"",IF(ISERROR(MATCH(GroupMember[[#This Row],[1. Identifiant interne d’exploitation agricole*]],CertifiedCrop[1. Identifiant interne d’exploitation agricole*],0)),FALSE,TRUE))</f>
        <v>1</v>
      </c>
      <c r="AE156" s="122" t="b">
        <f>IF(ISBLANK(GroupMember[[#This Row],[1. Identifiant interne d’exploitation agricole*]]),"",IF(ISERROR(MATCH(GroupMember[[#This Row],[1. Identifiant interne d’exploitation agricole*]],FarmUnit[1. Identifiant interne d’exploitation agricole*],0)),FALSE,TRUE))</f>
        <v>1</v>
      </c>
      <c r="AF156" s="9" t="str">
        <f t="shared" si="6"/>
        <v>GUEU  DEA BASILE</v>
      </c>
      <c r="AG156" s="243" t="str">
        <f t="shared" si="7"/>
        <v>21/8/2021</v>
      </c>
      <c r="AH156" s="51">
        <f>COUNTIFS(Z:Z,Z156,AG:AG,AG156)</f>
        <v>5</v>
      </c>
      <c r="AI156" s="49">
        <f t="shared" si="8"/>
        <v>0</v>
      </c>
    </row>
    <row r="157" spans="1:35" ht="15" x14ac:dyDescent="0.2">
      <c r="A157" s="145" t="s">
        <v>1192</v>
      </c>
      <c r="B157" s="146" t="s">
        <v>668</v>
      </c>
      <c r="C157" s="145" t="s">
        <v>1192</v>
      </c>
      <c r="D157" s="147" t="s">
        <v>669</v>
      </c>
      <c r="E157" s="146" t="s">
        <v>670</v>
      </c>
      <c r="F157" s="146" t="s">
        <v>671</v>
      </c>
      <c r="G157" s="146" t="s">
        <v>672</v>
      </c>
      <c r="H157" s="148">
        <v>2.36</v>
      </c>
      <c r="I157" s="146" t="s">
        <v>673</v>
      </c>
      <c r="J157" s="149">
        <v>1</v>
      </c>
      <c r="K157" s="150">
        <v>2021</v>
      </c>
      <c r="L157" s="151" t="s">
        <v>1193</v>
      </c>
      <c r="M157" s="151" t="s">
        <v>1194</v>
      </c>
      <c r="N157" s="172"/>
      <c r="O157" s="153"/>
      <c r="P157" s="154" t="s">
        <v>676</v>
      </c>
      <c r="Q157" s="154"/>
      <c r="R157" s="155">
        <v>8</v>
      </c>
      <c r="S157" s="146"/>
      <c r="T157" s="168"/>
      <c r="U157" s="146"/>
      <c r="V157" s="146"/>
      <c r="W157" s="146"/>
      <c r="X157" s="156">
        <v>0</v>
      </c>
      <c r="Y157" s="156">
        <v>0</v>
      </c>
      <c r="Z157" s="157" t="s">
        <v>677</v>
      </c>
      <c r="AA157" s="158">
        <v>2021</v>
      </c>
      <c r="AB157" s="158">
        <v>8</v>
      </c>
      <c r="AC157" s="158">
        <v>20</v>
      </c>
      <c r="AD157" s="122" t="b">
        <f>IF(ISBLANK(GroupMember[[#This Row],[1. Identifiant interne d’exploitation agricole*]]),"",IF(ISERROR(MATCH(GroupMember[[#This Row],[1. Identifiant interne d’exploitation agricole*]],CertifiedCrop[1. Identifiant interne d’exploitation agricole*],0)),FALSE,TRUE))</f>
        <v>1</v>
      </c>
      <c r="AE157" s="122" t="b">
        <f>IF(ISBLANK(GroupMember[[#This Row],[1. Identifiant interne d’exploitation agricole*]]),"",IF(ISERROR(MATCH(GroupMember[[#This Row],[1. Identifiant interne d’exploitation agricole*]],FarmUnit[1. Identifiant interne d’exploitation agricole*],0)),FALSE,TRUE))</f>
        <v>1</v>
      </c>
      <c r="AF157" s="9" t="str">
        <f t="shared" si="6"/>
        <v>DIOMANDE  MAMADOU 1</v>
      </c>
      <c r="AG157" s="243" t="str">
        <f t="shared" si="7"/>
        <v>20/8/2021</v>
      </c>
      <c r="AH157" s="51">
        <f>COUNTIFS(Z:Z,Z157,AG:AG,AG157)</f>
        <v>3</v>
      </c>
      <c r="AI157" s="49">
        <f t="shared" si="8"/>
        <v>0</v>
      </c>
    </row>
    <row r="158" spans="1:35" ht="15" x14ac:dyDescent="0.2">
      <c r="A158" s="145" t="s">
        <v>1195</v>
      </c>
      <c r="B158" s="146" t="s">
        <v>668</v>
      </c>
      <c r="C158" s="145" t="s">
        <v>1195</v>
      </c>
      <c r="D158" s="147" t="s">
        <v>669</v>
      </c>
      <c r="E158" s="146" t="s">
        <v>670</v>
      </c>
      <c r="F158" s="146" t="s">
        <v>671</v>
      </c>
      <c r="G158" s="146" t="s">
        <v>672</v>
      </c>
      <c r="H158" s="148">
        <v>1.25</v>
      </c>
      <c r="I158" s="146" t="s">
        <v>673</v>
      </c>
      <c r="J158" s="149">
        <v>1</v>
      </c>
      <c r="K158" s="150">
        <v>2021</v>
      </c>
      <c r="L158" s="151" t="s">
        <v>1196</v>
      </c>
      <c r="M158" s="151" t="s">
        <v>1197</v>
      </c>
      <c r="N158" s="172"/>
      <c r="O158" s="153"/>
      <c r="P158" s="154" t="s">
        <v>676</v>
      </c>
      <c r="Q158" s="154"/>
      <c r="R158" s="155">
        <v>7</v>
      </c>
      <c r="S158" s="146"/>
      <c r="T158" s="168"/>
      <c r="U158" s="146"/>
      <c r="V158" s="146"/>
      <c r="W158" s="146"/>
      <c r="X158" s="156">
        <v>0</v>
      </c>
      <c r="Y158" s="156">
        <v>0</v>
      </c>
      <c r="Z158" s="157" t="s">
        <v>677</v>
      </c>
      <c r="AA158" s="158">
        <v>2021</v>
      </c>
      <c r="AB158" s="158">
        <v>7</v>
      </c>
      <c r="AC158" s="158">
        <v>16</v>
      </c>
      <c r="AD158" s="122" t="b">
        <f>IF(ISBLANK(GroupMember[[#This Row],[1. Identifiant interne d’exploitation agricole*]]),"",IF(ISERROR(MATCH(GroupMember[[#This Row],[1. Identifiant interne d’exploitation agricole*]],CertifiedCrop[1. Identifiant interne d’exploitation agricole*],0)),FALSE,TRUE))</f>
        <v>1</v>
      </c>
      <c r="AE158" s="122" t="b">
        <f>IF(ISBLANK(GroupMember[[#This Row],[1. Identifiant interne d’exploitation agricole*]]),"",IF(ISERROR(MATCH(GroupMember[[#This Row],[1. Identifiant interne d’exploitation agricole*]],FarmUnit[1. Identifiant interne d’exploitation agricole*],0)),FALSE,TRUE))</f>
        <v>1</v>
      </c>
      <c r="AF158" s="9" t="str">
        <f t="shared" si="6"/>
        <v>GOUANDA  GUI ISAMOUR</v>
      </c>
      <c r="AG158" s="243" t="str">
        <f t="shared" si="7"/>
        <v>16/7/2021</v>
      </c>
      <c r="AH158" s="51">
        <f>COUNTIFS(Z:Z,Z158,AG:AG,AG158)</f>
        <v>4</v>
      </c>
      <c r="AI158" s="49">
        <f t="shared" si="8"/>
        <v>0</v>
      </c>
    </row>
    <row r="159" spans="1:35" ht="15" x14ac:dyDescent="0.2">
      <c r="A159" s="145" t="s">
        <v>1198</v>
      </c>
      <c r="B159" s="146" t="s">
        <v>668</v>
      </c>
      <c r="C159" s="145" t="s">
        <v>1198</v>
      </c>
      <c r="D159" s="147" t="s">
        <v>669</v>
      </c>
      <c r="E159" s="146" t="s">
        <v>670</v>
      </c>
      <c r="F159" s="146" t="s">
        <v>671</v>
      </c>
      <c r="G159" s="146" t="s">
        <v>672</v>
      </c>
      <c r="H159" s="148">
        <v>0.86</v>
      </c>
      <c r="I159" s="146" t="s">
        <v>673</v>
      </c>
      <c r="J159" s="149">
        <v>1</v>
      </c>
      <c r="K159" s="150">
        <v>2021</v>
      </c>
      <c r="L159" s="151" t="s">
        <v>1010</v>
      </c>
      <c r="M159" s="151" t="s">
        <v>1199</v>
      </c>
      <c r="N159" s="172"/>
      <c r="O159" s="153"/>
      <c r="P159" s="154" t="s">
        <v>751</v>
      </c>
      <c r="Q159" s="154"/>
      <c r="R159" s="155">
        <v>6</v>
      </c>
      <c r="S159" s="146"/>
      <c r="T159" s="168"/>
      <c r="U159" s="146"/>
      <c r="V159" s="146"/>
      <c r="W159" s="146"/>
      <c r="X159" s="156">
        <v>0</v>
      </c>
      <c r="Y159" s="156">
        <v>0</v>
      </c>
      <c r="Z159" s="157" t="s">
        <v>677</v>
      </c>
      <c r="AA159" s="158">
        <v>2021</v>
      </c>
      <c r="AB159" s="158">
        <v>7</v>
      </c>
      <c r="AC159" s="158">
        <v>9</v>
      </c>
      <c r="AD159" s="122" t="b">
        <f>IF(ISBLANK(GroupMember[[#This Row],[1. Identifiant interne d’exploitation agricole*]]),"",IF(ISERROR(MATCH(GroupMember[[#This Row],[1. Identifiant interne d’exploitation agricole*]],CertifiedCrop[1. Identifiant interne d’exploitation agricole*],0)),FALSE,TRUE))</f>
        <v>1</v>
      </c>
      <c r="AE159" s="122" t="b">
        <f>IF(ISBLANK(GroupMember[[#This Row],[1. Identifiant interne d’exploitation agricole*]]),"",IF(ISERROR(MATCH(GroupMember[[#This Row],[1. Identifiant interne d’exploitation agricole*]],FarmUnit[1. Identifiant interne d’exploitation agricole*],0)),FALSE,TRUE))</f>
        <v>1</v>
      </c>
      <c r="AF159" s="9" t="str">
        <f t="shared" si="6"/>
        <v>BAMBA  VALERIE</v>
      </c>
      <c r="AG159" s="243" t="str">
        <f t="shared" si="7"/>
        <v>9/7/2021</v>
      </c>
      <c r="AH159" s="51">
        <f>COUNTIFS(Z:Z,Z159,AG:AG,AG159)</f>
        <v>4</v>
      </c>
      <c r="AI159" s="49">
        <f t="shared" si="8"/>
        <v>0</v>
      </c>
    </row>
    <row r="160" spans="1:35" ht="15" x14ac:dyDescent="0.2">
      <c r="A160" s="145" t="s">
        <v>1200</v>
      </c>
      <c r="B160" s="146" t="s">
        <v>668</v>
      </c>
      <c r="C160" s="145" t="s">
        <v>1200</v>
      </c>
      <c r="D160" s="147" t="s">
        <v>669</v>
      </c>
      <c r="E160" s="146" t="s">
        <v>670</v>
      </c>
      <c r="F160" s="146" t="s">
        <v>671</v>
      </c>
      <c r="G160" s="146" t="s">
        <v>672</v>
      </c>
      <c r="H160" s="148">
        <v>1.44</v>
      </c>
      <c r="I160" s="146" t="s">
        <v>673</v>
      </c>
      <c r="J160" s="149">
        <v>1</v>
      </c>
      <c r="K160" s="150">
        <v>2021</v>
      </c>
      <c r="L160" s="151" t="s">
        <v>1201</v>
      </c>
      <c r="M160" s="151" t="s">
        <v>1202</v>
      </c>
      <c r="N160" s="172" t="s">
        <v>1203</v>
      </c>
      <c r="O160" s="153"/>
      <c r="P160" s="154" t="s">
        <v>751</v>
      </c>
      <c r="Q160" s="154"/>
      <c r="R160" s="155">
        <v>8</v>
      </c>
      <c r="S160" s="146"/>
      <c r="T160" s="168"/>
      <c r="U160" s="146"/>
      <c r="V160" s="146"/>
      <c r="W160" s="146"/>
      <c r="X160" s="156">
        <v>0</v>
      </c>
      <c r="Y160" s="156">
        <v>0</v>
      </c>
      <c r="Z160" s="157" t="s">
        <v>677</v>
      </c>
      <c r="AA160" s="158">
        <v>2021</v>
      </c>
      <c r="AB160" s="158">
        <v>8</v>
      </c>
      <c r="AC160" s="158">
        <v>23</v>
      </c>
      <c r="AD160" s="122" t="b">
        <f>IF(ISBLANK(GroupMember[[#This Row],[1. Identifiant interne d’exploitation agricole*]]),"",IF(ISERROR(MATCH(GroupMember[[#This Row],[1. Identifiant interne d’exploitation agricole*]],CertifiedCrop[1. Identifiant interne d’exploitation agricole*],0)),FALSE,TRUE))</f>
        <v>1</v>
      </c>
      <c r="AE160" s="122" t="b">
        <f>IF(ISBLANK(GroupMember[[#This Row],[1. Identifiant interne d’exploitation agricole*]]),"",IF(ISERROR(MATCH(GroupMember[[#This Row],[1. Identifiant interne d’exploitation agricole*]],FarmUnit[1. Identifiant interne d’exploitation agricole*],0)),FALSE,TRUE))</f>
        <v>1</v>
      </c>
      <c r="AF160" s="9" t="str">
        <f t="shared" si="6"/>
        <v>MESSAN  MONKOUE MARTINE</v>
      </c>
      <c r="AG160" s="243" t="str">
        <f t="shared" si="7"/>
        <v>23/8/2021</v>
      </c>
      <c r="AH160" s="51">
        <f>COUNTIFS(Z:Z,Z160,AG:AG,AG160)</f>
        <v>4</v>
      </c>
      <c r="AI160" s="49">
        <f t="shared" si="8"/>
        <v>0</v>
      </c>
    </row>
    <row r="161" spans="1:35" ht="15" x14ac:dyDescent="0.2">
      <c r="A161" s="145" t="s">
        <v>1204</v>
      </c>
      <c r="B161" s="146" t="s">
        <v>668</v>
      </c>
      <c r="C161" s="145" t="s">
        <v>1204</v>
      </c>
      <c r="D161" s="147" t="s">
        <v>669</v>
      </c>
      <c r="E161" s="146" t="s">
        <v>670</v>
      </c>
      <c r="F161" s="146" t="s">
        <v>671</v>
      </c>
      <c r="G161" s="146" t="s">
        <v>672</v>
      </c>
      <c r="H161" s="148">
        <v>5</v>
      </c>
      <c r="I161" s="146" t="s">
        <v>673</v>
      </c>
      <c r="J161" s="149">
        <v>1</v>
      </c>
      <c r="K161" s="150">
        <v>2021</v>
      </c>
      <c r="L161" s="151" t="s">
        <v>925</v>
      </c>
      <c r="M161" s="151" t="s">
        <v>1205</v>
      </c>
      <c r="N161" s="172"/>
      <c r="O161" s="153"/>
      <c r="P161" s="154" t="s">
        <v>676</v>
      </c>
      <c r="Q161" s="154"/>
      <c r="R161" s="155">
        <v>7</v>
      </c>
      <c r="S161" s="146"/>
      <c r="T161" s="168"/>
      <c r="U161" s="146"/>
      <c r="V161" s="146"/>
      <c r="W161" s="146"/>
      <c r="X161" s="156">
        <v>0</v>
      </c>
      <c r="Y161" s="156">
        <v>0</v>
      </c>
      <c r="Z161" s="157" t="s">
        <v>677</v>
      </c>
      <c r="AA161" s="158">
        <v>2021</v>
      </c>
      <c r="AB161" s="158">
        <v>8</v>
      </c>
      <c r="AC161" s="158">
        <v>24</v>
      </c>
      <c r="AD161" s="122" t="b">
        <f>IF(ISBLANK(GroupMember[[#This Row],[1. Identifiant interne d’exploitation agricole*]]),"",IF(ISERROR(MATCH(GroupMember[[#This Row],[1. Identifiant interne d’exploitation agricole*]],CertifiedCrop[1. Identifiant interne d’exploitation agricole*],0)),FALSE,TRUE))</f>
        <v>1</v>
      </c>
      <c r="AE161" s="122" t="b">
        <f>IF(ISBLANK(GroupMember[[#This Row],[1. Identifiant interne d’exploitation agricole*]]),"",IF(ISERROR(MATCH(GroupMember[[#This Row],[1. Identifiant interne d’exploitation agricole*]],FarmUnit[1. Identifiant interne d’exploitation agricole*],0)),FALSE,TRUE))</f>
        <v>1</v>
      </c>
      <c r="AF161" s="9" t="str">
        <f t="shared" si="6"/>
        <v>KPAN  GOUANKEU FELIX 1</v>
      </c>
      <c r="AG161" s="243" t="str">
        <f t="shared" si="7"/>
        <v>24/8/2021</v>
      </c>
      <c r="AH161" s="51">
        <f>COUNTIFS(Z:Z,Z161,AG:AG,AG161)</f>
        <v>3</v>
      </c>
      <c r="AI161" s="49">
        <f t="shared" si="8"/>
        <v>0</v>
      </c>
    </row>
    <row r="162" spans="1:35" ht="15" x14ac:dyDescent="0.2">
      <c r="A162" s="145" t="s">
        <v>1206</v>
      </c>
      <c r="B162" s="146" t="s">
        <v>668</v>
      </c>
      <c r="C162" s="145" t="s">
        <v>1206</v>
      </c>
      <c r="D162" s="147" t="s">
        <v>669</v>
      </c>
      <c r="E162" s="146" t="s">
        <v>670</v>
      </c>
      <c r="F162" s="146" t="s">
        <v>671</v>
      </c>
      <c r="G162" s="146" t="s">
        <v>672</v>
      </c>
      <c r="H162" s="148">
        <v>0.74</v>
      </c>
      <c r="I162" s="146" t="s">
        <v>673</v>
      </c>
      <c r="J162" s="149">
        <v>1</v>
      </c>
      <c r="K162" s="150">
        <v>2021</v>
      </c>
      <c r="L162" s="151" t="s">
        <v>1207</v>
      </c>
      <c r="M162" s="151" t="s">
        <v>1208</v>
      </c>
      <c r="N162" s="172"/>
      <c r="O162" s="153"/>
      <c r="P162" s="154" t="s">
        <v>676</v>
      </c>
      <c r="Q162" s="154"/>
      <c r="R162" s="155">
        <v>6</v>
      </c>
      <c r="S162" s="146"/>
      <c r="T162" s="168"/>
      <c r="U162" s="146"/>
      <c r="V162" s="146"/>
      <c r="W162" s="146"/>
      <c r="X162" s="156">
        <v>0</v>
      </c>
      <c r="Y162" s="156">
        <v>0</v>
      </c>
      <c r="Z162" s="157" t="s">
        <v>677</v>
      </c>
      <c r="AA162" s="158">
        <v>2021</v>
      </c>
      <c r="AB162" s="158">
        <v>8</v>
      </c>
      <c r="AC162" s="158">
        <v>26</v>
      </c>
      <c r="AD162" s="122" t="b">
        <f>IF(ISBLANK(GroupMember[[#This Row],[1. Identifiant interne d’exploitation agricole*]]),"",IF(ISERROR(MATCH(GroupMember[[#This Row],[1. Identifiant interne d’exploitation agricole*]],CertifiedCrop[1. Identifiant interne d’exploitation agricole*],0)),FALSE,TRUE))</f>
        <v>1</v>
      </c>
      <c r="AE162" s="122" t="b">
        <f>IF(ISBLANK(GroupMember[[#This Row],[1. Identifiant interne d’exploitation agricole*]]),"",IF(ISERROR(MATCH(GroupMember[[#This Row],[1. Identifiant interne d’exploitation agricole*]],FarmUnit[1. Identifiant interne d’exploitation agricole*],0)),FALSE,TRUE))</f>
        <v>1</v>
      </c>
      <c r="AF162" s="9" t="str">
        <f t="shared" si="6"/>
        <v>NADOILO  FRANCK</v>
      </c>
      <c r="AG162" s="243" t="str">
        <f t="shared" si="7"/>
        <v>26/8/2021</v>
      </c>
      <c r="AH162" s="51">
        <f>COUNTIFS(Z:Z,Z162,AG:AG,AG162)</f>
        <v>3</v>
      </c>
      <c r="AI162" s="49">
        <f t="shared" si="8"/>
        <v>0</v>
      </c>
    </row>
    <row r="163" spans="1:35" ht="15" x14ac:dyDescent="0.2">
      <c r="A163" s="145" t="s">
        <v>1209</v>
      </c>
      <c r="B163" s="146" t="s">
        <v>668</v>
      </c>
      <c r="C163" s="145" t="s">
        <v>1209</v>
      </c>
      <c r="D163" s="147" t="s">
        <v>669</v>
      </c>
      <c r="E163" s="146" t="s">
        <v>670</v>
      </c>
      <c r="F163" s="146" t="s">
        <v>671</v>
      </c>
      <c r="G163" s="146" t="s">
        <v>672</v>
      </c>
      <c r="H163" s="148">
        <v>0.64</v>
      </c>
      <c r="I163" s="146" t="s">
        <v>673</v>
      </c>
      <c r="J163" s="149">
        <v>1</v>
      </c>
      <c r="K163" s="150">
        <v>2021</v>
      </c>
      <c r="L163" s="151" t="s">
        <v>1210</v>
      </c>
      <c r="M163" s="151" t="s">
        <v>1211</v>
      </c>
      <c r="N163" s="172" t="s">
        <v>1212</v>
      </c>
      <c r="O163" s="153"/>
      <c r="P163" s="154" t="s">
        <v>676</v>
      </c>
      <c r="Q163" s="154"/>
      <c r="R163" s="155">
        <v>5</v>
      </c>
      <c r="S163" s="146"/>
      <c r="T163" s="168"/>
      <c r="U163" s="146"/>
      <c r="V163" s="146"/>
      <c r="W163" s="146"/>
      <c r="X163" s="156">
        <v>0</v>
      </c>
      <c r="Y163" s="156">
        <v>0</v>
      </c>
      <c r="Z163" s="157" t="s">
        <v>677</v>
      </c>
      <c r="AA163" s="158">
        <v>2021</v>
      </c>
      <c r="AB163" s="158">
        <v>7</v>
      </c>
      <c r="AC163" s="158">
        <v>17</v>
      </c>
      <c r="AD163" s="122" t="b">
        <f>IF(ISBLANK(GroupMember[[#This Row],[1. Identifiant interne d’exploitation agricole*]]),"",IF(ISERROR(MATCH(GroupMember[[#This Row],[1. Identifiant interne d’exploitation agricole*]],CertifiedCrop[1. Identifiant interne d’exploitation agricole*],0)),FALSE,TRUE))</f>
        <v>1</v>
      </c>
      <c r="AE163" s="122" t="b">
        <f>IF(ISBLANK(GroupMember[[#This Row],[1. Identifiant interne d’exploitation agricole*]]),"",IF(ISERROR(MATCH(GroupMember[[#This Row],[1. Identifiant interne d’exploitation agricole*]],FarmUnit[1. Identifiant interne d’exploitation agricole*],0)),FALSE,TRUE))</f>
        <v>1</v>
      </c>
      <c r="AF163" s="9" t="str">
        <f t="shared" si="6"/>
        <v>DEA  MIEKON HERMAN</v>
      </c>
      <c r="AG163" s="243" t="str">
        <f t="shared" si="7"/>
        <v>17/7/2021</v>
      </c>
      <c r="AH163" s="51">
        <f>COUNTIFS(Z:Z,Z163,AG:AG,AG163)</f>
        <v>4</v>
      </c>
      <c r="AI163" s="49">
        <f t="shared" si="8"/>
        <v>0</v>
      </c>
    </row>
    <row r="164" spans="1:35" ht="15" x14ac:dyDescent="0.2">
      <c r="A164" s="145" t="s">
        <v>1213</v>
      </c>
      <c r="B164" s="146" t="s">
        <v>668</v>
      </c>
      <c r="C164" s="145" t="s">
        <v>1213</v>
      </c>
      <c r="D164" s="147" t="s">
        <v>669</v>
      </c>
      <c r="E164" s="146" t="s">
        <v>670</v>
      </c>
      <c r="F164" s="146" t="s">
        <v>671</v>
      </c>
      <c r="G164" s="146" t="s">
        <v>672</v>
      </c>
      <c r="H164" s="148">
        <v>1.79</v>
      </c>
      <c r="I164" s="146" t="s">
        <v>673</v>
      </c>
      <c r="J164" s="149">
        <v>1</v>
      </c>
      <c r="K164" s="150">
        <v>2021</v>
      </c>
      <c r="L164" s="151" t="s">
        <v>915</v>
      </c>
      <c r="M164" s="151" t="s">
        <v>1214</v>
      </c>
      <c r="N164" s="172"/>
      <c r="O164" s="153"/>
      <c r="P164" s="154" t="s">
        <v>676</v>
      </c>
      <c r="Q164" s="154"/>
      <c r="R164" s="155">
        <v>7</v>
      </c>
      <c r="S164" s="146"/>
      <c r="T164" s="168"/>
      <c r="U164" s="146"/>
      <c r="V164" s="146"/>
      <c r="W164" s="146"/>
      <c r="X164" s="156">
        <v>0</v>
      </c>
      <c r="Y164" s="156">
        <v>0</v>
      </c>
      <c r="Z164" s="157" t="s">
        <v>677</v>
      </c>
      <c r="AA164" s="158">
        <v>2021</v>
      </c>
      <c r="AB164" s="158">
        <v>8</v>
      </c>
      <c r="AC164" s="158">
        <v>23</v>
      </c>
      <c r="AD164" s="122" t="b">
        <f>IF(ISBLANK(GroupMember[[#This Row],[1. Identifiant interne d’exploitation agricole*]]),"",IF(ISERROR(MATCH(GroupMember[[#This Row],[1. Identifiant interne d’exploitation agricole*]],CertifiedCrop[1. Identifiant interne d’exploitation agricole*],0)),FALSE,TRUE))</f>
        <v>1</v>
      </c>
      <c r="AE164" s="122" t="b">
        <f>IF(ISBLANK(GroupMember[[#This Row],[1. Identifiant interne d’exploitation agricole*]]),"",IF(ISERROR(MATCH(GroupMember[[#This Row],[1. Identifiant interne d’exploitation agricole*]],FarmUnit[1. Identifiant interne d’exploitation agricole*],0)),FALSE,TRUE))</f>
        <v>1</v>
      </c>
      <c r="AF164" s="9" t="str">
        <f t="shared" si="6"/>
        <v>MANHAN  KAKOKO GERMAINE</v>
      </c>
      <c r="AG164" s="243" t="str">
        <f t="shared" si="7"/>
        <v>23/8/2021</v>
      </c>
      <c r="AH164" s="51">
        <f>COUNTIFS(Z:Z,Z164,AG:AG,AG164)</f>
        <v>4</v>
      </c>
      <c r="AI164" s="49">
        <f t="shared" si="8"/>
        <v>0</v>
      </c>
    </row>
    <row r="165" spans="1:35" ht="15" x14ac:dyDescent="0.2">
      <c r="A165" s="145" t="s">
        <v>1215</v>
      </c>
      <c r="B165" s="146" t="s">
        <v>668</v>
      </c>
      <c r="C165" s="145" t="s">
        <v>1215</v>
      </c>
      <c r="D165" s="147" t="s">
        <v>669</v>
      </c>
      <c r="E165" s="146" t="s">
        <v>670</v>
      </c>
      <c r="F165" s="146" t="s">
        <v>671</v>
      </c>
      <c r="G165" s="146" t="s">
        <v>672</v>
      </c>
      <c r="H165" s="148">
        <v>1.64</v>
      </c>
      <c r="I165" s="146" t="s">
        <v>673</v>
      </c>
      <c r="J165" s="149">
        <v>1</v>
      </c>
      <c r="K165" s="150">
        <v>2021</v>
      </c>
      <c r="L165" s="151" t="s">
        <v>803</v>
      </c>
      <c r="M165" s="151" t="s">
        <v>889</v>
      </c>
      <c r="N165" s="172"/>
      <c r="O165" s="153"/>
      <c r="P165" s="154" t="s">
        <v>676</v>
      </c>
      <c r="Q165" s="154"/>
      <c r="R165" s="155">
        <v>4</v>
      </c>
      <c r="S165" s="146"/>
      <c r="T165" s="168"/>
      <c r="U165" s="146"/>
      <c r="V165" s="146"/>
      <c r="W165" s="146"/>
      <c r="X165" s="156">
        <v>0</v>
      </c>
      <c r="Y165" s="156">
        <v>0</v>
      </c>
      <c r="Z165" s="157" t="s">
        <v>677</v>
      </c>
      <c r="AA165" s="158">
        <v>2021</v>
      </c>
      <c r="AB165" s="158">
        <v>8</v>
      </c>
      <c r="AC165" s="158">
        <v>27</v>
      </c>
      <c r="AD165" s="122" t="b">
        <f>IF(ISBLANK(GroupMember[[#This Row],[1. Identifiant interne d’exploitation agricole*]]),"",IF(ISERROR(MATCH(GroupMember[[#This Row],[1. Identifiant interne d’exploitation agricole*]],CertifiedCrop[1. Identifiant interne d’exploitation agricole*],0)),FALSE,TRUE))</f>
        <v>1</v>
      </c>
      <c r="AE165" s="122" t="b">
        <f>IF(ISBLANK(GroupMember[[#This Row],[1. Identifiant interne d’exploitation agricole*]]),"",IF(ISERROR(MATCH(GroupMember[[#This Row],[1. Identifiant interne d’exploitation agricole*]],FarmUnit[1. Identifiant interne d’exploitation agricole*],0)),FALSE,TRUE))</f>
        <v>1</v>
      </c>
      <c r="AF165" s="9" t="str">
        <f t="shared" si="6"/>
        <v>GUEU  LAURENT</v>
      </c>
      <c r="AG165" s="243" t="str">
        <f t="shared" si="7"/>
        <v>27/8/2021</v>
      </c>
      <c r="AH165" s="51">
        <f>COUNTIFS(Z:Z,Z165,AG:AG,AG165)</f>
        <v>4</v>
      </c>
      <c r="AI165" s="49">
        <f t="shared" si="8"/>
        <v>0</v>
      </c>
    </row>
    <row r="166" spans="1:35" ht="15" x14ac:dyDescent="0.2">
      <c r="A166" s="145" t="s">
        <v>1216</v>
      </c>
      <c r="B166" s="146" t="s">
        <v>668</v>
      </c>
      <c r="C166" s="145" t="s">
        <v>1216</v>
      </c>
      <c r="D166" s="147" t="s">
        <v>669</v>
      </c>
      <c r="E166" s="146" t="s">
        <v>670</v>
      </c>
      <c r="F166" s="146" t="s">
        <v>671</v>
      </c>
      <c r="G166" s="146" t="s">
        <v>672</v>
      </c>
      <c r="H166" s="148">
        <v>1.86</v>
      </c>
      <c r="I166" s="146" t="s">
        <v>673</v>
      </c>
      <c r="J166" s="149">
        <v>1</v>
      </c>
      <c r="K166" s="150">
        <v>2021</v>
      </c>
      <c r="L166" s="151" t="s">
        <v>1193</v>
      </c>
      <c r="M166" s="151" t="s">
        <v>1217</v>
      </c>
      <c r="N166" s="172"/>
      <c r="O166" s="153"/>
      <c r="P166" s="154" t="s">
        <v>676</v>
      </c>
      <c r="Q166" s="154"/>
      <c r="R166" s="155">
        <v>5</v>
      </c>
      <c r="S166" s="146"/>
      <c r="T166" s="168"/>
      <c r="U166" s="146"/>
      <c r="V166" s="146"/>
      <c r="W166" s="146"/>
      <c r="X166" s="156">
        <v>0</v>
      </c>
      <c r="Y166" s="156">
        <v>0</v>
      </c>
      <c r="Z166" s="157" t="s">
        <v>677</v>
      </c>
      <c r="AA166" s="158">
        <v>2021</v>
      </c>
      <c r="AB166" s="158">
        <v>8</v>
      </c>
      <c r="AC166" s="158">
        <v>28</v>
      </c>
      <c r="AD166" s="122" t="b">
        <f>IF(ISBLANK(GroupMember[[#This Row],[1. Identifiant interne d’exploitation agricole*]]),"",IF(ISERROR(MATCH(GroupMember[[#This Row],[1. Identifiant interne d’exploitation agricole*]],CertifiedCrop[1. Identifiant interne d’exploitation agricole*],0)),FALSE,TRUE))</f>
        <v>1</v>
      </c>
      <c r="AE166" s="122" t="b">
        <f>IF(ISBLANK(GroupMember[[#This Row],[1. Identifiant interne d’exploitation agricole*]]),"",IF(ISERROR(MATCH(GroupMember[[#This Row],[1. Identifiant interne d’exploitation agricole*]],FarmUnit[1. Identifiant interne d’exploitation agricole*],0)),FALSE,TRUE))</f>
        <v>1</v>
      </c>
      <c r="AF166" s="9" t="str">
        <f t="shared" si="6"/>
        <v>DIOMANDE  BLE EMMANUEL</v>
      </c>
      <c r="AG166" s="243" t="str">
        <f t="shared" si="7"/>
        <v>28/8/2021</v>
      </c>
      <c r="AH166" s="51">
        <f>COUNTIFS(Z:Z,Z166,AG:AG,AG166)</f>
        <v>4</v>
      </c>
      <c r="AI166" s="49">
        <f t="shared" si="8"/>
        <v>0</v>
      </c>
    </row>
    <row r="167" spans="1:35" ht="15" x14ac:dyDescent="0.2">
      <c r="A167" s="145" t="s">
        <v>1218</v>
      </c>
      <c r="B167" s="146" t="s">
        <v>668</v>
      </c>
      <c r="C167" s="145" t="s">
        <v>1218</v>
      </c>
      <c r="D167" s="147" t="s">
        <v>669</v>
      </c>
      <c r="E167" s="146" t="s">
        <v>670</v>
      </c>
      <c r="F167" s="146" t="s">
        <v>671</v>
      </c>
      <c r="G167" s="146" t="s">
        <v>672</v>
      </c>
      <c r="H167" s="148">
        <v>1.52</v>
      </c>
      <c r="I167" s="146" t="s">
        <v>673</v>
      </c>
      <c r="J167" s="149">
        <v>1</v>
      </c>
      <c r="K167" s="150">
        <v>2021</v>
      </c>
      <c r="L167" s="151" t="s">
        <v>1219</v>
      </c>
      <c r="M167" s="151" t="s">
        <v>1220</v>
      </c>
      <c r="N167" s="172" t="s">
        <v>1221</v>
      </c>
      <c r="O167" s="153"/>
      <c r="P167" s="154" t="s">
        <v>676</v>
      </c>
      <c r="Q167" s="154"/>
      <c r="R167" s="155">
        <v>6</v>
      </c>
      <c r="S167" s="146"/>
      <c r="T167" s="168"/>
      <c r="U167" s="146"/>
      <c r="V167" s="146"/>
      <c r="W167" s="146"/>
      <c r="X167" s="156">
        <v>0</v>
      </c>
      <c r="Y167" s="156">
        <v>0</v>
      </c>
      <c r="Z167" s="157" t="s">
        <v>677</v>
      </c>
      <c r="AA167" s="158">
        <v>2021</v>
      </c>
      <c r="AB167" s="158">
        <v>8</v>
      </c>
      <c r="AC167" s="158">
        <v>23</v>
      </c>
      <c r="AD167" s="122" t="b">
        <f>IF(ISBLANK(GroupMember[[#This Row],[1. Identifiant interne d’exploitation agricole*]]),"",IF(ISERROR(MATCH(GroupMember[[#This Row],[1. Identifiant interne d’exploitation agricole*]],CertifiedCrop[1. Identifiant interne d’exploitation agricole*],0)),FALSE,TRUE))</f>
        <v>1</v>
      </c>
      <c r="AE167" s="122" t="b">
        <f>IF(ISBLANK(GroupMember[[#This Row],[1. Identifiant interne d’exploitation agricole*]]),"",IF(ISERROR(MATCH(GroupMember[[#This Row],[1. Identifiant interne d’exploitation agricole*]],FarmUnit[1. Identifiant interne d’exploitation agricole*],0)),FALSE,TRUE))</f>
        <v>1</v>
      </c>
      <c r="AF167" s="9" t="str">
        <f t="shared" si="6"/>
        <v>BLEU  EMMANUEL</v>
      </c>
      <c r="AG167" s="243" t="str">
        <f t="shared" si="7"/>
        <v>23/8/2021</v>
      </c>
      <c r="AH167" s="51">
        <f>COUNTIFS(Z:Z,Z167,AG:AG,AG167)</f>
        <v>4</v>
      </c>
      <c r="AI167" s="49">
        <f t="shared" si="8"/>
        <v>0</v>
      </c>
    </row>
    <row r="168" spans="1:35" ht="15" x14ac:dyDescent="0.2">
      <c r="A168" s="145" t="s">
        <v>1222</v>
      </c>
      <c r="B168" s="146" t="s">
        <v>668</v>
      </c>
      <c r="C168" s="145" t="s">
        <v>1222</v>
      </c>
      <c r="D168" s="147" t="s">
        <v>669</v>
      </c>
      <c r="E168" s="146" t="s">
        <v>670</v>
      </c>
      <c r="F168" s="146" t="s">
        <v>671</v>
      </c>
      <c r="G168" s="146" t="s">
        <v>672</v>
      </c>
      <c r="H168" s="148">
        <v>2.77</v>
      </c>
      <c r="I168" s="146" t="s">
        <v>673</v>
      </c>
      <c r="J168" s="149">
        <v>1</v>
      </c>
      <c r="K168" s="150">
        <v>2021</v>
      </c>
      <c r="L168" s="151" t="s">
        <v>1223</v>
      </c>
      <c r="M168" s="151" t="s">
        <v>1224</v>
      </c>
      <c r="N168" s="172" t="s">
        <v>1225</v>
      </c>
      <c r="O168" s="153"/>
      <c r="P168" s="154" t="s">
        <v>676</v>
      </c>
      <c r="Q168" s="154"/>
      <c r="R168" s="155">
        <v>4</v>
      </c>
      <c r="S168" s="146"/>
      <c r="T168" s="168"/>
      <c r="U168" s="146"/>
      <c r="V168" s="146"/>
      <c r="W168" s="146"/>
      <c r="X168" s="156">
        <v>0</v>
      </c>
      <c r="Y168" s="156">
        <v>0</v>
      </c>
      <c r="Z168" s="157" t="s">
        <v>677</v>
      </c>
      <c r="AA168" s="158">
        <v>2021</v>
      </c>
      <c r="AB168" s="158">
        <v>8</v>
      </c>
      <c r="AC168" s="158">
        <v>27</v>
      </c>
      <c r="AD168" s="122" t="b">
        <f>IF(ISBLANK(GroupMember[[#This Row],[1. Identifiant interne d’exploitation agricole*]]),"",IF(ISERROR(MATCH(GroupMember[[#This Row],[1. Identifiant interne d’exploitation agricole*]],CertifiedCrop[1. Identifiant interne d’exploitation agricole*],0)),FALSE,TRUE))</f>
        <v>1</v>
      </c>
      <c r="AE168" s="122" t="b">
        <f>IF(ISBLANK(GroupMember[[#This Row],[1. Identifiant interne d’exploitation agricole*]]),"",IF(ISERROR(MATCH(GroupMember[[#This Row],[1. Identifiant interne d’exploitation agricole*]],FarmUnit[1. Identifiant interne d’exploitation agricole*],0)),FALSE,TRUE))</f>
        <v>1</v>
      </c>
      <c r="AF168" s="9" t="str">
        <f t="shared" si="6"/>
        <v>KONKOBO  RENE</v>
      </c>
      <c r="AG168" s="243" t="str">
        <f t="shared" si="7"/>
        <v>27/8/2021</v>
      </c>
      <c r="AH168" s="51">
        <f>COUNTIFS(Z:Z,Z168,AG:AG,AG168)</f>
        <v>4</v>
      </c>
      <c r="AI168" s="49">
        <f t="shared" si="8"/>
        <v>0</v>
      </c>
    </row>
    <row r="169" spans="1:35" ht="15" x14ac:dyDescent="0.2">
      <c r="A169" s="150" t="s">
        <v>1226</v>
      </c>
      <c r="B169" s="146" t="s">
        <v>668</v>
      </c>
      <c r="C169" s="150" t="s">
        <v>1226</v>
      </c>
      <c r="D169" s="147" t="s">
        <v>669</v>
      </c>
      <c r="E169" s="146" t="s">
        <v>670</v>
      </c>
      <c r="F169" s="146" t="s">
        <v>671</v>
      </c>
      <c r="G169" s="146" t="s">
        <v>672</v>
      </c>
      <c r="H169" s="148">
        <v>0.65</v>
      </c>
      <c r="I169" s="146" t="s">
        <v>673</v>
      </c>
      <c r="J169" s="149">
        <v>1</v>
      </c>
      <c r="K169" s="150">
        <v>2021</v>
      </c>
      <c r="L169" s="151" t="s">
        <v>925</v>
      </c>
      <c r="M169" s="151" t="s">
        <v>1227</v>
      </c>
      <c r="N169" s="277" t="s">
        <v>3297</v>
      </c>
      <c r="O169" s="153" t="s">
        <v>1228</v>
      </c>
      <c r="P169" s="154" t="s">
        <v>676</v>
      </c>
      <c r="Q169" s="154">
        <v>1966</v>
      </c>
      <c r="R169" s="155">
        <v>6</v>
      </c>
      <c r="S169" s="146"/>
      <c r="T169" s="168"/>
      <c r="U169" s="146"/>
      <c r="V169" s="146"/>
      <c r="W169" s="146"/>
      <c r="X169" s="156">
        <v>0</v>
      </c>
      <c r="Y169" s="156">
        <v>0</v>
      </c>
      <c r="Z169" s="157" t="s">
        <v>677</v>
      </c>
      <c r="AA169" s="158">
        <v>2021</v>
      </c>
      <c r="AB169" s="158">
        <v>7</v>
      </c>
      <c r="AC169" s="158">
        <v>9</v>
      </c>
      <c r="AD169" s="122" t="b">
        <f>IF(ISBLANK(GroupMember[[#This Row],[1. Identifiant interne d’exploitation agricole*]]),"",IF(ISERROR(MATCH(GroupMember[[#This Row],[1. Identifiant interne d’exploitation agricole*]],CertifiedCrop[1. Identifiant interne d’exploitation agricole*],0)),FALSE,TRUE))</f>
        <v>1</v>
      </c>
      <c r="AE169" s="122" t="b">
        <f>IF(ISBLANK(GroupMember[[#This Row],[1. Identifiant interne d’exploitation agricole*]]),"",IF(ISERROR(MATCH(GroupMember[[#This Row],[1. Identifiant interne d’exploitation agricole*]],FarmUnit[1. Identifiant interne d’exploitation agricole*],0)),FALSE,TRUE))</f>
        <v>1</v>
      </c>
      <c r="AF169" s="9" t="str">
        <f t="shared" si="6"/>
        <v>KPAN  CHARLES</v>
      </c>
      <c r="AG169" s="243" t="str">
        <f t="shared" si="7"/>
        <v>9/7/2021</v>
      </c>
      <c r="AH169" s="51">
        <f>COUNTIFS(Z:Z,Z169,AG:AG,AG169)</f>
        <v>4</v>
      </c>
      <c r="AI169" s="49">
        <f t="shared" si="8"/>
        <v>0</v>
      </c>
    </row>
    <row r="170" spans="1:35" ht="15" x14ac:dyDescent="0.2">
      <c r="A170" s="150" t="s">
        <v>1229</v>
      </c>
      <c r="B170" s="146" t="s">
        <v>668</v>
      </c>
      <c r="C170" s="150" t="s">
        <v>1229</v>
      </c>
      <c r="D170" s="147" t="s">
        <v>669</v>
      </c>
      <c r="E170" s="146" t="s">
        <v>670</v>
      </c>
      <c r="F170" s="146" t="s">
        <v>671</v>
      </c>
      <c r="G170" s="146" t="s">
        <v>672</v>
      </c>
      <c r="H170" s="148">
        <v>2.42</v>
      </c>
      <c r="I170" s="146" t="s">
        <v>673</v>
      </c>
      <c r="J170" s="149">
        <v>1</v>
      </c>
      <c r="K170" s="150">
        <v>2021</v>
      </c>
      <c r="L170" s="151" t="s">
        <v>1230</v>
      </c>
      <c r="M170" s="151" t="s">
        <v>1231</v>
      </c>
      <c r="N170" s="172"/>
      <c r="O170" s="153"/>
      <c r="P170" s="154" t="s">
        <v>676</v>
      </c>
      <c r="Q170" s="154"/>
      <c r="R170" s="155">
        <v>5</v>
      </c>
      <c r="S170" s="146"/>
      <c r="T170" s="168"/>
      <c r="U170" s="146"/>
      <c r="V170" s="146"/>
      <c r="W170" s="146"/>
      <c r="X170" s="156">
        <v>0</v>
      </c>
      <c r="Y170" s="156">
        <v>0</v>
      </c>
      <c r="Z170" s="157" t="s">
        <v>677</v>
      </c>
      <c r="AA170" s="158">
        <v>2021</v>
      </c>
      <c r="AB170" s="158">
        <v>7</v>
      </c>
      <c r="AC170" s="158">
        <v>17</v>
      </c>
      <c r="AD170" s="122" t="b">
        <f>IF(ISBLANK(GroupMember[[#This Row],[1. Identifiant interne d’exploitation agricole*]]),"",IF(ISERROR(MATCH(GroupMember[[#This Row],[1. Identifiant interne d’exploitation agricole*]],CertifiedCrop[1. Identifiant interne d’exploitation agricole*],0)),FALSE,TRUE))</f>
        <v>1</v>
      </c>
      <c r="AE170" s="122" t="b">
        <f>IF(ISBLANK(GroupMember[[#This Row],[1. Identifiant interne d’exploitation agricole*]]),"",IF(ISERROR(MATCH(GroupMember[[#This Row],[1. Identifiant interne d’exploitation agricole*]],FarmUnit[1. Identifiant interne d’exploitation agricole*],0)),FALSE,TRUE))</f>
        <v>1</v>
      </c>
      <c r="AF170" s="9" t="str">
        <f t="shared" si="6"/>
        <v>KOMOUAN  APPOLINAIRE</v>
      </c>
      <c r="AG170" s="243" t="str">
        <f t="shared" si="7"/>
        <v>17/7/2021</v>
      </c>
      <c r="AH170" s="51">
        <f>COUNTIFS(Z:Z,Z170,AG:AG,AG170)</f>
        <v>4</v>
      </c>
      <c r="AI170" s="49">
        <f t="shared" si="8"/>
        <v>0</v>
      </c>
    </row>
    <row r="171" spans="1:35" ht="15" x14ac:dyDescent="0.2">
      <c r="A171" s="150" t="s">
        <v>1232</v>
      </c>
      <c r="B171" s="146" t="s">
        <v>668</v>
      </c>
      <c r="C171" s="150" t="s">
        <v>1232</v>
      </c>
      <c r="D171" s="147" t="s">
        <v>669</v>
      </c>
      <c r="E171" s="146" t="s">
        <v>670</v>
      </c>
      <c r="F171" s="146" t="s">
        <v>671</v>
      </c>
      <c r="G171" s="146" t="s">
        <v>672</v>
      </c>
      <c r="H171" s="148">
        <v>1.38</v>
      </c>
      <c r="I171" s="146" t="s">
        <v>673</v>
      </c>
      <c r="J171" s="149">
        <v>1</v>
      </c>
      <c r="K171" s="150">
        <v>2021</v>
      </c>
      <c r="L171" s="151" t="s">
        <v>1233</v>
      </c>
      <c r="M171" s="151" t="s">
        <v>1234</v>
      </c>
      <c r="N171" s="172"/>
      <c r="O171" s="153"/>
      <c r="P171" s="154" t="s">
        <v>676</v>
      </c>
      <c r="Q171" s="154"/>
      <c r="R171" s="155">
        <v>4</v>
      </c>
      <c r="S171" s="146"/>
      <c r="T171" s="168"/>
      <c r="U171" s="146"/>
      <c r="V171" s="146"/>
      <c r="W171" s="146"/>
      <c r="X171" s="156">
        <v>0</v>
      </c>
      <c r="Y171" s="156">
        <v>0</v>
      </c>
      <c r="Z171" s="157" t="s">
        <v>677</v>
      </c>
      <c r="AA171" s="158">
        <v>2021</v>
      </c>
      <c r="AB171" s="158">
        <v>8</v>
      </c>
      <c r="AC171" s="158">
        <v>28</v>
      </c>
      <c r="AD171" s="122" t="b">
        <f>IF(ISBLANK(GroupMember[[#This Row],[1. Identifiant interne d’exploitation agricole*]]),"",IF(ISERROR(MATCH(GroupMember[[#This Row],[1. Identifiant interne d’exploitation agricole*]],CertifiedCrop[1. Identifiant interne d’exploitation agricole*],0)),FALSE,TRUE))</f>
        <v>1</v>
      </c>
      <c r="AE171" s="122" t="b">
        <f>IF(ISBLANK(GroupMember[[#This Row],[1. Identifiant interne d’exploitation agricole*]]),"",IF(ISERROR(MATCH(GroupMember[[#This Row],[1. Identifiant interne d’exploitation agricole*]],FarmUnit[1. Identifiant interne d’exploitation agricole*],0)),FALSE,TRUE))</f>
        <v>1</v>
      </c>
      <c r="AF171" s="9" t="str">
        <f t="shared" si="6"/>
        <v>MIENMIN  GUEU NICOSON</v>
      </c>
      <c r="AG171" s="243" t="str">
        <f t="shared" si="7"/>
        <v>28/8/2021</v>
      </c>
      <c r="AH171" s="51">
        <f>COUNTIFS(Z:Z,Z171,AG:AG,AG171)</f>
        <v>4</v>
      </c>
      <c r="AI171" s="49">
        <f t="shared" si="8"/>
        <v>0</v>
      </c>
    </row>
    <row r="172" spans="1:35" ht="15" x14ac:dyDescent="0.2">
      <c r="A172" s="150" t="s">
        <v>1235</v>
      </c>
      <c r="B172" s="146" t="s">
        <v>668</v>
      </c>
      <c r="C172" s="150" t="s">
        <v>1235</v>
      </c>
      <c r="D172" s="147" t="s">
        <v>669</v>
      </c>
      <c r="E172" s="146" t="s">
        <v>670</v>
      </c>
      <c r="F172" s="146" t="s">
        <v>671</v>
      </c>
      <c r="G172" s="146" t="s">
        <v>672</v>
      </c>
      <c r="H172" s="148">
        <v>1.05</v>
      </c>
      <c r="I172" s="146" t="s">
        <v>673</v>
      </c>
      <c r="J172" s="149">
        <v>1</v>
      </c>
      <c r="K172" s="150">
        <v>2021</v>
      </c>
      <c r="L172" s="151" t="s">
        <v>1236</v>
      </c>
      <c r="M172" s="151" t="s">
        <v>1237</v>
      </c>
      <c r="N172" s="172"/>
      <c r="O172" s="153"/>
      <c r="P172" s="154" t="s">
        <v>676</v>
      </c>
      <c r="Q172" s="154"/>
      <c r="R172" s="155">
        <v>7</v>
      </c>
      <c r="S172" s="146"/>
      <c r="T172" s="168"/>
      <c r="U172" s="146"/>
      <c r="V172" s="146"/>
      <c r="W172" s="146"/>
      <c r="X172" s="156">
        <v>0</v>
      </c>
      <c r="Y172" s="156">
        <v>0</v>
      </c>
      <c r="Z172" s="157" t="s">
        <v>677</v>
      </c>
      <c r="AA172" s="158">
        <v>2021</v>
      </c>
      <c r="AB172" s="158">
        <v>8</v>
      </c>
      <c r="AC172" s="158">
        <v>27</v>
      </c>
      <c r="AD172" s="122" t="b">
        <f>IF(ISBLANK(GroupMember[[#This Row],[1. Identifiant interne d’exploitation agricole*]]),"",IF(ISERROR(MATCH(GroupMember[[#This Row],[1. Identifiant interne d’exploitation agricole*]],CertifiedCrop[1. Identifiant interne d’exploitation agricole*],0)),FALSE,TRUE))</f>
        <v>1</v>
      </c>
      <c r="AE172" s="122" t="b">
        <f>IF(ISBLANK(GroupMember[[#This Row],[1. Identifiant interne d’exploitation agricole*]]),"",IF(ISERROR(MATCH(GroupMember[[#This Row],[1. Identifiant interne d’exploitation agricole*]],FarmUnit[1. Identifiant interne d’exploitation agricole*],0)),FALSE,TRUE))</f>
        <v>1</v>
      </c>
      <c r="AF172" s="9" t="str">
        <f t="shared" si="6"/>
        <v>ZOA  OLIVE</v>
      </c>
      <c r="AG172" s="243" t="str">
        <f t="shared" si="7"/>
        <v>27/8/2021</v>
      </c>
      <c r="AH172" s="51">
        <f>COUNTIFS(Z:Z,Z172,AG:AG,AG172)</f>
        <v>4</v>
      </c>
      <c r="AI172" s="49">
        <f t="shared" si="8"/>
        <v>0</v>
      </c>
    </row>
    <row r="173" spans="1:35" ht="15" x14ac:dyDescent="0.2">
      <c r="A173" s="150" t="s">
        <v>1238</v>
      </c>
      <c r="B173" s="146" t="s">
        <v>668</v>
      </c>
      <c r="C173" s="150" t="s">
        <v>1238</v>
      </c>
      <c r="D173" s="147" t="s">
        <v>669</v>
      </c>
      <c r="E173" s="146" t="s">
        <v>670</v>
      </c>
      <c r="F173" s="146" t="s">
        <v>671</v>
      </c>
      <c r="G173" s="146" t="s">
        <v>672</v>
      </c>
      <c r="H173" s="148">
        <v>1.91</v>
      </c>
      <c r="I173" s="146" t="s">
        <v>673</v>
      </c>
      <c r="J173" s="149">
        <v>1</v>
      </c>
      <c r="K173" s="150">
        <v>2021</v>
      </c>
      <c r="L173" s="151" t="s">
        <v>795</v>
      </c>
      <c r="M173" s="151" t="s">
        <v>1239</v>
      </c>
      <c r="N173" s="172" t="s">
        <v>1240</v>
      </c>
      <c r="O173" s="217" t="s">
        <v>3425</v>
      </c>
      <c r="P173" s="154" t="s">
        <v>676</v>
      </c>
      <c r="Q173" s="110">
        <v>1984</v>
      </c>
      <c r="R173" s="155">
        <v>8</v>
      </c>
      <c r="S173" s="146"/>
      <c r="T173" s="168"/>
      <c r="U173" s="146"/>
      <c r="V173" s="146"/>
      <c r="W173" s="146"/>
      <c r="X173" s="156">
        <v>0</v>
      </c>
      <c r="Y173" s="156">
        <v>0</v>
      </c>
      <c r="Z173" s="157" t="s">
        <v>677</v>
      </c>
      <c r="AA173" s="158">
        <v>2021</v>
      </c>
      <c r="AB173" s="158">
        <v>8</v>
      </c>
      <c r="AC173" s="158">
        <v>28</v>
      </c>
      <c r="AD173" s="122" t="b">
        <f>IF(ISBLANK(GroupMember[[#This Row],[1. Identifiant interne d’exploitation agricole*]]),"",IF(ISERROR(MATCH(GroupMember[[#This Row],[1. Identifiant interne d’exploitation agricole*]],CertifiedCrop[1. Identifiant interne d’exploitation agricole*],0)),FALSE,TRUE))</f>
        <v>1</v>
      </c>
      <c r="AE173" s="122" t="b">
        <f>IF(ISBLANK(GroupMember[[#This Row],[1. Identifiant interne d’exploitation agricole*]]),"",IF(ISERROR(MATCH(GroupMember[[#This Row],[1. Identifiant interne d’exploitation agricole*]],FarmUnit[1. Identifiant interne d’exploitation agricole*],0)),FALSE,TRUE))</f>
        <v>1</v>
      </c>
      <c r="AF173" s="9" t="str">
        <f t="shared" si="6"/>
        <v>GOMPOU  JUSTIN</v>
      </c>
      <c r="AG173" s="243" t="str">
        <f t="shared" si="7"/>
        <v>28/8/2021</v>
      </c>
      <c r="AH173" s="51">
        <f>COUNTIFS(Z:Z,Z173,AG:AG,AG173)</f>
        <v>4</v>
      </c>
      <c r="AI173" s="49">
        <f t="shared" si="8"/>
        <v>0</v>
      </c>
    </row>
    <row r="174" spans="1:35" ht="17.25" x14ac:dyDescent="0.2">
      <c r="A174" s="150" t="s">
        <v>1241</v>
      </c>
      <c r="B174" s="146" t="s">
        <v>668</v>
      </c>
      <c r="C174" s="150" t="s">
        <v>1241</v>
      </c>
      <c r="D174" s="147" t="s">
        <v>669</v>
      </c>
      <c r="E174" s="146" t="s">
        <v>670</v>
      </c>
      <c r="F174" s="146" t="s">
        <v>671</v>
      </c>
      <c r="G174" s="146" t="s">
        <v>672</v>
      </c>
      <c r="H174" s="148">
        <v>1.62</v>
      </c>
      <c r="I174" s="146" t="s">
        <v>673</v>
      </c>
      <c r="J174" s="149">
        <v>1</v>
      </c>
      <c r="K174" s="150">
        <v>2021</v>
      </c>
      <c r="L174" s="151" t="s">
        <v>795</v>
      </c>
      <c r="M174" s="151" t="s">
        <v>1242</v>
      </c>
      <c r="N174" s="172"/>
      <c r="O174" s="217" t="s">
        <v>3426</v>
      </c>
      <c r="P174" s="154" t="s">
        <v>676</v>
      </c>
      <c r="Q174" s="110">
        <v>1976</v>
      </c>
      <c r="R174" s="155">
        <v>6</v>
      </c>
      <c r="S174" s="146"/>
      <c r="T174" s="168"/>
      <c r="U174" s="146"/>
      <c r="V174" s="146"/>
      <c r="W174" s="146"/>
      <c r="X174" s="156">
        <v>0</v>
      </c>
      <c r="Y174" s="156">
        <v>0</v>
      </c>
      <c r="Z174" s="157" t="s">
        <v>677</v>
      </c>
      <c r="AA174" s="158">
        <v>2021</v>
      </c>
      <c r="AB174" s="158">
        <v>8</v>
      </c>
      <c r="AC174" s="158">
        <v>28</v>
      </c>
      <c r="AD174" s="122" t="b">
        <f>IF(ISBLANK(GroupMember[[#This Row],[1. Identifiant interne d’exploitation agricole*]]),"",IF(ISERROR(MATCH(GroupMember[[#This Row],[1. Identifiant interne d’exploitation agricole*]],CertifiedCrop[1. Identifiant interne d’exploitation agricole*],0)),FALSE,TRUE))</f>
        <v>1</v>
      </c>
      <c r="AE174" s="122" t="b">
        <f>IF(ISBLANK(GroupMember[[#This Row],[1. Identifiant interne d’exploitation agricole*]]),"",IF(ISERROR(MATCH(GroupMember[[#This Row],[1. Identifiant interne d’exploitation agricole*]],FarmUnit[1. Identifiant interne d’exploitation agricole*],0)),FALSE,TRUE))</f>
        <v>1</v>
      </c>
      <c r="AF174" s="9" t="str">
        <f t="shared" si="6"/>
        <v>GOMPOU  JORGES</v>
      </c>
      <c r="AG174" s="243" t="str">
        <f t="shared" si="7"/>
        <v>28/8/2021</v>
      </c>
      <c r="AH174" s="51">
        <f>COUNTIFS(Z:Z,Z174,AG:AG,AG174)</f>
        <v>4</v>
      </c>
      <c r="AI174" s="49">
        <f t="shared" si="8"/>
        <v>0</v>
      </c>
    </row>
    <row r="175" spans="1:35" ht="15" x14ac:dyDescent="0.2">
      <c r="A175" s="150" t="s">
        <v>1243</v>
      </c>
      <c r="B175" s="146" t="s">
        <v>668</v>
      </c>
      <c r="C175" s="150" t="s">
        <v>1243</v>
      </c>
      <c r="D175" s="147" t="s">
        <v>669</v>
      </c>
      <c r="E175" s="146" t="s">
        <v>670</v>
      </c>
      <c r="F175" s="146" t="s">
        <v>671</v>
      </c>
      <c r="G175" s="146" t="s">
        <v>672</v>
      </c>
      <c r="H175" s="148">
        <v>1.63</v>
      </c>
      <c r="I175" s="146" t="s">
        <v>673</v>
      </c>
      <c r="J175" s="149">
        <v>1</v>
      </c>
      <c r="K175" s="150">
        <v>2021</v>
      </c>
      <c r="L175" s="151" t="s">
        <v>925</v>
      </c>
      <c r="M175" s="151" t="s">
        <v>1244</v>
      </c>
      <c r="N175" s="172"/>
      <c r="O175" s="217" t="s">
        <v>3427</v>
      </c>
      <c r="P175" s="154" t="s">
        <v>676</v>
      </c>
      <c r="Q175" s="110">
        <v>1982</v>
      </c>
      <c r="R175" s="155">
        <v>5</v>
      </c>
      <c r="S175" s="146"/>
      <c r="T175" s="168"/>
      <c r="U175" s="146"/>
      <c r="V175" s="146"/>
      <c r="W175" s="146"/>
      <c r="X175" s="156">
        <v>0</v>
      </c>
      <c r="Y175" s="156">
        <v>0</v>
      </c>
      <c r="Z175" s="157" t="s">
        <v>677</v>
      </c>
      <c r="AA175" s="158">
        <v>2021</v>
      </c>
      <c r="AB175" s="158">
        <v>8</v>
      </c>
      <c r="AC175" s="158">
        <v>30</v>
      </c>
      <c r="AD175" s="122" t="b">
        <f>IF(ISBLANK(GroupMember[[#This Row],[1. Identifiant interne d’exploitation agricole*]]),"",IF(ISERROR(MATCH(GroupMember[[#This Row],[1. Identifiant interne d’exploitation agricole*]],CertifiedCrop[1. Identifiant interne d’exploitation agricole*],0)),FALSE,TRUE))</f>
        <v>1</v>
      </c>
      <c r="AE175" s="122" t="b">
        <f>IF(ISBLANK(GroupMember[[#This Row],[1. Identifiant interne d’exploitation agricole*]]),"",IF(ISERROR(MATCH(GroupMember[[#This Row],[1. Identifiant interne d’exploitation agricole*]],FarmUnit[1. Identifiant interne d’exploitation agricole*],0)),FALSE,TRUE))</f>
        <v>1</v>
      </c>
      <c r="AF175" s="9" t="str">
        <f t="shared" si="6"/>
        <v>KPAN  SERGES</v>
      </c>
      <c r="AG175" s="243" t="str">
        <f t="shared" si="7"/>
        <v>30/8/2021</v>
      </c>
      <c r="AH175" s="51">
        <f>COUNTIFS(Z:Z,Z175,AG:AG,AG175)</f>
        <v>1</v>
      </c>
      <c r="AI175" s="49">
        <f t="shared" si="8"/>
        <v>0</v>
      </c>
    </row>
    <row r="176" spans="1:35" ht="15" x14ac:dyDescent="0.2">
      <c r="A176" s="150" t="s">
        <v>1245</v>
      </c>
      <c r="B176" s="146" t="s">
        <v>668</v>
      </c>
      <c r="C176" s="150" t="s">
        <v>1245</v>
      </c>
      <c r="D176" s="147" t="s">
        <v>669</v>
      </c>
      <c r="E176" s="146" t="s">
        <v>670</v>
      </c>
      <c r="F176" s="146" t="s">
        <v>671</v>
      </c>
      <c r="G176" s="146" t="s">
        <v>672</v>
      </c>
      <c r="H176" s="148">
        <v>2</v>
      </c>
      <c r="I176" s="146" t="s">
        <v>673</v>
      </c>
      <c r="J176" s="149">
        <v>1</v>
      </c>
      <c r="K176" s="150">
        <v>2021</v>
      </c>
      <c r="L176" s="151" t="s">
        <v>925</v>
      </c>
      <c r="M176" s="151" t="s">
        <v>1246</v>
      </c>
      <c r="N176" s="172"/>
      <c r="O176" s="217" t="s">
        <v>3428</v>
      </c>
      <c r="P176" s="154" t="s">
        <v>676</v>
      </c>
      <c r="Q176" s="110">
        <v>1973</v>
      </c>
      <c r="R176" s="155">
        <v>8</v>
      </c>
      <c r="S176" s="146"/>
      <c r="T176" s="168"/>
      <c r="U176" s="146"/>
      <c r="V176" s="146"/>
      <c r="W176" s="146"/>
      <c r="X176" s="156">
        <v>0</v>
      </c>
      <c r="Y176" s="156">
        <v>0</v>
      </c>
      <c r="Z176" s="157" t="s">
        <v>677</v>
      </c>
      <c r="AA176" s="158">
        <v>2021</v>
      </c>
      <c r="AB176" s="158">
        <v>8</v>
      </c>
      <c r="AC176" s="158">
        <v>26</v>
      </c>
      <c r="AD176" s="122" t="b">
        <f>IF(ISBLANK(GroupMember[[#This Row],[1. Identifiant interne d’exploitation agricole*]]),"",IF(ISERROR(MATCH(GroupMember[[#This Row],[1. Identifiant interne d’exploitation agricole*]],CertifiedCrop[1. Identifiant interne d’exploitation agricole*],0)),FALSE,TRUE))</f>
        <v>1</v>
      </c>
      <c r="AE176" s="122" t="b">
        <f>IF(ISBLANK(GroupMember[[#This Row],[1. Identifiant interne d’exploitation agricole*]]),"",IF(ISERROR(MATCH(GroupMember[[#This Row],[1. Identifiant interne d’exploitation agricole*]],FarmUnit[1. Identifiant interne d’exploitation agricole*],0)),FALSE,TRUE))</f>
        <v>1</v>
      </c>
      <c r="AF176" s="9" t="str">
        <f t="shared" si="6"/>
        <v>KPAN CYRIL 1</v>
      </c>
      <c r="AG176" s="243" t="str">
        <f t="shared" si="7"/>
        <v>26/8/2021</v>
      </c>
      <c r="AH176" s="51">
        <f>COUNTIFS(Z:Z,Z176,AG:AG,AG176)</f>
        <v>3</v>
      </c>
      <c r="AI176" s="49">
        <f t="shared" si="8"/>
        <v>0</v>
      </c>
    </row>
    <row r="177" spans="1:35" ht="15" x14ac:dyDescent="0.2">
      <c r="A177" s="150" t="s">
        <v>1247</v>
      </c>
      <c r="B177" s="146" t="s">
        <v>668</v>
      </c>
      <c r="C177" s="150" t="s">
        <v>1247</v>
      </c>
      <c r="D177" s="147" t="s">
        <v>669</v>
      </c>
      <c r="E177" s="146" t="s">
        <v>670</v>
      </c>
      <c r="F177" s="146" t="s">
        <v>671</v>
      </c>
      <c r="G177" s="146" t="s">
        <v>672</v>
      </c>
      <c r="H177" s="148">
        <v>1.51</v>
      </c>
      <c r="I177" s="146" t="s">
        <v>673</v>
      </c>
      <c r="J177" s="149">
        <v>1</v>
      </c>
      <c r="K177" s="150">
        <v>2021</v>
      </c>
      <c r="L177" s="151" t="s">
        <v>795</v>
      </c>
      <c r="M177" s="151" t="s">
        <v>1248</v>
      </c>
      <c r="N177" s="172"/>
      <c r="O177" s="217" t="s">
        <v>3429</v>
      </c>
      <c r="P177" s="154" t="s">
        <v>676</v>
      </c>
      <c r="Q177" s="110">
        <v>1985</v>
      </c>
      <c r="R177" s="155">
        <v>5</v>
      </c>
      <c r="S177" s="146"/>
      <c r="T177" s="168"/>
      <c r="U177" s="146"/>
      <c r="V177" s="146"/>
      <c r="W177" s="146"/>
      <c r="X177" s="156">
        <v>0</v>
      </c>
      <c r="Y177" s="156">
        <v>0</v>
      </c>
      <c r="Z177" s="157" t="s">
        <v>677</v>
      </c>
      <c r="AA177" s="158">
        <v>2021</v>
      </c>
      <c r="AB177" s="158">
        <v>7</v>
      </c>
      <c r="AC177" s="158">
        <v>9</v>
      </c>
      <c r="AD177" s="122" t="b">
        <f>IF(ISBLANK(GroupMember[[#This Row],[1. Identifiant interne d’exploitation agricole*]]),"",IF(ISERROR(MATCH(GroupMember[[#This Row],[1. Identifiant interne d’exploitation agricole*]],CertifiedCrop[1. Identifiant interne d’exploitation agricole*],0)),FALSE,TRUE))</f>
        <v>1</v>
      </c>
      <c r="AE177" s="122" t="b">
        <f>IF(ISBLANK(GroupMember[[#This Row],[1. Identifiant interne d’exploitation agricole*]]),"",IF(ISERROR(MATCH(GroupMember[[#This Row],[1. Identifiant interne d’exploitation agricole*]],FarmUnit[1. Identifiant interne d’exploitation agricole*],0)),FALSE,TRUE))</f>
        <v>1</v>
      </c>
      <c r="AF177" s="9" t="str">
        <f t="shared" si="6"/>
        <v>GOMPOU  FIRMIN</v>
      </c>
      <c r="AG177" s="243" t="str">
        <f t="shared" si="7"/>
        <v>9/7/2021</v>
      </c>
      <c r="AH177" s="51">
        <f>COUNTIFS(Z:Z,Z177,AG:AG,AG177)</f>
        <v>4</v>
      </c>
      <c r="AI177" s="49">
        <f t="shared" si="8"/>
        <v>0</v>
      </c>
    </row>
    <row r="178" spans="1:35" ht="15" x14ac:dyDescent="0.2">
      <c r="A178" s="150" t="s">
        <v>1249</v>
      </c>
      <c r="B178" s="146" t="s">
        <v>668</v>
      </c>
      <c r="C178" s="150" t="s">
        <v>1249</v>
      </c>
      <c r="D178" s="147" t="s">
        <v>669</v>
      </c>
      <c r="E178" s="146" t="s">
        <v>670</v>
      </c>
      <c r="F178" s="146" t="s">
        <v>671</v>
      </c>
      <c r="G178" s="146" t="s">
        <v>672</v>
      </c>
      <c r="H178" s="148">
        <v>6.22</v>
      </c>
      <c r="I178" s="146" t="s">
        <v>673</v>
      </c>
      <c r="J178" s="149">
        <v>3</v>
      </c>
      <c r="K178" s="150">
        <v>2021</v>
      </c>
      <c r="L178" s="151" t="s">
        <v>1223</v>
      </c>
      <c r="M178" s="151" t="s">
        <v>1250</v>
      </c>
      <c r="N178" s="173" t="s">
        <v>1251</v>
      </c>
      <c r="O178" s="217" t="s">
        <v>3430</v>
      </c>
      <c r="P178" s="154" t="s">
        <v>676</v>
      </c>
      <c r="Q178" s="110">
        <v>1977</v>
      </c>
      <c r="R178" s="155">
        <v>4</v>
      </c>
      <c r="S178" s="146"/>
      <c r="T178" s="168"/>
      <c r="U178" s="146"/>
      <c r="V178" s="146"/>
      <c r="W178" s="146"/>
      <c r="X178" s="156">
        <v>0</v>
      </c>
      <c r="Y178" s="156">
        <v>0</v>
      </c>
      <c r="Z178" s="157" t="s">
        <v>677</v>
      </c>
      <c r="AA178" s="158">
        <v>2021</v>
      </c>
      <c r="AB178" s="158">
        <v>8</v>
      </c>
      <c r="AC178" s="158">
        <v>24</v>
      </c>
      <c r="AD178" s="122" t="b">
        <f>IF(ISBLANK(GroupMember[[#This Row],[1. Identifiant interne d’exploitation agricole*]]),"",IF(ISERROR(MATCH(GroupMember[[#This Row],[1. Identifiant interne d’exploitation agricole*]],CertifiedCrop[1. Identifiant interne d’exploitation agricole*],0)),FALSE,TRUE))</f>
        <v>1</v>
      </c>
      <c r="AE178" s="122" t="b">
        <f>IF(ISBLANK(GroupMember[[#This Row],[1. Identifiant interne d’exploitation agricole*]]),"",IF(ISERROR(MATCH(GroupMember[[#This Row],[1. Identifiant interne d’exploitation agricole*]],FarmUnit[1. Identifiant interne d’exploitation agricole*],0)),FALSE,TRUE))</f>
        <v>1</v>
      </c>
      <c r="AF178" s="9" t="str">
        <f t="shared" si="6"/>
        <v>KONKOBO  EDMOND</v>
      </c>
      <c r="AG178" s="243" t="str">
        <f t="shared" si="7"/>
        <v>24/8/2021</v>
      </c>
      <c r="AH178" s="51">
        <f>COUNTIFS(Z:Z,Z178,AG:AG,AG178)</f>
        <v>3</v>
      </c>
      <c r="AI178" s="49">
        <f t="shared" si="8"/>
        <v>0</v>
      </c>
    </row>
    <row r="179" spans="1:35" ht="15" x14ac:dyDescent="0.2">
      <c r="A179" s="150" t="s">
        <v>1252</v>
      </c>
      <c r="B179" s="146" t="s">
        <v>668</v>
      </c>
      <c r="C179" s="150" t="s">
        <v>1252</v>
      </c>
      <c r="D179" s="147" t="s">
        <v>669</v>
      </c>
      <c r="E179" s="146" t="s">
        <v>670</v>
      </c>
      <c r="F179" s="146" t="s">
        <v>671</v>
      </c>
      <c r="G179" s="146" t="s">
        <v>672</v>
      </c>
      <c r="H179" s="148">
        <v>1.42</v>
      </c>
      <c r="I179" s="146" t="s">
        <v>673</v>
      </c>
      <c r="J179" s="149">
        <v>1</v>
      </c>
      <c r="K179" s="150">
        <v>2021</v>
      </c>
      <c r="L179" s="151" t="s">
        <v>1253</v>
      </c>
      <c r="M179" s="151" t="s">
        <v>1254</v>
      </c>
      <c r="N179" s="172"/>
      <c r="O179" s="217" t="s">
        <v>3431</v>
      </c>
      <c r="P179" s="154" t="s">
        <v>676</v>
      </c>
      <c r="Q179" s="110">
        <v>1981</v>
      </c>
      <c r="R179" s="155">
        <v>8</v>
      </c>
      <c r="S179" s="146"/>
      <c r="T179" s="168"/>
      <c r="U179" s="146"/>
      <c r="V179" s="146"/>
      <c r="W179" s="146"/>
      <c r="X179" s="156">
        <v>0</v>
      </c>
      <c r="Y179" s="156">
        <v>0</v>
      </c>
      <c r="Z179" s="157" t="s">
        <v>677</v>
      </c>
      <c r="AA179" s="158">
        <v>2021</v>
      </c>
      <c r="AB179" s="158">
        <v>7</v>
      </c>
      <c r="AC179" s="158">
        <v>17</v>
      </c>
      <c r="AD179" s="122" t="b">
        <f>IF(ISBLANK(GroupMember[[#This Row],[1. Identifiant interne d’exploitation agricole*]]),"",IF(ISERROR(MATCH(GroupMember[[#This Row],[1. Identifiant interne d’exploitation agricole*]],CertifiedCrop[1. Identifiant interne d’exploitation agricole*],0)),FALSE,TRUE))</f>
        <v>1</v>
      </c>
      <c r="AE179" s="122" t="b">
        <f>IF(ISBLANK(GroupMember[[#This Row],[1. Identifiant interne d’exploitation agricole*]]),"",IF(ISERROR(MATCH(GroupMember[[#This Row],[1. Identifiant interne d’exploitation agricole*]],FarmUnit[1. Identifiant interne d’exploitation agricole*],0)),FALSE,TRUE))</f>
        <v>1</v>
      </c>
      <c r="AF179" s="9" t="str">
        <f t="shared" ref="AF179:AF242" si="9">IFERROR(CONCATENATE(L179," ",M179),"")</f>
        <v>ZEMBA  ANTOINE</v>
      </c>
      <c r="AG179" s="243" t="str">
        <f t="shared" ref="AG179:AG242" si="10">CONCATENATE(AC179,"/",AB179,"/",AA179)</f>
        <v>17/7/2021</v>
      </c>
      <c r="AH179" s="51">
        <f>COUNTIFS(Z:Z,Z179,AG:AG,AG179)</f>
        <v>4</v>
      </c>
      <c r="AI179" s="49">
        <f t="shared" ref="AI179:AI242" si="11">IF((X179+Y179/12)&lt;0,"",(X179+Y179/12))</f>
        <v>0</v>
      </c>
    </row>
    <row r="180" spans="1:35" ht="15" x14ac:dyDescent="0.2">
      <c r="A180" s="150" t="s">
        <v>1255</v>
      </c>
      <c r="B180" s="146" t="s">
        <v>668</v>
      </c>
      <c r="C180" s="150" t="s">
        <v>1255</v>
      </c>
      <c r="D180" s="147" t="s">
        <v>669</v>
      </c>
      <c r="E180" s="146" t="s">
        <v>670</v>
      </c>
      <c r="F180" s="146" t="s">
        <v>671</v>
      </c>
      <c r="G180" s="146" t="s">
        <v>672</v>
      </c>
      <c r="H180" s="148">
        <v>1.89</v>
      </c>
      <c r="I180" s="146" t="s">
        <v>673</v>
      </c>
      <c r="J180" s="149">
        <v>1</v>
      </c>
      <c r="K180" s="150">
        <v>2021</v>
      </c>
      <c r="L180" s="151" t="s">
        <v>1256</v>
      </c>
      <c r="M180" s="151" t="s">
        <v>1257</v>
      </c>
      <c r="N180" s="172"/>
      <c r="O180" s="217" t="s">
        <v>3432</v>
      </c>
      <c r="P180" s="154" t="s">
        <v>676</v>
      </c>
      <c r="Q180" s="110">
        <v>1990</v>
      </c>
      <c r="R180" s="155">
        <v>6</v>
      </c>
      <c r="S180" s="146"/>
      <c r="T180" s="168"/>
      <c r="U180" s="146"/>
      <c r="V180" s="146"/>
      <c r="W180" s="146"/>
      <c r="X180" s="156">
        <v>0</v>
      </c>
      <c r="Y180" s="156">
        <v>0</v>
      </c>
      <c r="Z180" s="157" t="s">
        <v>677</v>
      </c>
      <c r="AA180" s="158">
        <v>2021</v>
      </c>
      <c r="AB180" s="158">
        <v>8</v>
      </c>
      <c r="AC180" s="158">
        <v>27</v>
      </c>
      <c r="AD180" s="122" t="b">
        <f>IF(ISBLANK(GroupMember[[#This Row],[1. Identifiant interne d’exploitation agricole*]]),"",IF(ISERROR(MATCH(GroupMember[[#This Row],[1. Identifiant interne d’exploitation agricole*]],CertifiedCrop[1. Identifiant interne d’exploitation agricole*],0)),FALSE,TRUE))</f>
        <v>1</v>
      </c>
      <c r="AE180" s="122" t="b">
        <f>IF(ISBLANK(GroupMember[[#This Row],[1. Identifiant interne d’exploitation agricole*]]),"",IF(ISERROR(MATCH(GroupMember[[#This Row],[1. Identifiant interne d’exploitation agricole*]],FarmUnit[1. Identifiant interne d’exploitation agricole*],0)),FALSE,TRUE))</f>
        <v>1</v>
      </c>
      <c r="AF180" s="9" t="str">
        <f t="shared" si="9"/>
        <v>ZOYA  OLIVIER</v>
      </c>
      <c r="AG180" s="243" t="str">
        <f t="shared" si="10"/>
        <v>27/8/2021</v>
      </c>
      <c r="AH180" s="51">
        <f>COUNTIFS(Z:Z,Z180,AG:AG,AG180)</f>
        <v>4</v>
      </c>
      <c r="AI180" s="49">
        <f t="shared" si="11"/>
        <v>0</v>
      </c>
    </row>
    <row r="181" spans="1:35" ht="15" x14ac:dyDescent="0.2">
      <c r="A181" s="150" t="s">
        <v>1258</v>
      </c>
      <c r="B181" s="146" t="s">
        <v>668</v>
      </c>
      <c r="C181" s="150" t="s">
        <v>1258</v>
      </c>
      <c r="D181" s="147" t="s">
        <v>669</v>
      </c>
      <c r="E181" s="146" t="s">
        <v>670</v>
      </c>
      <c r="F181" s="146" t="s">
        <v>671</v>
      </c>
      <c r="G181" s="146" t="s">
        <v>672</v>
      </c>
      <c r="H181" s="148">
        <v>1.68</v>
      </c>
      <c r="I181" s="146" t="s">
        <v>673</v>
      </c>
      <c r="J181" s="149">
        <v>1</v>
      </c>
      <c r="K181" s="150">
        <v>2021</v>
      </c>
      <c r="L181" s="151" t="s">
        <v>1256</v>
      </c>
      <c r="M181" s="151" t="s">
        <v>1259</v>
      </c>
      <c r="N181" s="172"/>
      <c r="O181" s="217" t="s">
        <v>3433</v>
      </c>
      <c r="P181" s="154" t="s">
        <v>676</v>
      </c>
      <c r="Q181" s="110">
        <v>1989</v>
      </c>
      <c r="R181" s="155">
        <v>8</v>
      </c>
      <c r="S181" s="146"/>
      <c r="T181" s="168"/>
      <c r="U181" s="146"/>
      <c r="V181" s="146"/>
      <c r="W181" s="146"/>
      <c r="X181" s="156">
        <v>0</v>
      </c>
      <c r="Y181" s="156">
        <v>0</v>
      </c>
      <c r="Z181" s="157" t="s">
        <v>677</v>
      </c>
      <c r="AA181" s="158">
        <v>2021</v>
      </c>
      <c r="AB181" s="158">
        <v>8</v>
      </c>
      <c r="AC181" s="158">
        <v>26</v>
      </c>
      <c r="AD181" s="122" t="b">
        <f>IF(ISBLANK(GroupMember[[#This Row],[1. Identifiant interne d’exploitation agricole*]]),"",IF(ISERROR(MATCH(GroupMember[[#This Row],[1. Identifiant interne d’exploitation agricole*]],CertifiedCrop[1. Identifiant interne d’exploitation agricole*],0)),FALSE,TRUE))</f>
        <v>1</v>
      </c>
      <c r="AE181" s="122" t="b">
        <f>IF(ISBLANK(GroupMember[[#This Row],[1. Identifiant interne d’exploitation agricole*]]),"",IF(ISERROR(MATCH(GroupMember[[#This Row],[1. Identifiant interne d’exploitation agricole*]],FarmUnit[1. Identifiant interne d’exploitation agricole*],0)),FALSE,TRUE))</f>
        <v>1</v>
      </c>
      <c r="AF181" s="9" t="str">
        <f t="shared" si="9"/>
        <v>ZOYA  JOCELIN</v>
      </c>
      <c r="AG181" s="243" t="str">
        <f t="shared" si="10"/>
        <v>26/8/2021</v>
      </c>
      <c r="AH181" s="51">
        <f>COUNTIFS(Z:Z,Z181,AG:AG,AG181)</f>
        <v>3</v>
      </c>
      <c r="AI181" s="49">
        <f t="shared" si="11"/>
        <v>0</v>
      </c>
    </row>
    <row r="182" spans="1:35" ht="15" x14ac:dyDescent="0.2">
      <c r="A182" s="150" t="s">
        <v>1260</v>
      </c>
      <c r="B182" s="146" t="s">
        <v>668</v>
      </c>
      <c r="C182" s="150" t="s">
        <v>1260</v>
      </c>
      <c r="D182" s="147" t="s">
        <v>669</v>
      </c>
      <c r="E182" s="146" t="s">
        <v>670</v>
      </c>
      <c r="F182" s="146" t="s">
        <v>671</v>
      </c>
      <c r="G182" s="146" t="s">
        <v>672</v>
      </c>
      <c r="H182" s="148">
        <v>1.1200000000000001</v>
      </c>
      <c r="I182" s="146" t="s">
        <v>673</v>
      </c>
      <c r="J182" s="149">
        <v>1</v>
      </c>
      <c r="K182" s="150">
        <v>2021</v>
      </c>
      <c r="L182" s="151" t="s">
        <v>1261</v>
      </c>
      <c r="M182" s="151" t="s">
        <v>1262</v>
      </c>
      <c r="N182" s="172"/>
      <c r="O182" s="217" t="s">
        <v>3434</v>
      </c>
      <c r="P182" s="154" t="s">
        <v>676</v>
      </c>
      <c r="Q182" s="110">
        <v>1979</v>
      </c>
      <c r="R182" s="155">
        <v>7</v>
      </c>
      <c r="S182" s="146"/>
      <c r="T182" s="168"/>
      <c r="U182" s="146"/>
      <c r="V182" s="146"/>
      <c r="W182" s="146"/>
      <c r="X182" s="156">
        <v>0</v>
      </c>
      <c r="Y182" s="156">
        <v>0</v>
      </c>
      <c r="Z182" s="157" t="s">
        <v>677</v>
      </c>
      <c r="AA182" s="158">
        <v>2021</v>
      </c>
      <c r="AB182" s="158">
        <v>8</v>
      </c>
      <c r="AC182" s="158">
        <v>24</v>
      </c>
      <c r="AD182" s="122" t="b">
        <f>IF(ISBLANK(GroupMember[[#This Row],[1. Identifiant interne d’exploitation agricole*]]),"",IF(ISERROR(MATCH(GroupMember[[#This Row],[1. Identifiant interne d’exploitation agricole*]],CertifiedCrop[1. Identifiant interne d’exploitation agricole*],0)),FALSE,TRUE))</f>
        <v>1</v>
      </c>
      <c r="AE182" s="122" t="b">
        <f>IF(ISBLANK(GroupMember[[#This Row],[1. Identifiant interne d’exploitation agricole*]]),"",IF(ISERROR(MATCH(GroupMember[[#This Row],[1. Identifiant interne d’exploitation agricole*]],FarmUnit[1. Identifiant interne d’exploitation agricole*],0)),FALSE,TRUE))</f>
        <v>1</v>
      </c>
      <c r="AF182" s="9" t="str">
        <f t="shared" si="9"/>
        <v>KEHOUA  AKALE MARIUS</v>
      </c>
      <c r="AG182" s="243" t="str">
        <f t="shared" si="10"/>
        <v>24/8/2021</v>
      </c>
      <c r="AH182" s="51">
        <f>COUNTIFS(Z:Z,Z182,AG:AG,AG182)</f>
        <v>3</v>
      </c>
      <c r="AI182" s="49">
        <f t="shared" si="11"/>
        <v>0</v>
      </c>
    </row>
    <row r="183" spans="1:35" ht="15" x14ac:dyDescent="0.2">
      <c r="A183" s="150" t="s">
        <v>1263</v>
      </c>
      <c r="B183" s="146" t="s">
        <v>668</v>
      </c>
      <c r="C183" s="150" t="s">
        <v>1263</v>
      </c>
      <c r="D183" s="147" t="s">
        <v>669</v>
      </c>
      <c r="E183" s="146" t="s">
        <v>670</v>
      </c>
      <c r="F183" s="146" t="s">
        <v>671</v>
      </c>
      <c r="G183" s="146" t="s">
        <v>672</v>
      </c>
      <c r="H183" s="148">
        <v>1.57</v>
      </c>
      <c r="I183" s="146" t="s">
        <v>673</v>
      </c>
      <c r="J183" s="149">
        <v>1</v>
      </c>
      <c r="K183" s="150">
        <v>2021</v>
      </c>
      <c r="L183" s="151" t="s">
        <v>1261</v>
      </c>
      <c r="M183" s="151" t="s">
        <v>1264</v>
      </c>
      <c r="N183" s="172"/>
      <c r="O183" s="217" t="s">
        <v>3435</v>
      </c>
      <c r="P183" s="154" t="s">
        <v>676</v>
      </c>
      <c r="Q183" s="110">
        <v>1983</v>
      </c>
      <c r="R183" s="155">
        <v>4</v>
      </c>
      <c r="S183" s="146"/>
      <c r="T183" s="168"/>
      <c r="U183" s="146"/>
      <c r="V183" s="146"/>
      <c r="W183" s="146"/>
      <c r="X183" s="156">
        <v>0</v>
      </c>
      <c r="Y183" s="156">
        <v>0</v>
      </c>
      <c r="Z183" s="157" t="s">
        <v>677</v>
      </c>
      <c r="AA183" s="158">
        <v>2021</v>
      </c>
      <c r="AB183" s="158">
        <v>7</v>
      </c>
      <c r="AC183" s="158">
        <v>19</v>
      </c>
      <c r="AD183" s="122" t="b">
        <f>IF(ISBLANK(GroupMember[[#This Row],[1. Identifiant interne d’exploitation agricole*]]),"",IF(ISERROR(MATCH(GroupMember[[#This Row],[1. Identifiant interne d’exploitation agricole*]],CertifiedCrop[1. Identifiant interne d’exploitation agricole*],0)),FALSE,TRUE))</f>
        <v>1</v>
      </c>
      <c r="AE183" s="122" t="b">
        <f>IF(ISBLANK(GroupMember[[#This Row],[1. Identifiant interne d’exploitation agricole*]]),"",IF(ISERROR(MATCH(GroupMember[[#This Row],[1. Identifiant interne d’exploitation agricole*]],FarmUnit[1. Identifiant interne d’exploitation agricole*],0)),FALSE,TRUE))</f>
        <v>1</v>
      </c>
      <c r="AF183" s="9" t="str">
        <f t="shared" si="9"/>
        <v>KEHOUA  PIERRE</v>
      </c>
      <c r="AG183" s="243" t="str">
        <f t="shared" si="10"/>
        <v>19/7/2021</v>
      </c>
      <c r="AH183" s="51">
        <f>COUNTIFS(Z:Z,Z183,AG:AG,AG183)</f>
        <v>4</v>
      </c>
      <c r="AI183" s="49">
        <f t="shared" si="11"/>
        <v>0</v>
      </c>
    </row>
    <row r="184" spans="1:35" ht="15" x14ac:dyDescent="0.2">
      <c r="A184" s="150" t="s">
        <v>1265</v>
      </c>
      <c r="B184" s="146" t="s">
        <v>668</v>
      </c>
      <c r="C184" s="150" t="s">
        <v>1265</v>
      </c>
      <c r="D184" s="147" t="s">
        <v>669</v>
      </c>
      <c r="E184" s="146" t="s">
        <v>670</v>
      </c>
      <c r="F184" s="146" t="s">
        <v>671</v>
      </c>
      <c r="G184" s="146" t="s">
        <v>672</v>
      </c>
      <c r="H184" s="148">
        <v>1.31</v>
      </c>
      <c r="I184" s="146" t="s">
        <v>673</v>
      </c>
      <c r="J184" s="149">
        <v>1</v>
      </c>
      <c r="K184" s="150">
        <v>2021</v>
      </c>
      <c r="L184" s="151" t="s">
        <v>1261</v>
      </c>
      <c r="M184" s="151" t="s">
        <v>1266</v>
      </c>
      <c r="N184" s="172"/>
      <c r="O184" s="217" t="s">
        <v>3436</v>
      </c>
      <c r="P184" s="154" t="s">
        <v>676</v>
      </c>
      <c r="Q184" s="110">
        <v>1978</v>
      </c>
      <c r="R184" s="155">
        <v>5</v>
      </c>
      <c r="S184" s="146"/>
      <c r="T184" s="168"/>
      <c r="U184" s="146"/>
      <c r="V184" s="146"/>
      <c r="W184" s="146"/>
      <c r="X184" s="156">
        <v>0</v>
      </c>
      <c r="Y184" s="156">
        <v>0</v>
      </c>
      <c r="Z184" s="157" t="s">
        <v>677</v>
      </c>
      <c r="AA184" s="158">
        <v>2021</v>
      </c>
      <c r="AB184" s="158">
        <v>7</v>
      </c>
      <c r="AC184" s="158">
        <v>9</v>
      </c>
      <c r="AD184" s="122" t="b">
        <f>IF(ISBLANK(GroupMember[[#This Row],[1. Identifiant interne d’exploitation agricole*]]),"",IF(ISERROR(MATCH(GroupMember[[#This Row],[1. Identifiant interne d’exploitation agricole*]],CertifiedCrop[1. Identifiant interne d’exploitation agricole*],0)),FALSE,TRUE))</f>
        <v>1</v>
      </c>
      <c r="AE184" s="122" t="b">
        <f>IF(ISBLANK(GroupMember[[#This Row],[1. Identifiant interne d’exploitation agricole*]]),"",IF(ISERROR(MATCH(GroupMember[[#This Row],[1. Identifiant interne d’exploitation agricole*]],FarmUnit[1. Identifiant interne d’exploitation agricole*],0)),FALSE,TRUE))</f>
        <v>1</v>
      </c>
      <c r="AF184" s="9" t="str">
        <f t="shared" si="9"/>
        <v>KEHOUA  ARSENE</v>
      </c>
      <c r="AG184" s="243" t="str">
        <f t="shared" si="10"/>
        <v>9/7/2021</v>
      </c>
      <c r="AH184" s="51">
        <f>COUNTIFS(Z:Z,Z184,AG:AG,AG184)</f>
        <v>4</v>
      </c>
      <c r="AI184" s="49">
        <f t="shared" si="11"/>
        <v>0</v>
      </c>
    </row>
    <row r="185" spans="1:35" ht="15" x14ac:dyDescent="0.2">
      <c r="A185" s="150" t="s">
        <v>1267</v>
      </c>
      <c r="B185" s="146" t="s">
        <v>668</v>
      </c>
      <c r="C185" s="150" t="s">
        <v>1267</v>
      </c>
      <c r="D185" s="147" t="s">
        <v>669</v>
      </c>
      <c r="E185" s="146" t="s">
        <v>670</v>
      </c>
      <c r="F185" s="146" t="s">
        <v>671</v>
      </c>
      <c r="G185" s="146" t="s">
        <v>672</v>
      </c>
      <c r="H185" s="148">
        <v>1.73</v>
      </c>
      <c r="I185" s="146" t="s">
        <v>673</v>
      </c>
      <c r="J185" s="149">
        <v>1</v>
      </c>
      <c r="K185" s="150">
        <v>2021</v>
      </c>
      <c r="L185" s="151" t="s">
        <v>1261</v>
      </c>
      <c r="M185" s="151" t="s">
        <v>1268</v>
      </c>
      <c r="N185" s="172"/>
      <c r="O185" s="217" t="s">
        <v>3437</v>
      </c>
      <c r="P185" s="154" t="s">
        <v>676</v>
      </c>
      <c r="Q185" s="110">
        <v>1992</v>
      </c>
      <c r="R185" s="155">
        <v>4</v>
      </c>
      <c r="S185" s="146"/>
      <c r="T185" s="168"/>
      <c r="U185" s="146"/>
      <c r="V185" s="146"/>
      <c r="W185" s="146"/>
      <c r="X185" s="156">
        <v>0</v>
      </c>
      <c r="Y185" s="156">
        <v>0</v>
      </c>
      <c r="Z185" s="157" t="s">
        <v>677</v>
      </c>
      <c r="AA185" s="158">
        <v>2021</v>
      </c>
      <c r="AB185" s="158">
        <v>7</v>
      </c>
      <c r="AC185" s="158">
        <v>19</v>
      </c>
      <c r="AD185" s="122" t="b">
        <f>IF(ISBLANK(GroupMember[[#This Row],[1. Identifiant interne d’exploitation agricole*]]),"",IF(ISERROR(MATCH(GroupMember[[#This Row],[1. Identifiant interne d’exploitation agricole*]],CertifiedCrop[1. Identifiant interne d’exploitation agricole*],0)),FALSE,TRUE))</f>
        <v>1</v>
      </c>
      <c r="AE185" s="122" t="b">
        <f>IF(ISBLANK(GroupMember[[#This Row],[1. Identifiant interne d’exploitation agricole*]]),"",IF(ISERROR(MATCH(GroupMember[[#This Row],[1. Identifiant interne d’exploitation agricole*]],FarmUnit[1. Identifiant interne d’exploitation agricole*],0)),FALSE,TRUE))</f>
        <v>1</v>
      </c>
      <c r="AF185" s="9" t="str">
        <f t="shared" si="9"/>
        <v>KEHOUA  HERMANN</v>
      </c>
      <c r="AG185" s="243" t="str">
        <f t="shared" si="10"/>
        <v>19/7/2021</v>
      </c>
      <c r="AH185" s="51">
        <f>COUNTIFS(Z:Z,Z185,AG:AG,AG185)</f>
        <v>4</v>
      </c>
      <c r="AI185" s="49">
        <f t="shared" si="11"/>
        <v>0</v>
      </c>
    </row>
    <row r="186" spans="1:35" ht="15" x14ac:dyDescent="0.2">
      <c r="A186" s="150" t="s">
        <v>1269</v>
      </c>
      <c r="B186" s="146" t="s">
        <v>668</v>
      </c>
      <c r="C186" s="150" t="s">
        <v>1269</v>
      </c>
      <c r="D186" s="147" t="s">
        <v>669</v>
      </c>
      <c r="E186" s="146" t="s">
        <v>670</v>
      </c>
      <c r="F186" s="146" t="s">
        <v>671</v>
      </c>
      <c r="G186" s="146" t="s">
        <v>672</v>
      </c>
      <c r="H186" s="148">
        <v>2</v>
      </c>
      <c r="I186" s="146" t="s">
        <v>673</v>
      </c>
      <c r="J186" s="149">
        <v>1</v>
      </c>
      <c r="K186" s="150">
        <v>2021</v>
      </c>
      <c r="L186" s="151" t="s">
        <v>1256</v>
      </c>
      <c r="M186" s="151" t="s">
        <v>1270</v>
      </c>
      <c r="N186" s="172"/>
      <c r="O186" s="153"/>
      <c r="P186" s="154" t="s">
        <v>676</v>
      </c>
      <c r="Q186" s="154"/>
      <c r="R186" s="155">
        <v>7</v>
      </c>
      <c r="S186" s="146"/>
      <c r="T186" s="168"/>
      <c r="U186" s="146"/>
      <c r="V186" s="146"/>
      <c r="W186" s="146"/>
      <c r="X186" s="156">
        <v>0</v>
      </c>
      <c r="Y186" s="156">
        <v>0</v>
      </c>
      <c r="Z186" s="157" t="s">
        <v>677</v>
      </c>
      <c r="AA186" s="158">
        <v>2021</v>
      </c>
      <c r="AB186" s="158">
        <v>7</v>
      </c>
      <c r="AC186" s="158">
        <v>17</v>
      </c>
      <c r="AD186" s="122" t="b">
        <f>IF(ISBLANK(GroupMember[[#This Row],[1. Identifiant interne d’exploitation agricole*]]),"",IF(ISERROR(MATCH(GroupMember[[#This Row],[1. Identifiant interne d’exploitation agricole*]],CertifiedCrop[1. Identifiant interne d’exploitation agricole*],0)),FALSE,TRUE))</f>
        <v>1</v>
      </c>
      <c r="AE186" s="122" t="b">
        <f>IF(ISBLANK(GroupMember[[#This Row],[1. Identifiant interne d’exploitation agricole*]]),"",IF(ISERROR(MATCH(GroupMember[[#This Row],[1. Identifiant interne d’exploitation agricole*]],FarmUnit[1. Identifiant interne d’exploitation agricole*],0)),FALSE,TRUE))</f>
        <v>1</v>
      </c>
      <c r="AF186" s="9" t="str">
        <f t="shared" si="9"/>
        <v>ZOYA  EMILE</v>
      </c>
      <c r="AG186" s="243" t="str">
        <f t="shared" si="10"/>
        <v>17/7/2021</v>
      </c>
      <c r="AH186" s="51">
        <f>COUNTIFS(Z:Z,Z186,AG:AG,AG186)</f>
        <v>4</v>
      </c>
      <c r="AI186" s="49">
        <f t="shared" si="11"/>
        <v>0</v>
      </c>
    </row>
    <row r="187" spans="1:35" ht="15" x14ac:dyDescent="0.2">
      <c r="A187" s="150" t="s">
        <v>1271</v>
      </c>
      <c r="B187" s="146" t="s">
        <v>668</v>
      </c>
      <c r="C187" s="150" t="s">
        <v>1271</v>
      </c>
      <c r="D187" s="147" t="s">
        <v>669</v>
      </c>
      <c r="E187" s="146" t="s">
        <v>670</v>
      </c>
      <c r="F187" s="146" t="s">
        <v>671</v>
      </c>
      <c r="G187" s="146" t="s">
        <v>672</v>
      </c>
      <c r="H187" s="148">
        <v>1.59</v>
      </c>
      <c r="I187" s="146" t="s">
        <v>673</v>
      </c>
      <c r="J187" s="149">
        <v>1</v>
      </c>
      <c r="K187" s="150">
        <v>2021</v>
      </c>
      <c r="L187" s="151" t="s">
        <v>1272</v>
      </c>
      <c r="M187" s="151" t="s">
        <v>1273</v>
      </c>
      <c r="N187" s="172"/>
      <c r="O187" s="153"/>
      <c r="P187" s="154" t="s">
        <v>676</v>
      </c>
      <c r="Q187" s="154"/>
      <c r="R187" s="155">
        <v>8</v>
      </c>
      <c r="S187" s="146"/>
      <c r="T187" s="168"/>
      <c r="U187" s="146"/>
      <c r="V187" s="146"/>
      <c r="W187" s="146"/>
      <c r="X187" s="156">
        <v>0</v>
      </c>
      <c r="Y187" s="156">
        <v>0</v>
      </c>
      <c r="Z187" s="157" t="s">
        <v>677</v>
      </c>
      <c r="AA187" s="174">
        <v>2021</v>
      </c>
      <c r="AB187" s="174">
        <v>7</v>
      </c>
      <c r="AC187" s="174">
        <v>26</v>
      </c>
      <c r="AD187" s="122" t="b">
        <f>IF(ISBLANK(GroupMember[[#This Row],[1. Identifiant interne d’exploitation agricole*]]),"",IF(ISERROR(MATCH(GroupMember[[#This Row],[1. Identifiant interne d’exploitation agricole*]],CertifiedCrop[1. Identifiant interne d’exploitation agricole*],0)),FALSE,TRUE))</f>
        <v>1</v>
      </c>
      <c r="AE187" s="122" t="b">
        <f>IF(ISBLANK(GroupMember[[#This Row],[1. Identifiant interne d’exploitation agricole*]]),"",IF(ISERROR(MATCH(GroupMember[[#This Row],[1. Identifiant interne d’exploitation agricole*]],FarmUnit[1. Identifiant interne d’exploitation agricole*],0)),FALSE,TRUE))</f>
        <v>1</v>
      </c>
      <c r="AF187" s="9" t="str">
        <f t="shared" si="9"/>
        <v>GONZERE  HONORE</v>
      </c>
      <c r="AG187" s="243" t="str">
        <f t="shared" si="10"/>
        <v>26/7/2021</v>
      </c>
      <c r="AH187" s="51">
        <f>COUNTIFS(Z:Z,Z187,AG:AG,AG187)</f>
        <v>4</v>
      </c>
      <c r="AI187" s="49">
        <f t="shared" si="11"/>
        <v>0</v>
      </c>
    </row>
    <row r="188" spans="1:35" ht="15" x14ac:dyDescent="0.2">
      <c r="A188" s="150" t="s">
        <v>1274</v>
      </c>
      <c r="B188" s="146" t="s">
        <v>668</v>
      </c>
      <c r="C188" s="150" t="s">
        <v>1274</v>
      </c>
      <c r="D188" s="147" t="s">
        <v>669</v>
      </c>
      <c r="E188" s="146" t="s">
        <v>670</v>
      </c>
      <c r="F188" s="146" t="s">
        <v>671</v>
      </c>
      <c r="G188" s="146" t="s">
        <v>672</v>
      </c>
      <c r="H188" s="148">
        <v>1.18</v>
      </c>
      <c r="I188" s="146" t="s">
        <v>673</v>
      </c>
      <c r="J188" s="149">
        <v>1</v>
      </c>
      <c r="K188" s="150">
        <v>2021</v>
      </c>
      <c r="L188" s="151" t="s">
        <v>1272</v>
      </c>
      <c r="M188" s="151" t="s">
        <v>1275</v>
      </c>
      <c r="N188" s="172"/>
      <c r="O188" s="153"/>
      <c r="P188" s="154" t="s">
        <v>676</v>
      </c>
      <c r="Q188" s="154"/>
      <c r="R188" s="155">
        <v>5</v>
      </c>
      <c r="S188" s="146"/>
      <c r="T188" s="168"/>
      <c r="U188" s="146"/>
      <c r="V188" s="146"/>
      <c r="W188" s="146"/>
      <c r="X188" s="156">
        <v>0</v>
      </c>
      <c r="Y188" s="156">
        <v>0</v>
      </c>
      <c r="Z188" s="157" t="s">
        <v>677</v>
      </c>
      <c r="AA188" s="174">
        <v>2021</v>
      </c>
      <c r="AB188" s="175">
        <v>9</v>
      </c>
      <c r="AC188" s="175">
        <v>8</v>
      </c>
      <c r="AD188" s="122" t="b">
        <f>IF(ISBLANK(GroupMember[[#This Row],[1. Identifiant interne d’exploitation agricole*]]),"",IF(ISERROR(MATCH(GroupMember[[#This Row],[1. Identifiant interne d’exploitation agricole*]],CertifiedCrop[1. Identifiant interne d’exploitation agricole*],0)),FALSE,TRUE))</f>
        <v>1</v>
      </c>
      <c r="AE188" s="122" t="b">
        <f>IF(ISBLANK(GroupMember[[#This Row],[1. Identifiant interne d’exploitation agricole*]]),"",IF(ISERROR(MATCH(GroupMember[[#This Row],[1. Identifiant interne d’exploitation agricole*]],FarmUnit[1. Identifiant interne d’exploitation agricole*],0)),FALSE,TRUE))</f>
        <v>1</v>
      </c>
      <c r="AF188" s="9" t="str">
        <f t="shared" si="9"/>
        <v>GONZERE  YVES ANGE</v>
      </c>
      <c r="AG188" s="243" t="str">
        <f t="shared" si="10"/>
        <v>8/9/2021</v>
      </c>
      <c r="AH188" s="51">
        <f>COUNTIFS(Z:Z,Z188,AG:AG,AG188)</f>
        <v>5</v>
      </c>
      <c r="AI188" s="49">
        <f t="shared" si="11"/>
        <v>0</v>
      </c>
    </row>
    <row r="189" spans="1:35" ht="15" x14ac:dyDescent="0.2">
      <c r="A189" s="150" t="s">
        <v>1276</v>
      </c>
      <c r="B189" s="146" t="s">
        <v>668</v>
      </c>
      <c r="C189" s="150" t="s">
        <v>1276</v>
      </c>
      <c r="D189" s="147" t="s">
        <v>669</v>
      </c>
      <c r="E189" s="146" t="s">
        <v>670</v>
      </c>
      <c r="F189" s="146" t="s">
        <v>671</v>
      </c>
      <c r="G189" s="146" t="s">
        <v>672</v>
      </c>
      <c r="H189" s="148">
        <v>2.12</v>
      </c>
      <c r="I189" s="146" t="s">
        <v>673</v>
      </c>
      <c r="J189" s="149">
        <v>1</v>
      </c>
      <c r="K189" s="150">
        <v>2021</v>
      </c>
      <c r="L189" s="151" t="s">
        <v>1277</v>
      </c>
      <c r="M189" s="151" t="s">
        <v>1127</v>
      </c>
      <c r="N189" s="172"/>
      <c r="O189" s="153"/>
      <c r="P189" s="154" t="s">
        <v>676</v>
      </c>
      <c r="Q189" s="154"/>
      <c r="R189" s="155">
        <v>5</v>
      </c>
      <c r="S189" s="146"/>
      <c r="T189" s="168"/>
      <c r="U189" s="146"/>
      <c r="V189" s="146"/>
      <c r="W189" s="146"/>
      <c r="X189" s="156">
        <v>0</v>
      </c>
      <c r="Y189" s="156">
        <v>0</v>
      </c>
      <c r="Z189" s="157" t="s">
        <v>677</v>
      </c>
      <c r="AA189" s="174">
        <v>2021</v>
      </c>
      <c r="AB189" s="175">
        <v>9</v>
      </c>
      <c r="AC189" s="175">
        <v>18</v>
      </c>
      <c r="AD189" s="122" t="b">
        <f>IF(ISBLANK(GroupMember[[#This Row],[1. Identifiant interne d’exploitation agricole*]]),"",IF(ISERROR(MATCH(GroupMember[[#This Row],[1. Identifiant interne d’exploitation agricole*]],CertifiedCrop[1. Identifiant interne d’exploitation agricole*],0)),FALSE,TRUE))</f>
        <v>1</v>
      </c>
      <c r="AE189" s="122" t="b">
        <f>IF(ISBLANK(GroupMember[[#This Row],[1. Identifiant interne d’exploitation agricole*]]),"",IF(ISERROR(MATCH(GroupMember[[#This Row],[1. Identifiant interne d’exploitation agricole*]],FarmUnit[1. Identifiant interne d’exploitation agricole*],0)),FALSE,TRUE))</f>
        <v>1</v>
      </c>
      <c r="AF189" s="9" t="str">
        <f t="shared" si="9"/>
        <v>KAPEU  ERIC</v>
      </c>
      <c r="AG189" s="243" t="str">
        <f t="shared" si="10"/>
        <v>18/9/2021</v>
      </c>
      <c r="AH189" s="51">
        <f>COUNTIFS(Z:Z,Z189,AG:AG,AG189)</f>
        <v>4</v>
      </c>
      <c r="AI189" s="49">
        <f t="shared" si="11"/>
        <v>0</v>
      </c>
    </row>
    <row r="190" spans="1:35" ht="15" x14ac:dyDescent="0.2">
      <c r="A190" s="150" t="s">
        <v>1278</v>
      </c>
      <c r="B190" s="146" t="s">
        <v>668</v>
      </c>
      <c r="C190" s="150" t="s">
        <v>1278</v>
      </c>
      <c r="D190" s="147" t="s">
        <v>669</v>
      </c>
      <c r="E190" s="146" t="s">
        <v>670</v>
      </c>
      <c r="F190" s="146" t="s">
        <v>671</v>
      </c>
      <c r="G190" s="146" t="s">
        <v>672</v>
      </c>
      <c r="H190" s="148">
        <v>0.94</v>
      </c>
      <c r="I190" s="146" t="s">
        <v>673</v>
      </c>
      <c r="J190" s="149">
        <v>1</v>
      </c>
      <c r="K190" s="150">
        <v>2021</v>
      </c>
      <c r="L190" s="151" t="s">
        <v>1279</v>
      </c>
      <c r="M190" s="151" t="s">
        <v>1280</v>
      </c>
      <c r="N190" s="172"/>
      <c r="O190" s="153"/>
      <c r="P190" s="154" t="s">
        <v>676</v>
      </c>
      <c r="Q190" s="154"/>
      <c r="R190" s="155">
        <v>5</v>
      </c>
      <c r="S190" s="146"/>
      <c r="T190" s="168"/>
      <c r="U190" s="146"/>
      <c r="V190" s="146"/>
      <c r="W190" s="146"/>
      <c r="X190" s="156">
        <v>0</v>
      </c>
      <c r="Y190" s="156">
        <v>0</v>
      </c>
      <c r="Z190" s="157" t="s">
        <v>677</v>
      </c>
      <c r="AA190" s="174">
        <v>2021</v>
      </c>
      <c r="AB190" s="175">
        <v>9</v>
      </c>
      <c r="AC190" s="175">
        <v>3</v>
      </c>
      <c r="AD190" s="122" t="b">
        <f>IF(ISBLANK(GroupMember[[#This Row],[1. Identifiant interne d’exploitation agricole*]]),"",IF(ISERROR(MATCH(GroupMember[[#This Row],[1. Identifiant interne d’exploitation agricole*]],CertifiedCrop[1. Identifiant interne d’exploitation agricole*],0)),FALSE,TRUE))</f>
        <v>1</v>
      </c>
      <c r="AE190" s="122" t="b">
        <f>IF(ISBLANK(GroupMember[[#This Row],[1. Identifiant interne d’exploitation agricole*]]),"",IF(ISERROR(MATCH(GroupMember[[#This Row],[1. Identifiant interne d’exploitation agricole*]],FarmUnit[1. Identifiant interne d’exploitation agricole*],0)),FALSE,TRUE))</f>
        <v>1</v>
      </c>
      <c r="AF190" s="9" t="str">
        <f t="shared" si="9"/>
        <v>MIEMIAN LUC</v>
      </c>
      <c r="AG190" s="243" t="str">
        <f t="shared" si="10"/>
        <v>3/9/2021</v>
      </c>
      <c r="AH190" s="51">
        <f>COUNTIFS(Z:Z,Z190,AG:AG,AG190)</f>
        <v>5</v>
      </c>
      <c r="AI190" s="49">
        <f t="shared" si="11"/>
        <v>0</v>
      </c>
    </row>
    <row r="191" spans="1:35" ht="15" x14ac:dyDescent="0.2">
      <c r="A191" s="150" t="s">
        <v>1281</v>
      </c>
      <c r="B191" s="146" t="s">
        <v>668</v>
      </c>
      <c r="C191" s="150" t="s">
        <v>1281</v>
      </c>
      <c r="D191" s="147" t="s">
        <v>669</v>
      </c>
      <c r="E191" s="146" t="s">
        <v>670</v>
      </c>
      <c r="F191" s="146" t="s">
        <v>671</v>
      </c>
      <c r="G191" s="146" t="s">
        <v>672</v>
      </c>
      <c r="H191" s="148">
        <v>3.05</v>
      </c>
      <c r="I191" s="146" t="s">
        <v>673</v>
      </c>
      <c r="J191" s="149">
        <v>1</v>
      </c>
      <c r="K191" s="150">
        <v>2021</v>
      </c>
      <c r="L191" s="151" t="s">
        <v>948</v>
      </c>
      <c r="M191" s="151" t="s">
        <v>1282</v>
      </c>
      <c r="N191" s="172"/>
      <c r="O191" s="153"/>
      <c r="P191" s="154" t="s">
        <v>676</v>
      </c>
      <c r="Q191" s="154"/>
      <c r="R191" s="155">
        <v>4</v>
      </c>
      <c r="S191" s="146"/>
      <c r="T191" s="168"/>
      <c r="U191" s="146"/>
      <c r="V191" s="146"/>
      <c r="W191" s="146"/>
      <c r="X191" s="156">
        <v>0</v>
      </c>
      <c r="Y191" s="156">
        <v>0</v>
      </c>
      <c r="Z191" s="157" t="s">
        <v>677</v>
      </c>
      <c r="AA191" s="174">
        <v>2021</v>
      </c>
      <c r="AB191" s="175">
        <v>9</v>
      </c>
      <c r="AC191" s="175">
        <v>18</v>
      </c>
      <c r="AD191" s="122" t="b">
        <f>IF(ISBLANK(GroupMember[[#This Row],[1. Identifiant interne d’exploitation agricole*]]),"",IF(ISERROR(MATCH(GroupMember[[#This Row],[1. Identifiant interne d’exploitation agricole*]],CertifiedCrop[1. Identifiant interne d’exploitation agricole*],0)),FALSE,TRUE))</f>
        <v>1</v>
      </c>
      <c r="AE191" s="122" t="b">
        <f>IF(ISBLANK(GroupMember[[#This Row],[1. Identifiant interne d’exploitation agricole*]]),"",IF(ISERROR(MATCH(GroupMember[[#This Row],[1. Identifiant interne d’exploitation agricole*]],FarmUnit[1. Identifiant interne d’exploitation agricole*],0)),FALSE,TRUE))</f>
        <v>1</v>
      </c>
      <c r="AF191" s="9" t="str">
        <f t="shared" si="9"/>
        <v>SAWADOGO  OUSMANE 1</v>
      </c>
      <c r="AG191" s="243" t="str">
        <f t="shared" si="10"/>
        <v>18/9/2021</v>
      </c>
      <c r="AH191" s="51">
        <f>COUNTIFS(Z:Z,Z191,AG:AG,AG191)</f>
        <v>4</v>
      </c>
      <c r="AI191" s="49">
        <f t="shared" si="11"/>
        <v>0</v>
      </c>
    </row>
    <row r="192" spans="1:35" ht="15" x14ac:dyDescent="0.2">
      <c r="A192" s="150" t="s">
        <v>1283</v>
      </c>
      <c r="B192" s="146" t="s">
        <v>668</v>
      </c>
      <c r="C192" s="150" t="s">
        <v>1283</v>
      </c>
      <c r="D192" s="147" t="s">
        <v>669</v>
      </c>
      <c r="E192" s="146" t="s">
        <v>670</v>
      </c>
      <c r="F192" s="146" t="s">
        <v>671</v>
      </c>
      <c r="G192" s="146" t="s">
        <v>672</v>
      </c>
      <c r="H192" s="148">
        <v>1.92</v>
      </c>
      <c r="I192" s="146" t="s">
        <v>673</v>
      </c>
      <c r="J192" s="149">
        <v>1</v>
      </c>
      <c r="K192" s="150">
        <v>2021</v>
      </c>
      <c r="L192" s="151" t="s">
        <v>1284</v>
      </c>
      <c r="M192" s="151" t="s">
        <v>1285</v>
      </c>
      <c r="N192" s="172"/>
      <c r="O192" s="153"/>
      <c r="P192" s="154" t="s">
        <v>676</v>
      </c>
      <c r="Q192" s="154"/>
      <c r="R192" s="155">
        <v>5</v>
      </c>
      <c r="S192" s="146"/>
      <c r="T192" s="168"/>
      <c r="U192" s="146"/>
      <c r="V192" s="146"/>
      <c r="W192" s="146"/>
      <c r="X192" s="156">
        <v>0</v>
      </c>
      <c r="Y192" s="156">
        <v>0</v>
      </c>
      <c r="Z192" s="157" t="s">
        <v>677</v>
      </c>
      <c r="AA192" s="174">
        <v>2021</v>
      </c>
      <c r="AB192" s="175">
        <v>9</v>
      </c>
      <c r="AC192" s="175">
        <v>8</v>
      </c>
      <c r="AD192" s="122" t="b">
        <f>IF(ISBLANK(GroupMember[[#This Row],[1. Identifiant interne d’exploitation agricole*]]),"",IF(ISERROR(MATCH(GroupMember[[#This Row],[1. Identifiant interne d’exploitation agricole*]],CertifiedCrop[1. Identifiant interne d’exploitation agricole*],0)),FALSE,TRUE))</f>
        <v>1</v>
      </c>
      <c r="AE192" s="122" t="b">
        <f>IF(ISBLANK(GroupMember[[#This Row],[1. Identifiant interne d’exploitation agricole*]]),"",IF(ISERROR(MATCH(GroupMember[[#This Row],[1. Identifiant interne d’exploitation agricole*]],FarmUnit[1. Identifiant interne d’exploitation agricole*],0)),FALSE,TRUE))</f>
        <v>1</v>
      </c>
      <c r="AF192" s="9" t="str">
        <f t="shared" si="9"/>
        <v>CISSE  MOHAMED</v>
      </c>
      <c r="AG192" s="243" t="str">
        <f t="shared" si="10"/>
        <v>8/9/2021</v>
      </c>
      <c r="AH192" s="51">
        <f>COUNTIFS(Z:Z,Z192,AG:AG,AG192)</f>
        <v>5</v>
      </c>
      <c r="AI192" s="49">
        <f t="shared" si="11"/>
        <v>0</v>
      </c>
    </row>
    <row r="193" spans="1:35" ht="15" x14ac:dyDescent="0.2">
      <c r="A193" s="150" t="s">
        <v>1286</v>
      </c>
      <c r="B193" s="146" t="s">
        <v>668</v>
      </c>
      <c r="C193" s="150" t="s">
        <v>1286</v>
      </c>
      <c r="D193" s="147" t="s">
        <v>669</v>
      </c>
      <c r="E193" s="146" t="s">
        <v>670</v>
      </c>
      <c r="F193" s="146" t="s">
        <v>671</v>
      </c>
      <c r="G193" s="146" t="s">
        <v>672</v>
      </c>
      <c r="H193" s="148">
        <v>1.21</v>
      </c>
      <c r="I193" s="146" t="s">
        <v>673</v>
      </c>
      <c r="J193" s="149">
        <v>1</v>
      </c>
      <c r="K193" s="150">
        <v>2021</v>
      </c>
      <c r="L193" s="151" t="s">
        <v>925</v>
      </c>
      <c r="M193" s="151" t="s">
        <v>1287</v>
      </c>
      <c r="N193" s="172" t="s">
        <v>1288</v>
      </c>
      <c r="O193" s="153"/>
      <c r="P193" s="154" t="s">
        <v>676</v>
      </c>
      <c r="Q193" s="154"/>
      <c r="R193" s="155">
        <v>7</v>
      </c>
      <c r="S193" s="146"/>
      <c r="T193" s="168"/>
      <c r="U193" s="146"/>
      <c r="V193" s="146"/>
      <c r="W193" s="146"/>
      <c r="X193" s="156">
        <v>0</v>
      </c>
      <c r="Y193" s="156">
        <v>0</v>
      </c>
      <c r="Z193" s="157" t="s">
        <v>677</v>
      </c>
      <c r="AA193" s="174">
        <v>2021</v>
      </c>
      <c r="AB193" s="175">
        <v>9</v>
      </c>
      <c r="AC193" s="175">
        <v>2</v>
      </c>
      <c r="AD193" s="122" t="b">
        <f>IF(ISBLANK(GroupMember[[#This Row],[1. Identifiant interne d’exploitation agricole*]]),"",IF(ISERROR(MATCH(GroupMember[[#This Row],[1. Identifiant interne d’exploitation agricole*]],CertifiedCrop[1. Identifiant interne d’exploitation agricole*],0)),FALSE,TRUE))</f>
        <v>1</v>
      </c>
      <c r="AE193" s="122" t="b">
        <f>IF(ISBLANK(GroupMember[[#This Row],[1. Identifiant interne d’exploitation agricole*]]),"",IF(ISERROR(MATCH(GroupMember[[#This Row],[1. Identifiant interne d’exploitation agricole*]],FarmUnit[1. Identifiant interne d’exploitation agricole*],0)),FALSE,TRUE))</f>
        <v>1</v>
      </c>
      <c r="AF193" s="9" t="str">
        <f t="shared" si="9"/>
        <v>KPAN  GOUANKEU FELIX</v>
      </c>
      <c r="AG193" s="243" t="str">
        <f t="shared" si="10"/>
        <v>2/9/2021</v>
      </c>
      <c r="AH193" s="51">
        <f>COUNTIFS(Z:Z,Z193,AG:AG,AG193)</f>
        <v>4</v>
      </c>
      <c r="AI193" s="49">
        <f t="shared" si="11"/>
        <v>0</v>
      </c>
    </row>
    <row r="194" spans="1:35" ht="15" x14ac:dyDescent="0.2">
      <c r="A194" s="150" t="s">
        <v>1289</v>
      </c>
      <c r="B194" s="146" t="s">
        <v>668</v>
      </c>
      <c r="C194" s="150" t="s">
        <v>1289</v>
      </c>
      <c r="D194" s="147" t="s">
        <v>669</v>
      </c>
      <c r="E194" s="146" t="s">
        <v>670</v>
      </c>
      <c r="F194" s="146" t="s">
        <v>671</v>
      </c>
      <c r="G194" s="146" t="s">
        <v>672</v>
      </c>
      <c r="H194" s="148">
        <v>1.0900000000000001</v>
      </c>
      <c r="I194" s="146" t="s">
        <v>673</v>
      </c>
      <c r="J194" s="149">
        <v>1</v>
      </c>
      <c r="K194" s="150">
        <v>2021</v>
      </c>
      <c r="L194" s="151" t="s">
        <v>1290</v>
      </c>
      <c r="M194" s="151" t="s">
        <v>1291</v>
      </c>
      <c r="N194" s="172"/>
      <c r="O194" s="153" t="s">
        <v>1292</v>
      </c>
      <c r="P194" s="154" t="s">
        <v>676</v>
      </c>
      <c r="Q194" s="154">
        <v>1977</v>
      </c>
      <c r="R194" s="155">
        <v>6</v>
      </c>
      <c r="S194" s="146"/>
      <c r="T194" s="168"/>
      <c r="U194" s="146"/>
      <c r="V194" s="146"/>
      <c r="W194" s="146"/>
      <c r="X194" s="156">
        <v>0</v>
      </c>
      <c r="Y194" s="156">
        <v>0</v>
      </c>
      <c r="Z194" s="157" t="s">
        <v>677</v>
      </c>
      <c r="AA194" s="174">
        <v>2021</v>
      </c>
      <c r="AB194" s="175">
        <v>9</v>
      </c>
      <c r="AC194" s="175">
        <v>13</v>
      </c>
      <c r="AD194" s="122" t="b">
        <f>IF(ISBLANK(GroupMember[[#This Row],[1. Identifiant interne d’exploitation agricole*]]),"",IF(ISERROR(MATCH(GroupMember[[#This Row],[1. Identifiant interne d’exploitation agricole*]],CertifiedCrop[1. Identifiant interne d’exploitation agricole*],0)),FALSE,TRUE))</f>
        <v>1</v>
      </c>
      <c r="AE194" s="122" t="b">
        <f>IF(ISBLANK(GroupMember[[#This Row],[1. Identifiant interne d’exploitation agricole*]]),"",IF(ISERROR(MATCH(GroupMember[[#This Row],[1. Identifiant interne d’exploitation agricole*]],FarmUnit[1. Identifiant interne d’exploitation agricole*],0)),FALSE,TRUE))</f>
        <v>1</v>
      </c>
      <c r="AF194" s="9" t="str">
        <f t="shared" si="9"/>
        <v>GOGBE  MESMIN</v>
      </c>
      <c r="AG194" s="243" t="str">
        <f t="shared" si="10"/>
        <v>13/9/2021</v>
      </c>
      <c r="AH194" s="51">
        <f>COUNTIFS(Z:Z,Z194,AG:AG,AG194)</f>
        <v>5</v>
      </c>
      <c r="AI194" s="49">
        <f t="shared" si="11"/>
        <v>0</v>
      </c>
    </row>
    <row r="195" spans="1:35" ht="15" x14ac:dyDescent="0.2">
      <c r="A195" s="150" t="s">
        <v>1293</v>
      </c>
      <c r="B195" s="146" t="s">
        <v>668</v>
      </c>
      <c r="C195" s="150" t="s">
        <v>1293</v>
      </c>
      <c r="D195" s="147" t="s">
        <v>669</v>
      </c>
      <c r="E195" s="146" t="s">
        <v>670</v>
      </c>
      <c r="F195" s="146" t="s">
        <v>671</v>
      </c>
      <c r="G195" s="146" t="s">
        <v>672</v>
      </c>
      <c r="H195" s="148">
        <v>5</v>
      </c>
      <c r="I195" s="146" t="s">
        <v>673</v>
      </c>
      <c r="J195" s="149">
        <v>1</v>
      </c>
      <c r="K195" s="150">
        <v>2021</v>
      </c>
      <c r="L195" s="151" t="s">
        <v>1294</v>
      </c>
      <c r="M195" s="151" t="s">
        <v>1295</v>
      </c>
      <c r="N195" s="172"/>
      <c r="O195" s="153"/>
      <c r="P195" s="154" t="s">
        <v>676</v>
      </c>
      <c r="Q195" s="154"/>
      <c r="R195" s="155">
        <v>5</v>
      </c>
      <c r="S195" s="146"/>
      <c r="T195" s="168"/>
      <c r="U195" s="146"/>
      <c r="V195" s="146"/>
      <c r="W195" s="146"/>
      <c r="X195" s="156">
        <v>0</v>
      </c>
      <c r="Y195" s="156">
        <v>0</v>
      </c>
      <c r="Z195" s="157" t="s">
        <v>677</v>
      </c>
      <c r="AA195" s="174">
        <v>2021</v>
      </c>
      <c r="AB195" s="175">
        <v>9</v>
      </c>
      <c r="AC195" s="175">
        <v>7</v>
      </c>
      <c r="AD195" s="122" t="b">
        <f>IF(ISBLANK(GroupMember[[#This Row],[1. Identifiant interne d’exploitation agricole*]]),"",IF(ISERROR(MATCH(GroupMember[[#This Row],[1. Identifiant interne d’exploitation agricole*]],CertifiedCrop[1. Identifiant interne d’exploitation agricole*],0)),FALSE,TRUE))</f>
        <v>1</v>
      </c>
      <c r="AE195" s="122" t="b">
        <f>IF(ISBLANK(GroupMember[[#This Row],[1. Identifiant interne d’exploitation agricole*]]),"",IF(ISERROR(MATCH(GroupMember[[#This Row],[1. Identifiant interne d’exploitation agricole*]],FarmUnit[1. Identifiant interne d’exploitation agricole*],0)),FALSE,TRUE))</f>
        <v>1</v>
      </c>
      <c r="AF195" s="9" t="str">
        <f t="shared" si="9"/>
        <v>SEININ  ANDRE</v>
      </c>
      <c r="AG195" s="243" t="str">
        <f t="shared" si="10"/>
        <v>7/9/2021</v>
      </c>
      <c r="AH195" s="51">
        <f>COUNTIFS(Z:Z,Z195,AG:AG,AG195)</f>
        <v>4</v>
      </c>
      <c r="AI195" s="49">
        <f t="shared" si="11"/>
        <v>0</v>
      </c>
    </row>
    <row r="196" spans="1:35" ht="15" x14ac:dyDescent="0.2">
      <c r="A196" s="150" t="s">
        <v>1296</v>
      </c>
      <c r="B196" s="146" t="s">
        <v>668</v>
      </c>
      <c r="C196" s="150" t="s">
        <v>1296</v>
      </c>
      <c r="D196" s="147" t="s">
        <v>669</v>
      </c>
      <c r="E196" s="146" t="s">
        <v>670</v>
      </c>
      <c r="F196" s="146" t="s">
        <v>671</v>
      </c>
      <c r="G196" s="146" t="s">
        <v>672</v>
      </c>
      <c r="H196" s="148">
        <v>1.17</v>
      </c>
      <c r="I196" s="146" t="s">
        <v>673</v>
      </c>
      <c r="J196" s="149">
        <v>1</v>
      </c>
      <c r="K196" s="150">
        <v>2021</v>
      </c>
      <c r="L196" s="151" t="s">
        <v>1297</v>
      </c>
      <c r="M196" s="151" t="s">
        <v>1273</v>
      </c>
      <c r="N196" s="172"/>
      <c r="O196" s="153"/>
      <c r="P196" s="154" t="s">
        <v>676</v>
      </c>
      <c r="Q196" s="154"/>
      <c r="R196" s="155">
        <v>8</v>
      </c>
      <c r="S196" s="146"/>
      <c r="T196" s="168"/>
      <c r="U196" s="146"/>
      <c r="V196" s="146"/>
      <c r="W196" s="146"/>
      <c r="X196" s="156">
        <v>0</v>
      </c>
      <c r="Y196" s="156">
        <v>0</v>
      </c>
      <c r="Z196" s="157" t="s">
        <v>677</v>
      </c>
      <c r="AA196" s="174">
        <v>2021</v>
      </c>
      <c r="AB196" s="175">
        <v>9</v>
      </c>
      <c r="AC196" s="175">
        <v>13</v>
      </c>
      <c r="AD196" s="122" t="b">
        <f>IF(ISBLANK(GroupMember[[#This Row],[1. Identifiant interne d’exploitation agricole*]]),"",IF(ISERROR(MATCH(GroupMember[[#This Row],[1. Identifiant interne d’exploitation agricole*]],CertifiedCrop[1. Identifiant interne d’exploitation agricole*],0)),FALSE,TRUE))</f>
        <v>1</v>
      </c>
      <c r="AE196" s="122" t="b">
        <f>IF(ISBLANK(GroupMember[[#This Row],[1. Identifiant interne d’exploitation agricole*]]),"",IF(ISERROR(MATCH(GroupMember[[#This Row],[1. Identifiant interne d’exploitation agricole*]],FarmUnit[1. Identifiant interne d’exploitation agricole*],0)),FALSE,TRUE))</f>
        <v>1</v>
      </c>
      <c r="AF196" s="9" t="str">
        <f t="shared" si="9"/>
        <v>DOUAN  HONORE</v>
      </c>
      <c r="AG196" s="243" t="str">
        <f t="shared" si="10"/>
        <v>13/9/2021</v>
      </c>
      <c r="AH196" s="51">
        <f>COUNTIFS(Z:Z,Z196,AG:AG,AG196)</f>
        <v>5</v>
      </c>
      <c r="AI196" s="49">
        <f t="shared" si="11"/>
        <v>0</v>
      </c>
    </row>
    <row r="197" spans="1:35" ht="15" x14ac:dyDescent="0.2">
      <c r="A197" s="150" t="s">
        <v>1298</v>
      </c>
      <c r="B197" s="146" t="s">
        <v>668</v>
      </c>
      <c r="C197" s="150" t="s">
        <v>1298</v>
      </c>
      <c r="D197" s="147" t="s">
        <v>669</v>
      </c>
      <c r="E197" s="146" t="s">
        <v>670</v>
      </c>
      <c r="F197" s="146" t="s">
        <v>671</v>
      </c>
      <c r="G197" s="146" t="s">
        <v>672</v>
      </c>
      <c r="H197" s="148">
        <v>2.5</v>
      </c>
      <c r="I197" s="146" t="s">
        <v>673</v>
      </c>
      <c r="J197" s="149">
        <v>1</v>
      </c>
      <c r="K197" s="150">
        <v>2021</v>
      </c>
      <c r="L197" s="151" t="s">
        <v>1210</v>
      </c>
      <c r="M197" s="151" t="s">
        <v>1299</v>
      </c>
      <c r="N197" s="172"/>
      <c r="O197" s="153"/>
      <c r="P197" s="154" t="s">
        <v>676</v>
      </c>
      <c r="Q197" s="154"/>
      <c r="R197" s="155">
        <v>5</v>
      </c>
      <c r="S197" s="146"/>
      <c r="T197" s="168"/>
      <c r="U197" s="146"/>
      <c r="V197" s="146"/>
      <c r="W197" s="146"/>
      <c r="X197" s="156">
        <v>0</v>
      </c>
      <c r="Y197" s="156">
        <v>0</v>
      </c>
      <c r="Z197" s="157" t="s">
        <v>677</v>
      </c>
      <c r="AA197" s="174">
        <v>2021</v>
      </c>
      <c r="AB197" s="175">
        <v>9</v>
      </c>
      <c r="AC197" s="175">
        <v>18</v>
      </c>
      <c r="AD197" s="122" t="b">
        <f>IF(ISBLANK(GroupMember[[#This Row],[1. Identifiant interne d’exploitation agricole*]]),"",IF(ISERROR(MATCH(GroupMember[[#This Row],[1. Identifiant interne d’exploitation agricole*]],CertifiedCrop[1. Identifiant interne d’exploitation agricole*],0)),FALSE,TRUE))</f>
        <v>1</v>
      </c>
      <c r="AE197" s="122" t="b">
        <f>IF(ISBLANK(GroupMember[[#This Row],[1. Identifiant interne d’exploitation agricole*]]),"",IF(ISERROR(MATCH(GroupMember[[#This Row],[1. Identifiant interne d’exploitation agricole*]],FarmUnit[1. Identifiant interne d’exploitation agricole*],0)),FALSE,TRUE))</f>
        <v>1</v>
      </c>
      <c r="AF197" s="9" t="str">
        <f t="shared" si="9"/>
        <v>DEA  MAXIME</v>
      </c>
      <c r="AG197" s="243" t="str">
        <f t="shared" si="10"/>
        <v>18/9/2021</v>
      </c>
      <c r="AH197" s="51">
        <f>COUNTIFS(Z:Z,Z197,AG:AG,AG197)</f>
        <v>4</v>
      </c>
      <c r="AI197" s="49">
        <f t="shared" si="11"/>
        <v>0</v>
      </c>
    </row>
    <row r="198" spans="1:35" ht="15" x14ac:dyDescent="0.2">
      <c r="A198" s="150" t="s">
        <v>1300</v>
      </c>
      <c r="B198" s="146" t="s">
        <v>668</v>
      </c>
      <c r="C198" s="150" t="s">
        <v>1300</v>
      </c>
      <c r="D198" s="147" t="s">
        <v>669</v>
      </c>
      <c r="E198" s="146" t="s">
        <v>670</v>
      </c>
      <c r="F198" s="146" t="s">
        <v>671</v>
      </c>
      <c r="G198" s="146" t="s">
        <v>672</v>
      </c>
      <c r="H198" s="148">
        <v>1.22</v>
      </c>
      <c r="I198" s="146" t="s">
        <v>673</v>
      </c>
      <c r="J198" s="149">
        <v>1</v>
      </c>
      <c r="K198" s="150">
        <v>2021</v>
      </c>
      <c r="L198" s="151" t="s">
        <v>682</v>
      </c>
      <c r="M198" s="151" t="s">
        <v>1301</v>
      </c>
      <c r="N198" s="172" t="s">
        <v>1302</v>
      </c>
      <c r="O198" s="153"/>
      <c r="P198" s="154" t="s">
        <v>676</v>
      </c>
      <c r="Q198" s="154"/>
      <c r="R198" s="155">
        <v>7</v>
      </c>
      <c r="S198" s="146"/>
      <c r="T198" s="168"/>
      <c r="U198" s="146"/>
      <c r="V198" s="146"/>
      <c r="W198" s="146"/>
      <c r="X198" s="156">
        <v>0</v>
      </c>
      <c r="Y198" s="156">
        <v>0</v>
      </c>
      <c r="Z198" s="157" t="s">
        <v>677</v>
      </c>
      <c r="AA198" s="174">
        <v>2021</v>
      </c>
      <c r="AB198" s="175">
        <v>9</v>
      </c>
      <c r="AC198" s="175">
        <v>8</v>
      </c>
      <c r="AD198" s="122" t="b">
        <f>IF(ISBLANK(GroupMember[[#This Row],[1. Identifiant interne d’exploitation agricole*]]),"",IF(ISERROR(MATCH(GroupMember[[#This Row],[1. Identifiant interne d’exploitation agricole*]],CertifiedCrop[1. Identifiant interne d’exploitation agricole*],0)),FALSE,TRUE))</f>
        <v>1</v>
      </c>
      <c r="AE198" s="122" t="b">
        <f>IF(ISBLANK(GroupMember[[#This Row],[1. Identifiant interne d’exploitation agricole*]]),"",IF(ISERROR(MATCH(GroupMember[[#This Row],[1. Identifiant interne d’exploitation agricole*]],FarmUnit[1. Identifiant interne d’exploitation agricole*],0)),FALSE,TRUE))</f>
        <v>1</v>
      </c>
      <c r="AF198" s="9" t="str">
        <f t="shared" si="9"/>
        <v>SANGARE  DOGOTOU</v>
      </c>
      <c r="AG198" s="243" t="str">
        <f t="shared" si="10"/>
        <v>8/9/2021</v>
      </c>
      <c r="AH198" s="51">
        <f>COUNTIFS(Z:Z,Z198,AG:AG,AG198)</f>
        <v>5</v>
      </c>
      <c r="AI198" s="49">
        <f t="shared" si="11"/>
        <v>0</v>
      </c>
    </row>
    <row r="199" spans="1:35" ht="15" x14ac:dyDescent="0.2">
      <c r="A199" s="150" t="s">
        <v>1303</v>
      </c>
      <c r="B199" s="146" t="s">
        <v>668</v>
      </c>
      <c r="C199" s="150" t="s">
        <v>1303</v>
      </c>
      <c r="D199" s="147" t="s">
        <v>669</v>
      </c>
      <c r="E199" s="146" t="s">
        <v>670</v>
      </c>
      <c r="F199" s="146" t="s">
        <v>671</v>
      </c>
      <c r="G199" s="146" t="s">
        <v>672</v>
      </c>
      <c r="H199" s="148">
        <v>3</v>
      </c>
      <c r="I199" s="146" t="s">
        <v>673</v>
      </c>
      <c r="J199" s="149">
        <v>1</v>
      </c>
      <c r="K199" s="150">
        <v>2021</v>
      </c>
      <c r="L199" s="151" t="s">
        <v>768</v>
      </c>
      <c r="M199" s="151" t="s">
        <v>1304</v>
      </c>
      <c r="N199" s="172"/>
      <c r="O199" s="153"/>
      <c r="P199" s="154" t="s">
        <v>676</v>
      </c>
      <c r="Q199" s="154"/>
      <c r="R199" s="155">
        <v>8</v>
      </c>
      <c r="S199" s="146"/>
      <c r="T199" s="168"/>
      <c r="U199" s="146"/>
      <c r="V199" s="146"/>
      <c r="W199" s="146"/>
      <c r="X199" s="156">
        <v>0</v>
      </c>
      <c r="Y199" s="156">
        <v>0</v>
      </c>
      <c r="Z199" s="157" t="s">
        <v>677</v>
      </c>
      <c r="AA199" s="174">
        <v>2021</v>
      </c>
      <c r="AB199" s="175">
        <v>9</v>
      </c>
      <c r="AC199" s="175">
        <v>2</v>
      </c>
      <c r="AD199" s="122" t="b">
        <f>IF(ISBLANK(GroupMember[[#This Row],[1. Identifiant interne d’exploitation agricole*]]),"",IF(ISERROR(MATCH(GroupMember[[#This Row],[1. Identifiant interne d’exploitation agricole*]],CertifiedCrop[1. Identifiant interne d’exploitation agricole*],0)),FALSE,TRUE))</f>
        <v>1</v>
      </c>
      <c r="AE199" s="122" t="b">
        <f>IF(ISBLANK(GroupMember[[#This Row],[1. Identifiant interne d’exploitation agricole*]]),"",IF(ISERROR(MATCH(GroupMember[[#This Row],[1. Identifiant interne d’exploitation agricole*]],FarmUnit[1. Identifiant interne d’exploitation agricole*],0)),FALSE,TRUE))</f>
        <v>1</v>
      </c>
      <c r="AF199" s="9" t="str">
        <f t="shared" si="9"/>
        <v>GUEI  LEON</v>
      </c>
      <c r="AG199" s="243" t="str">
        <f t="shared" si="10"/>
        <v>2/9/2021</v>
      </c>
      <c r="AH199" s="51">
        <f>COUNTIFS(Z:Z,Z199,AG:AG,AG199)</f>
        <v>4</v>
      </c>
      <c r="AI199" s="49">
        <f t="shared" si="11"/>
        <v>0</v>
      </c>
    </row>
    <row r="200" spans="1:35" ht="15" x14ac:dyDescent="0.2">
      <c r="A200" s="150" t="s">
        <v>1305</v>
      </c>
      <c r="B200" s="146" t="s">
        <v>668</v>
      </c>
      <c r="C200" s="150" t="s">
        <v>1305</v>
      </c>
      <c r="D200" s="147" t="s">
        <v>669</v>
      </c>
      <c r="E200" s="146" t="s">
        <v>670</v>
      </c>
      <c r="F200" s="146" t="s">
        <v>671</v>
      </c>
      <c r="G200" s="146" t="s">
        <v>672</v>
      </c>
      <c r="H200" s="148">
        <v>2.7</v>
      </c>
      <c r="I200" s="146" t="s">
        <v>673</v>
      </c>
      <c r="J200" s="149">
        <v>1</v>
      </c>
      <c r="K200" s="150">
        <v>2021</v>
      </c>
      <c r="L200" s="159" t="s">
        <v>1306</v>
      </c>
      <c r="M200" s="159" t="s">
        <v>711</v>
      </c>
      <c r="N200" s="160"/>
      <c r="O200" s="153"/>
      <c r="P200" s="154" t="s">
        <v>676</v>
      </c>
      <c r="Q200" s="154"/>
      <c r="R200" s="155">
        <v>7</v>
      </c>
      <c r="S200" s="146"/>
      <c r="T200" s="168"/>
      <c r="U200" s="146"/>
      <c r="V200" s="146"/>
      <c r="W200" s="146"/>
      <c r="X200" s="156">
        <v>0</v>
      </c>
      <c r="Y200" s="156">
        <v>0</v>
      </c>
      <c r="Z200" s="157" t="s">
        <v>677</v>
      </c>
      <c r="AA200" s="174">
        <v>2021</v>
      </c>
      <c r="AB200" s="175">
        <v>9</v>
      </c>
      <c r="AC200" s="175">
        <v>18</v>
      </c>
      <c r="AD200" s="122" t="b">
        <f>IF(ISBLANK(GroupMember[[#This Row],[1. Identifiant interne d’exploitation agricole*]]),"",IF(ISERROR(MATCH(GroupMember[[#This Row],[1. Identifiant interne d’exploitation agricole*]],CertifiedCrop[1. Identifiant interne d’exploitation agricole*],0)),FALSE,TRUE))</f>
        <v>1</v>
      </c>
      <c r="AE200" s="122" t="b">
        <f>IF(ISBLANK(GroupMember[[#This Row],[1. Identifiant interne d’exploitation agricole*]]),"",IF(ISERROR(MATCH(GroupMember[[#This Row],[1. Identifiant interne d’exploitation agricole*]],FarmUnit[1. Identifiant interne d’exploitation agricole*],0)),FALSE,TRUE))</f>
        <v>1</v>
      </c>
      <c r="AF200" s="9" t="str">
        <f t="shared" si="9"/>
        <v>DJAN SAMAKE</v>
      </c>
      <c r="AG200" s="243" t="str">
        <f t="shared" si="10"/>
        <v>18/9/2021</v>
      </c>
      <c r="AH200" s="51">
        <f>COUNTIFS(Z:Z,Z200,AG:AG,AG200)</f>
        <v>4</v>
      </c>
      <c r="AI200" s="49">
        <f t="shared" si="11"/>
        <v>0</v>
      </c>
    </row>
    <row r="201" spans="1:35" ht="15" x14ac:dyDescent="0.2">
      <c r="A201" s="150" t="s">
        <v>1307</v>
      </c>
      <c r="B201" s="146" t="s">
        <v>668</v>
      </c>
      <c r="C201" s="150" t="s">
        <v>1307</v>
      </c>
      <c r="D201" s="147" t="s">
        <v>669</v>
      </c>
      <c r="E201" s="146" t="s">
        <v>670</v>
      </c>
      <c r="F201" s="146" t="s">
        <v>671</v>
      </c>
      <c r="G201" s="146" t="s">
        <v>672</v>
      </c>
      <c r="H201" s="148">
        <v>2.5</v>
      </c>
      <c r="I201" s="146" t="s">
        <v>673</v>
      </c>
      <c r="J201" s="149">
        <v>1</v>
      </c>
      <c r="K201" s="150">
        <v>2021</v>
      </c>
      <c r="L201" s="176" t="s">
        <v>1308</v>
      </c>
      <c r="M201" s="176" t="s">
        <v>1309</v>
      </c>
      <c r="N201" s="160"/>
      <c r="O201" s="153"/>
      <c r="P201" s="154" t="s">
        <v>676</v>
      </c>
      <c r="Q201" s="154"/>
      <c r="R201" s="155">
        <v>5</v>
      </c>
      <c r="S201" s="146"/>
      <c r="T201" s="168"/>
      <c r="U201" s="146"/>
      <c r="V201" s="146"/>
      <c r="W201" s="146"/>
      <c r="X201" s="156">
        <v>0</v>
      </c>
      <c r="Y201" s="156">
        <v>0</v>
      </c>
      <c r="Z201" s="157" t="s">
        <v>677</v>
      </c>
      <c r="AA201" s="174">
        <v>2021</v>
      </c>
      <c r="AB201" s="175">
        <v>9</v>
      </c>
      <c r="AC201" s="175">
        <v>3</v>
      </c>
      <c r="AD201" s="122" t="b">
        <f>IF(ISBLANK(GroupMember[[#This Row],[1. Identifiant interne d’exploitation agricole*]]),"",IF(ISERROR(MATCH(GroupMember[[#This Row],[1. Identifiant interne d’exploitation agricole*]],CertifiedCrop[1. Identifiant interne d’exploitation agricole*],0)),FALSE,TRUE))</f>
        <v>1</v>
      </c>
      <c r="AE201" s="122" t="b">
        <f>IF(ISBLANK(GroupMember[[#This Row],[1. Identifiant interne d’exploitation agricole*]]),"",IF(ISERROR(MATCH(GroupMember[[#This Row],[1. Identifiant interne d’exploitation agricole*]],FarmUnit[1. Identifiant interne d’exploitation agricole*],0)),FALSE,TRUE))</f>
        <v>1</v>
      </c>
      <c r="AF201" s="9" t="str">
        <f t="shared" si="9"/>
        <v>DOHOUGO  KONE</v>
      </c>
      <c r="AG201" s="243" t="str">
        <f t="shared" si="10"/>
        <v>3/9/2021</v>
      </c>
      <c r="AH201" s="51">
        <f>COUNTIFS(Z:Z,Z201,AG:AG,AG201)</f>
        <v>5</v>
      </c>
      <c r="AI201" s="49">
        <f t="shared" si="11"/>
        <v>0</v>
      </c>
    </row>
    <row r="202" spans="1:35" ht="15" x14ac:dyDescent="0.2">
      <c r="A202" s="150" t="s">
        <v>1310</v>
      </c>
      <c r="B202" s="146" t="s">
        <v>668</v>
      </c>
      <c r="C202" s="150" t="s">
        <v>1310</v>
      </c>
      <c r="D202" s="147" t="s">
        <v>669</v>
      </c>
      <c r="E202" s="146" t="s">
        <v>670</v>
      </c>
      <c r="F202" s="146" t="s">
        <v>671</v>
      </c>
      <c r="G202" s="146" t="s">
        <v>672</v>
      </c>
      <c r="H202" s="148">
        <v>1.61</v>
      </c>
      <c r="I202" s="146" t="s">
        <v>673</v>
      </c>
      <c r="J202" s="149">
        <v>1</v>
      </c>
      <c r="K202" s="150">
        <v>2021</v>
      </c>
      <c r="L202" s="176" t="s">
        <v>1098</v>
      </c>
      <c r="M202" s="176" t="s">
        <v>1311</v>
      </c>
      <c r="N202" s="177"/>
      <c r="O202" s="153"/>
      <c r="P202" s="154" t="s">
        <v>676</v>
      </c>
      <c r="Q202" s="154"/>
      <c r="R202" s="155">
        <v>5</v>
      </c>
      <c r="S202" s="146"/>
      <c r="T202" s="168"/>
      <c r="U202" s="146"/>
      <c r="V202" s="146"/>
      <c r="W202" s="146"/>
      <c r="X202" s="156">
        <v>0</v>
      </c>
      <c r="Y202" s="156">
        <v>0</v>
      </c>
      <c r="Z202" s="157" t="s">
        <v>677</v>
      </c>
      <c r="AA202" s="174">
        <v>2021</v>
      </c>
      <c r="AB202" s="175">
        <v>9</v>
      </c>
      <c r="AC202" s="175">
        <v>13</v>
      </c>
      <c r="AD202" s="122" t="b">
        <f>IF(ISBLANK(GroupMember[[#This Row],[1. Identifiant interne d’exploitation agricole*]]),"",IF(ISERROR(MATCH(GroupMember[[#This Row],[1. Identifiant interne d’exploitation agricole*]],CertifiedCrop[1. Identifiant interne d’exploitation agricole*],0)),FALSE,TRUE))</f>
        <v>1</v>
      </c>
      <c r="AE202" s="122" t="b">
        <f>IF(ISBLANK(GroupMember[[#This Row],[1. Identifiant interne d’exploitation agricole*]]),"",IF(ISERROR(MATCH(GroupMember[[#This Row],[1. Identifiant interne d’exploitation agricole*]],FarmUnit[1. Identifiant interne d’exploitation agricole*],0)),FALSE,TRUE))</f>
        <v>1</v>
      </c>
      <c r="AF202" s="9" t="str">
        <f t="shared" si="9"/>
        <v>SANKARA  SALIFOU</v>
      </c>
      <c r="AG202" s="243" t="str">
        <f t="shared" si="10"/>
        <v>13/9/2021</v>
      </c>
      <c r="AH202" s="51">
        <f>COUNTIFS(Z:Z,Z202,AG:AG,AG202)</f>
        <v>5</v>
      </c>
      <c r="AI202" s="49">
        <f t="shared" si="11"/>
        <v>0</v>
      </c>
    </row>
    <row r="203" spans="1:35" ht="15" x14ac:dyDescent="0.2">
      <c r="A203" s="150" t="s">
        <v>1312</v>
      </c>
      <c r="B203" s="146" t="s">
        <v>668</v>
      </c>
      <c r="C203" s="150" t="s">
        <v>1312</v>
      </c>
      <c r="D203" s="147" t="s">
        <v>669</v>
      </c>
      <c r="E203" s="146" t="s">
        <v>670</v>
      </c>
      <c r="F203" s="146" t="s">
        <v>671</v>
      </c>
      <c r="G203" s="146" t="s">
        <v>672</v>
      </c>
      <c r="H203" s="148">
        <v>2.11</v>
      </c>
      <c r="I203" s="146" t="s">
        <v>673</v>
      </c>
      <c r="J203" s="149">
        <v>1</v>
      </c>
      <c r="K203" s="150">
        <v>2021</v>
      </c>
      <c r="L203" s="178" t="s">
        <v>1098</v>
      </c>
      <c r="M203" s="178" t="s">
        <v>1313</v>
      </c>
      <c r="N203" s="172"/>
      <c r="O203" s="153"/>
      <c r="P203" s="154" t="s">
        <v>676</v>
      </c>
      <c r="Q203" s="154"/>
      <c r="R203" s="155">
        <v>7</v>
      </c>
      <c r="S203" s="146"/>
      <c r="T203" s="168"/>
      <c r="U203" s="146"/>
      <c r="V203" s="146"/>
      <c r="W203" s="146"/>
      <c r="X203" s="156">
        <v>0</v>
      </c>
      <c r="Y203" s="156">
        <v>0</v>
      </c>
      <c r="Z203" s="157" t="s">
        <v>677</v>
      </c>
      <c r="AA203" s="174">
        <v>2021</v>
      </c>
      <c r="AB203" s="175">
        <v>9</v>
      </c>
      <c r="AC203" s="175">
        <v>17</v>
      </c>
      <c r="AD203" s="122" t="b">
        <f>IF(ISBLANK(GroupMember[[#This Row],[1. Identifiant interne d’exploitation agricole*]]),"",IF(ISERROR(MATCH(GroupMember[[#This Row],[1. Identifiant interne d’exploitation agricole*]],CertifiedCrop[1. Identifiant interne d’exploitation agricole*],0)),FALSE,TRUE))</f>
        <v>1</v>
      </c>
      <c r="AE203" s="122" t="b">
        <f>IF(ISBLANK(GroupMember[[#This Row],[1. Identifiant interne d’exploitation agricole*]]),"",IF(ISERROR(MATCH(GroupMember[[#This Row],[1. Identifiant interne d’exploitation agricole*]],FarmUnit[1. Identifiant interne d’exploitation agricole*],0)),FALSE,TRUE))</f>
        <v>1</v>
      </c>
      <c r="AF203" s="9" t="str">
        <f t="shared" si="9"/>
        <v>SANKARA  MADI</v>
      </c>
      <c r="AG203" s="243" t="str">
        <f t="shared" si="10"/>
        <v>17/9/2021</v>
      </c>
      <c r="AH203" s="51">
        <f>COUNTIFS(Z:Z,Z203,AG:AG,AG203)</f>
        <v>5</v>
      </c>
      <c r="AI203" s="49">
        <f t="shared" si="11"/>
        <v>0</v>
      </c>
    </row>
    <row r="204" spans="1:35" ht="15" x14ac:dyDescent="0.2">
      <c r="A204" s="150" t="s">
        <v>1314</v>
      </c>
      <c r="B204" s="146" t="s">
        <v>668</v>
      </c>
      <c r="C204" s="150" t="s">
        <v>1314</v>
      </c>
      <c r="D204" s="147" t="s">
        <v>669</v>
      </c>
      <c r="E204" s="146" t="s">
        <v>670</v>
      </c>
      <c r="F204" s="146" t="s">
        <v>671</v>
      </c>
      <c r="G204" s="146" t="s">
        <v>672</v>
      </c>
      <c r="H204" s="148">
        <v>5</v>
      </c>
      <c r="I204" s="146" t="s">
        <v>673</v>
      </c>
      <c r="J204" s="149">
        <v>1</v>
      </c>
      <c r="K204" s="150">
        <v>2021</v>
      </c>
      <c r="L204" s="178" t="s">
        <v>707</v>
      </c>
      <c r="M204" s="178" t="s">
        <v>1315</v>
      </c>
      <c r="N204" s="172"/>
      <c r="O204" s="153"/>
      <c r="P204" s="154" t="s">
        <v>676</v>
      </c>
      <c r="Q204" s="154"/>
      <c r="R204" s="155">
        <v>6</v>
      </c>
      <c r="S204" s="146"/>
      <c r="T204" s="168"/>
      <c r="U204" s="146"/>
      <c r="V204" s="146"/>
      <c r="W204" s="146"/>
      <c r="X204" s="156">
        <v>0</v>
      </c>
      <c r="Y204" s="156">
        <v>0</v>
      </c>
      <c r="Z204" s="157" t="s">
        <v>677</v>
      </c>
      <c r="AA204" s="174">
        <v>2021</v>
      </c>
      <c r="AB204" s="175">
        <v>9</v>
      </c>
      <c r="AC204" s="175">
        <v>2</v>
      </c>
      <c r="AD204" s="122" t="b">
        <f>IF(ISBLANK(GroupMember[[#This Row],[1. Identifiant interne d’exploitation agricole*]]),"",IF(ISERROR(MATCH(GroupMember[[#This Row],[1. Identifiant interne d’exploitation agricole*]],CertifiedCrop[1. Identifiant interne d’exploitation agricole*],0)),FALSE,TRUE))</f>
        <v>1</v>
      </c>
      <c r="AE204" s="122" t="b">
        <f>IF(ISBLANK(GroupMember[[#This Row],[1. Identifiant interne d’exploitation agricole*]]),"",IF(ISERROR(MATCH(GroupMember[[#This Row],[1. Identifiant interne d’exploitation agricole*]],FarmUnit[1. Identifiant interne d’exploitation agricole*],0)),FALSE,TRUE))</f>
        <v>1</v>
      </c>
      <c r="AF204" s="9" t="str">
        <f t="shared" si="9"/>
        <v>OUEDRAOGO ABOULAY</v>
      </c>
      <c r="AG204" s="243" t="str">
        <f t="shared" si="10"/>
        <v>2/9/2021</v>
      </c>
      <c r="AH204" s="51">
        <f>COUNTIFS(Z:Z,Z204,AG:AG,AG204)</f>
        <v>4</v>
      </c>
      <c r="AI204" s="49">
        <f t="shared" si="11"/>
        <v>0</v>
      </c>
    </row>
    <row r="205" spans="1:35" ht="15" x14ac:dyDescent="0.2">
      <c r="A205" s="150" t="s">
        <v>1316</v>
      </c>
      <c r="B205" s="146" t="s">
        <v>668</v>
      </c>
      <c r="C205" s="150" t="s">
        <v>1316</v>
      </c>
      <c r="D205" s="147" t="s">
        <v>669</v>
      </c>
      <c r="E205" s="146" t="s">
        <v>670</v>
      </c>
      <c r="F205" s="146" t="s">
        <v>671</v>
      </c>
      <c r="G205" s="146" t="s">
        <v>672</v>
      </c>
      <c r="H205" s="148">
        <v>0.89</v>
      </c>
      <c r="I205" s="146" t="s">
        <v>673</v>
      </c>
      <c r="J205" s="149">
        <v>1</v>
      </c>
      <c r="K205" s="150">
        <v>2021</v>
      </c>
      <c r="L205" s="178" t="s">
        <v>707</v>
      </c>
      <c r="M205" s="178" t="s">
        <v>1317</v>
      </c>
      <c r="N205" s="172"/>
      <c r="O205" s="153"/>
      <c r="P205" s="154" t="s">
        <v>676</v>
      </c>
      <c r="Q205" s="154"/>
      <c r="R205" s="155">
        <v>5</v>
      </c>
      <c r="S205" s="146"/>
      <c r="T205" s="168"/>
      <c r="U205" s="146"/>
      <c r="V205" s="146"/>
      <c r="W205" s="146"/>
      <c r="X205" s="156">
        <v>0</v>
      </c>
      <c r="Y205" s="156">
        <v>0</v>
      </c>
      <c r="Z205" s="157" t="s">
        <v>677</v>
      </c>
      <c r="AA205" s="174">
        <v>2021</v>
      </c>
      <c r="AB205" s="175">
        <v>9</v>
      </c>
      <c r="AC205" s="175">
        <v>13</v>
      </c>
      <c r="AD205" s="122" t="b">
        <f>IF(ISBLANK(GroupMember[[#This Row],[1. Identifiant interne d’exploitation agricole*]]),"",IF(ISERROR(MATCH(GroupMember[[#This Row],[1. Identifiant interne d’exploitation agricole*]],CertifiedCrop[1. Identifiant interne d’exploitation agricole*],0)),FALSE,TRUE))</f>
        <v>1</v>
      </c>
      <c r="AE205" s="122" t="b">
        <f>IF(ISBLANK(GroupMember[[#This Row],[1. Identifiant interne d’exploitation agricole*]]),"",IF(ISERROR(MATCH(GroupMember[[#This Row],[1. Identifiant interne d’exploitation agricole*]],FarmUnit[1. Identifiant interne d’exploitation agricole*],0)),FALSE,TRUE))</f>
        <v>1</v>
      </c>
      <c r="AF205" s="9" t="str">
        <f t="shared" si="9"/>
        <v>OUEDRAOGO  YEMSE</v>
      </c>
      <c r="AG205" s="243" t="str">
        <f t="shared" si="10"/>
        <v>13/9/2021</v>
      </c>
      <c r="AH205" s="51">
        <f>COUNTIFS(Z:Z,Z205,AG:AG,AG205)</f>
        <v>5</v>
      </c>
      <c r="AI205" s="49">
        <f t="shared" si="11"/>
        <v>0</v>
      </c>
    </row>
    <row r="206" spans="1:35" ht="15" x14ac:dyDescent="0.2">
      <c r="A206" s="150" t="s">
        <v>1318</v>
      </c>
      <c r="B206" s="146" t="s">
        <v>668</v>
      </c>
      <c r="C206" s="150" t="s">
        <v>1318</v>
      </c>
      <c r="D206" s="147" t="s">
        <v>669</v>
      </c>
      <c r="E206" s="146" t="s">
        <v>670</v>
      </c>
      <c r="F206" s="146" t="s">
        <v>671</v>
      </c>
      <c r="G206" s="146" t="s">
        <v>672</v>
      </c>
      <c r="H206" s="148">
        <v>3</v>
      </c>
      <c r="I206" s="146" t="s">
        <v>673</v>
      </c>
      <c r="J206" s="149">
        <v>1</v>
      </c>
      <c r="K206" s="150">
        <v>2021</v>
      </c>
      <c r="L206" s="151" t="s">
        <v>1319</v>
      </c>
      <c r="M206" s="151" t="s">
        <v>1320</v>
      </c>
      <c r="N206" s="152"/>
      <c r="O206" s="153"/>
      <c r="P206" s="154" t="s">
        <v>676</v>
      </c>
      <c r="Q206" s="154"/>
      <c r="R206" s="155">
        <v>4</v>
      </c>
      <c r="S206" s="146"/>
      <c r="T206" s="168"/>
      <c r="U206" s="146"/>
      <c r="V206" s="146"/>
      <c r="W206" s="146"/>
      <c r="X206" s="156">
        <v>0</v>
      </c>
      <c r="Y206" s="156">
        <v>0</v>
      </c>
      <c r="Z206" s="157" t="s">
        <v>677</v>
      </c>
      <c r="AA206" s="174">
        <v>2021</v>
      </c>
      <c r="AB206" s="175">
        <v>9</v>
      </c>
      <c r="AC206" s="175">
        <v>17</v>
      </c>
      <c r="AD206" s="122" t="b">
        <f>IF(ISBLANK(GroupMember[[#This Row],[1. Identifiant interne d’exploitation agricole*]]),"",IF(ISERROR(MATCH(GroupMember[[#This Row],[1. Identifiant interne d’exploitation agricole*]],CertifiedCrop[1. Identifiant interne d’exploitation agricole*],0)),FALSE,TRUE))</f>
        <v>1</v>
      </c>
      <c r="AE206" s="122" t="b">
        <f>IF(ISBLANK(GroupMember[[#This Row],[1. Identifiant interne d’exploitation agricole*]]),"",IF(ISERROR(MATCH(GroupMember[[#This Row],[1. Identifiant interne d’exploitation agricole*]],FarmUnit[1. Identifiant interne d’exploitation agricole*],0)),FALSE,TRUE))</f>
        <v>1</v>
      </c>
      <c r="AF206" s="9" t="str">
        <f t="shared" si="9"/>
        <v>ZIDA  SIGRINOMA 1</v>
      </c>
      <c r="AG206" s="243" t="str">
        <f t="shared" si="10"/>
        <v>17/9/2021</v>
      </c>
      <c r="AH206" s="51">
        <f>COUNTIFS(Z:Z,Z206,AG:AG,AG206)</f>
        <v>5</v>
      </c>
      <c r="AI206" s="49">
        <f t="shared" si="11"/>
        <v>0</v>
      </c>
    </row>
    <row r="207" spans="1:35" ht="15" x14ac:dyDescent="0.2">
      <c r="A207" s="150" t="s">
        <v>1321</v>
      </c>
      <c r="B207" s="146" t="s">
        <v>668</v>
      </c>
      <c r="C207" s="150" t="s">
        <v>1321</v>
      </c>
      <c r="D207" s="147" t="s">
        <v>669</v>
      </c>
      <c r="E207" s="146" t="s">
        <v>670</v>
      </c>
      <c r="F207" s="146" t="s">
        <v>671</v>
      </c>
      <c r="G207" s="146" t="s">
        <v>672</v>
      </c>
      <c r="H207" s="148">
        <v>2.5</v>
      </c>
      <c r="I207" s="146" t="s">
        <v>673</v>
      </c>
      <c r="J207" s="149">
        <v>1</v>
      </c>
      <c r="K207" s="150">
        <v>2021</v>
      </c>
      <c r="L207" s="178" t="s">
        <v>828</v>
      </c>
      <c r="M207" s="178" t="s">
        <v>1322</v>
      </c>
      <c r="N207" s="172"/>
      <c r="O207" s="153"/>
      <c r="P207" s="154" t="s">
        <v>676</v>
      </c>
      <c r="Q207" s="154"/>
      <c r="R207" s="155">
        <v>6</v>
      </c>
      <c r="S207" s="146"/>
      <c r="T207" s="168"/>
      <c r="U207" s="146"/>
      <c r="V207" s="146"/>
      <c r="W207" s="146"/>
      <c r="X207" s="156">
        <v>0</v>
      </c>
      <c r="Y207" s="156">
        <v>0</v>
      </c>
      <c r="Z207" s="157" t="s">
        <v>677</v>
      </c>
      <c r="AA207" s="174">
        <v>2021</v>
      </c>
      <c r="AB207" s="175">
        <v>9</v>
      </c>
      <c r="AC207" s="175">
        <v>8</v>
      </c>
      <c r="AD207" s="122" t="b">
        <f>IF(ISBLANK(GroupMember[[#This Row],[1. Identifiant interne d’exploitation agricole*]]),"",IF(ISERROR(MATCH(GroupMember[[#This Row],[1. Identifiant interne d’exploitation agricole*]],CertifiedCrop[1. Identifiant interne d’exploitation agricole*],0)),FALSE,TRUE))</f>
        <v>1</v>
      </c>
      <c r="AE207" s="122" t="b">
        <f>IF(ISBLANK(GroupMember[[#This Row],[1. Identifiant interne d’exploitation agricole*]]),"",IF(ISERROR(MATCH(GroupMember[[#This Row],[1. Identifiant interne d’exploitation agricole*]],FarmUnit[1. Identifiant interne d’exploitation agricole*],0)),FALSE,TRUE))</f>
        <v>1</v>
      </c>
      <c r="AF207" s="9" t="str">
        <f t="shared" si="9"/>
        <v>KONATE  KADOGOTCHIN</v>
      </c>
      <c r="AG207" s="243" t="str">
        <f t="shared" si="10"/>
        <v>8/9/2021</v>
      </c>
      <c r="AH207" s="51">
        <f>COUNTIFS(Z:Z,Z207,AG:AG,AG207)</f>
        <v>5</v>
      </c>
      <c r="AI207" s="49">
        <f t="shared" si="11"/>
        <v>0</v>
      </c>
    </row>
    <row r="208" spans="1:35" ht="15" x14ac:dyDescent="0.2">
      <c r="A208" s="150" t="s">
        <v>1323</v>
      </c>
      <c r="B208" s="146" t="s">
        <v>668</v>
      </c>
      <c r="C208" s="150" t="s">
        <v>1323</v>
      </c>
      <c r="D208" s="147" t="s">
        <v>669</v>
      </c>
      <c r="E208" s="146" t="s">
        <v>670</v>
      </c>
      <c r="F208" s="146" t="s">
        <v>671</v>
      </c>
      <c r="G208" s="146" t="s">
        <v>672</v>
      </c>
      <c r="H208" s="148">
        <v>5.4</v>
      </c>
      <c r="I208" s="146" t="s">
        <v>673</v>
      </c>
      <c r="J208" s="149">
        <v>1</v>
      </c>
      <c r="K208" s="150">
        <v>2021</v>
      </c>
      <c r="L208" s="178" t="s">
        <v>1319</v>
      </c>
      <c r="M208" s="178" t="s">
        <v>1324</v>
      </c>
      <c r="N208" s="172"/>
      <c r="O208" s="153"/>
      <c r="P208" s="154" t="s">
        <v>676</v>
      </c>
      <c r="Q208" s="154"/>
      <c r="R208" s="155">
        <v>8</v>
      </c>
      <c r="S208" s="146"/>
      <c r="T208" s="168"/>
      <c r="U208" s="146"/>
      <c r="V208" s="146"/>
      <c r="W208" s="146"/>
      <c r="X208" s="156">
        <v>0</v>
      </c>
      <c r="Y208" s="156">
        <v>0</v>
      </c>
      <c r="Z208" s="157" t="s">
        <v>677</v>
      </c>
      <c r="AA208" s="174">
        <v>2021</v>
      </c>
      <c r="AB208" s="175">
        <v>9</v>
      </c>
      <c r="AC208" s="175">
        <v>2</v>
      </c>
      <c r="AD208" s="122" t="b">
        <f>IF(ISBLANK(GroupMember[[#This Row],[1. Identifiant interne d’exploitation agricole*]]),"",IF(ISERROR(MATCH(GroupMember[[#This Row],[1. Identifiant interne d’exploitation agricole*]],CertifiedCrop[1. Identifiant interne d’exploitation agricole*],0)),FALSE,TRUE))</f>
        <v>1</v>
      </c>
      <c r="AE208" s="122" t="b">
        <f>IF(ISBLANK(GroupMember[[#This Row],[1. Identifiant interne d’exploitation agricole*]]),"",IF(ISERROR(MATCH(GroupMember[[#This Row],[1. Identifiant interne d’exploitation agricole*]],FarmUnit[1. Identifiant interne d’exploitation agricole*],0)),FALSE,TRUE))</f>
        <v>1</v>
      </c>
      <c r="AF208" s="9" t="str">
        <f t="shared" si="9"/>
        <v>ZIDA  SOUTOCURMA</v>
      </c>
      <c r="AG208" s="243" t="str">
        <f t="shared" si="10"/>
        <v>2/9/2021</v>
      </c>
      <c r="AH208" s="51">
        <f>COUNTIFS(Z:Z,Z208,AG:AG,AG208)</f>
        <v>4</v>
      </c>
      <c r="AI208" s="49">
        <f t="shared" si="11"/>
        <v>0</v>
      </c>
    </row>
    <row r="209" spans="1:35" ht="15" x14ac:dyDescent="0.2">
      <c r="A209" s="150" t="s">
        <v>1325</v>
      </c>
      <c r="B209" s="146" t="s">
        <v>668</v>
      </c>
      <c r="C209" s="150" t="s">
        <v>1325</v>
      </c>
      <c r="D209" s="147" t="s">
        <v>669</v>
      </c>
      <c r="E209" s="146" t="s">
        <v>670</v>
      </c>
      <c r="F209" s="146" t="s">
        <v>671</v>
      </c>
      <c r="G209" s="146" t="s">
        <v>672</v>
      </c>
      <c r="H209" s="148">
        <v>1.61</v>
      </c>
      <c r="I209" s="146" t="s">
        <v>673</v>
      </c>
      <c r="J209" s="149">
        <v>1</v>
      </c>
      <c r="K209" s="150">
        <v>2021</v>
      </c>
      <c r="L209" s="151" t="s">
        <v>1063</v>
      </c>
      <c r="M209" s="151" t="s">
        <v>1326</v>
      </c>
      <c r="N209" s="172"/>
      <c r="O209" s="153"/>
      <c r="P209" s="154" t="s">
        <v>676</v>
      </c>
      <c r="Q209" s="154"/>
      <c r="R209" s="155">
        <v>5</v>
      </c>
      <c r="S209" s="146"/>
      <c r="T209" s="168"/>
      <c r="U209" s="146"/>
      <c r="V209" s="146"/>
      <c r="W209" s="146"/>
      <c r="X209" s="156">
        <v>0</v>
      </c>
      <c r="Y209" s="156">
        <v>0</v>
      </c>
      <c r="Z209" s="157" t="s">
        <v>677</v>
      </c>
      <c r="AA209" s="174">
        <v>2021</v>
      </c>
      <c r="AB209" s="175">
        <v>9</v>
      </c>
      <c r="AC209" s="175">
        <v>16</v>
      </c>
      <c r="AD209" s="122" t="b">
        <f>IF(ISBLANK(GroupMember[[#This Row],[1. Identifiant interne d’exploitation agricole*]]),"",IF(ISERROR(MATCH(GroupMember[[#This Row],[1. Identifiant interne d’exploitation agricole*]],CertifiedCrop[1. Identifiant interne d’exploitation agricole*],0)),FALSE,TRUE))</f>
        <v>1</v>
      </c>
      <c r="AE209" s="122" t="b">
        <f>IF(ISBLANK(GroupMember[[#This Row],[1. Identifiant interne d’exploitation agricole*]]),"",IF(ISERROR(MATCH(GroupMember[[#This Row],[1. Identifiant interne d’exploitation agricole*]],FarmUnit[1. Identifiant interne d’exploitation agricole*],0)),FALSE,TRUE))</f>
        <v>1</v>
      </c>
      <c r="AF209" s="9" t="str">
        <f t="shared" si="9"/>
        <v>ZONGO  OUSSENI</v>
      </c>
      <c r="AG209" s="243" t="str">
        <f t="shared" si="10"/>
        <v>16/9/2021</v>
      </c>
      <c r="AH209" s="51">
        <f>COUNTIFS(Z:Z,Z209,AG:AG,AG209)</f>
        <v>5</v>
      </c>
      <c r="AI209" s="49">
        <f t="shared" si="11"/>
        <v>0</v>
      </c>
    </row>
    <row r="210" spans="1:35" ht="15" x14ac:dyDescent="0.2">
      <c r="A210" s="150" t="s">
        <v>1327</v>
      </c>
      <c r="B210" s="146" t="s">
        <v>668</v>
      </c>
      <c r="C210" s="150" t="s">
        <v>1327</v>
      </c>
      <c r="D210" s="147" t="s">
        <v>669</v>
      </c>
      <c r="E210" s="146" t="s">
        <v>670</v>
      </c>
      <c r="F210" s="146" t="s">
        <v>671</v>
      </c>
      <c r="G210" s="146" t="s">
        <v>672</v>
      </c>
      <c r="H210" s="148">
        <v>1.73</v>
      </c>
      <c r="I210" s="146" t="s">
        <v>673</v>
      </c>
      <c r="J210" s="149">
        <v>1</v>
      </c>
      <c r="K210" s="150">
        <v>2021</v>
      </c>
      <c r="L210" s="151" t="s">
        <v>707</v>
      </c>
      <c r="M210" s="151" t="s">
        <v>1328</v>
      </c>
      <c r="N210" s="152"/>
      <c r="O210" s="153"/>
      <c r="P210" s="154" t="s">
        <v>676</v>
      </c>
      <c r="Q210" s="154"/>
      <c r="R210" s="155">
        <v>6</v>
      </c>
      <c r="S210" s="146"/>
      <c r="T210" s="168"/>
      <c r="U210" s="146"/>
      <c r="V210" s="146"/>
      <c r="W210" s="146"/>
      <c r="X210" s="156">
        <v>0</v>
      </c>
      <c r="Y210" s="156">
        <v>0</v>
      </c>
      <c r="Z210" s="157" t="s">
        <v>677</v>
      </c>
      <c r="AA210" s="174">
        <v>2021</v>
      </c>
      <c r="AB210" s="175">
        <v>9</v>
      </c>
      <c r="AC210" s="175">
        <v>17</v>
      </c>
      <c r="AD210" s="122" t="b">
        <f>IF(ISBLANK(GroupMember[[#This Row],[1. Identifiant interne d’exploitation agricole*]]),"",IF(ISERROR(MATCH(GroupMember[[#This Row],[1. Identifiant interne d’exploitation agricole*]],CertifiedCrop[1. Identifiant interne d’exploitation agricole*],0)),FALSE,TRUE))</f>
        <v>1</v>
      </c>
      <c r="AE210" s="122" t="b">
        <f>IF(ISBLANK(GroupMember[[#This Row],[1. Identifiant interne d’exploitation agricole*]]),"",IF(ISERROR(MATCH(GroupMember[[#This Row],[1. Identifiant interne d’exploitation agricole*]],FarmUnit[1. Identifiant interne d’exploitation agricole*],0)),FALSE,TRUE))</f>
        <v>1</v>
      </c>
      <c r="AF210" s="9" t="str">
        <f t="shared" si="9"/>
        <v>OUEDRAOGO  ABDOUL RASMANI</v>
      </c>
      <c r="AG210" s="243" t="str">
        <f t="shared" si="10"/>
        <v>17/9/2021</v>
      </c>
      <c r="AH210" s="51">
        <f>COUNTIFS(Z:Z,Z210,AG:AG,AG210)</f>
        <v>5</v>
      </c>
      <c r="AI210" s="49">
        <f t="shared" si="11"/>
        <v>0</v>
      </c>
    </row>
    <row r="211" spans="1:35" ht="15" x14ac:dyDescent="0.2">
      <c r="A211" s="150" t="s">
        <v>1329</v>
      </c>
      <c r="B211" s="146" t="s">
        <v>668</v>
      </c>
      <c r="C211" s="150" t="s">
        <v>1329</v>
      </c>
      <c r="D211" s="147" t="s">
        <v>669</v>
      </c>
      <c r="E211" s="146" t="s">
        <v>670</v>
      </c>
      <c r="F211" s="146" t="s">
        <v>671</v>
      </c>
      <c r="G211" s="146" t="s">
        <v>672</v>
      </c>
      <c r="H211" s="148">
        <v>1.46</v>
      </c>
      <c r="I211" s="146" t="s">
        <v>673</v>
      </c>
      <c r="J211" s="149">
        <v>1</v>
      </c>
      <c r="K211" s="150">
        <v>2021</v>
      </c>
      <c r="L211" s="151" t="s">
        <v>1330</v>
      </c>
      <c r="M211" s="151" t="s">
        <v>1331</v>
      </c>
      <c r="N211" s="152"/>
      <c r="O211" s="153"/>
      <c r="P211" s="154" t="s">
        <v>676</v>
      </c>
      <c r="Q211" s="154"/>
      <c r="R211" s="155">
        <v>6</v>
      </c>
      <c r="S211" s="146"/>
      <c r="T211" s="168"/>
      <c r="U211" s="146"/>
      <c r="V211" s="146"/>
      <c r="W211" s="146"/>
      <c r="X211" s="156">
        <v>0</v>
      </c>
      <c r="Y211" s="156">
        <v>0</v>
      </c>
      <c r="Z211" s="157" t="s">
        <v>677</v>
      </c>
      <c r="AA211" s="174">
        <v>2021</v>
      </c>
      <c r="AB211" s="175">
        <v>9</v>
      </c>
      <c r="AC211" s="175">
        <v>7</v>
      </c>
      <c r="AD211" s="122" t="b">
        <f>IF(ISBLANK(GroupMember[[#This Row],[1. Identifiant interne d’exploitation agricole*]]),"",IF(ISERROR(MATCH(GroupMember[[#This Row],[1. Identifiant interne d’exploitation agricole*]],CertifiedCrop[1. Identifiant interne d’exploitation agricole*],0)),FALSE,TRUE))</f>
        <v>1</v>
      </c>
      <c r="AE211" s="122" t="b">
        <f>IF(ISBLANK(GroupMember[[#This Row],[1. Identifiant interne d’exploitation agricole*]]),"",IF(ISERROR(MATCH(GroupMember[[#This Row],[1. Identifiant interne d’exploitation agricole*]],FarmUnit[1. Identifiant interne d’exploitation agricole*],0)),FALSE,TRUE))</f>
        <v>1</v>
      </c>
      <c r="AF211" s="9" t="str">
        <f t="shared" si="9"/>
        <v>KOUDOUKOU  KARIM</v>
      </c>
      <c r="AG211" s="243" t="str">
        <f t="shared" si="10"/>
        <v>7/9/2021</v>
      </c>
      <c r="AH211" s="51">
        <f>COUNTIFS(Z:Z,Z211,AG:AG,AG211)</f>
        <v>4</v>
      </c>
      <c r="AI211" s="49">
        <f t="shared" si="11"/>
        <v>0</v>
      </c>
    </row>
    <row r="212" spans="1:35" ht="15" x14ac:dyDescent="0.2">
      <c r="A212" s="150" t="s">
        <v>1332</v>
      </c>
      <c r="B212" s="146" t="s">
        <v>668</v>
      </c>
      <c r="C212" s="150" t="s">
        <v>1332</v>
      </c>
      <c r="D212" s="147" t="s">
        <v>669</v>
      </c>
      <c r="E212" s="146" t="s">
        <v>670</v>
      </c>
      <c r="F212" s="146" t="s">
        <v>671</v>
      </c>
      <c r="G212" s="146" t="s">
        <v>672</v>
      </c>
      <c r="H212" s="148">
        <v>1.04</v>
      </c>
      <c r="I212" s="146" t="s">
        <v>673</v>
      </c>
      <c r="J212" s="149">
        <v>1</v>
      </c>
      <c r="K212" s="150">
        <v>2021</v>
      </c>
      <c r="L212" s="151" t="s">
        <v>1333</v>
      </c>
      <c r="M212" s="151" t="s">
        <v>1334</v>
      </c>
      <c r="N212" s="152"/>
      <c r="O212" s="153"/>
      <c r="P212" s="154" t="s">
        <v>676</v>
      </c>
      <c r="Q212" s="154"/>
      <c r="R212" s="155">
        <v>5</v>
      </c>
      <c r="S212" s="146"/>
      <c r="T212" s="168"/>
      <c r="U212" s="146"/>
      <c r="V212" s="146"/>
      <c r="W212" s="146"/>
      <c r="X212" s="156">
        <v>0</v>
      </c>
      <c r="Y212" s="156">
        <v>0</v>
      </c>
      <c r="Z212" s="157" t="s">
        <v>677</v>
      </c>
      <c r="AA212" s="174">
        <v>2021</v>
      </c>
      <c r="AB212" s="175">
        <v>9</v>
      </c>
      <c r="AC212" s="175">
        <v>16</v>
      </c>
      <c r="AD212" s="122" t="b">
        <f>IF(ISBLANK(GroupMember[[#This Row],[1. Identifiant interne d’exploitation agricole*]]),"",IF(ISERROR(MATCH(GroupMember[[#This Row],[1. Identifiant interne d’exploitation agricole*]],CertifiedCrop[1. Identifiant interne d’exploitation agricole*],0)),FALSE,TRUE))</f>
        <v>1</v>
      </c>
      <c r="AE212" s="122" t="b">
        <f>IF(ISBLANK(GroupMember[[#This Row],[1. Identifiant interne d’exploitation agricole*]]),"",IF(ISERROR(MATCH(GroupMember[[#This Row],[1. Identifiant interne d’exploitation agricole*]],FarmUnit[1. Identifiant interne d’exploitation agricole*],0)),FALSE,TRUE))</f>
        <v>1</v>
      </c>
      <c r="AF212" s="9" t="str">
        <f t="shared" si="9"/>
        <v>GANABE  ABOU</v>
      </c>
      <c r="AG212" s="243" t="str">
        <f t="shared" si="10"/>
        <v>16/9/2021</v>
      </c>
      <c r="AH212" s="51">
        <f>COUNTIFS(Z:Z,Z212,AG:AG,AG212)</f>
        <v>5</v>
      </c>
      <c r="AI212" s="49">
        <f t="shared" si="11"/>
        <v>0</v>
      </c>
    </row>
    <row r="213" spans="1:35" ht="15" x14ac:dyDescent="0.2">
      <c r="A213" s="150" t="s">
        <v>1335</v>
      </c>
      <c r="B213" s="146" t="s">
        <v>668</v>
      </c>
      <c r="C213" s="150" t="s">
        <v>1335</v>
      </c>
      <c r="D213" s="147" t="s">
        <v>669</v>
      </c>
      <c r="E213" s="146" t="s">
        <v>670</v>
      </c>
      <c r="F213" s="146" t="s">
        <v>671</v>
      </c>
      <c r="G213" s="146" t="s">
        <v>672</v>
      </c>
      <c r="H213" s="148">
        <v>1.06</v>
      </c>
      <c r="I213" s="146" t="s">
        <v>673</v>
      </c>
      <c r="J213" s="149">
        <v>1</v>
      </c>
      <c r="K213" s="150">
        <v>2021</v>
      </c>
      <c r="L213" s="151" t="s">
        <v>948</v>
      </c>
      <c r="M213" s="151" t="s">
        <v>1336</v>
      </c>
      <c r="N213" s="172"/>
      <c r="O213" s="153"/>
      <c r="P213" s="154" t="s">
        <v>676</v>
      </c>
      <c r="Q213" s="154"/>
      <c r="R213" s="155">
        <v>7</v>
      </c>
      <c r="S213" s="146"/>
      <c r="T213" s="168"/>
      <c r="U213" s="146"/>
      <c r="V213" s="146"/>
      <c r="W213" s="146"/>
      <c r="X213" s="156">
        <v>0</v>
      </c>
      <c r="Y213" s="156">
        <v>0</v>
      </c>
      <c r="Z213" s="157" t="s">
        <v>677</v>
      </c>
      <c r="AA213" s="174">
        <v>2021</v>
      </c>
      <c r="AB213" s="175">
        <v>9</v>
      </c>
      <c r="AC213" s="175">
        <v>13</v>
      </c>
      <c r="AD213" s="122" t="b">
        <f>IF(ISBLANK(GroupMember[[#This Row],[1. Identifiant interne d’exploitation agricole*]]),"",IF(ISERROR(MATCH(GroupMember[[#This Row],[1. Identifiant interne d’exploitation agricole*]],CertifiedCrop[1. Identifiant interne d’exploitation agricole*],0)),FALSE,TRUE))</f>
        <v>1</v>
      </c>
      <c r="AE213" s="122" t="b">
        <f>IF(ISBLANK(GroupMember[[#This Row],[1. Identifiant interne d’exploitation agricole*]]),"",IF(ISERROR(MATCH(GroupMember[[#This Row],[1. Identifiant interne d’exploitation agricole*]],FarmUnit[1. Identifiant interne d’exploitation agricole*],0)),FALSE,TRUE))</f>
        <v>1</v>
      </c>
      <c r="AF213" s="9" t="str">
        <f t="shared" si="9"/>
        <v>SAWADOGO  AMIDOU 1</v>
      </c>
      <c r="AG213" s="243" t="str">
        <f t="shared" si="10"/>
        <v>13/9/2021</v>
      </c>
      <c r="AH213" s="51">
        <f>COUNTIFS(Z:Z,Z213,AG:AG,AG213)</f>
        <v>5</v>
      </c>
      <c r="AI213" s="49">
        <f t="shared" si="11"/>
        <v>0</v>
      </c>
    </row>
    <row r="214" spans="1:35" ht="15" x14ac:dyDescent="0.2">
      <c r="A214" s="150" t="s">
        <v>1337</v>
      </c>
      <c r="B214" s="146" t="s">
        <v>668</v>
      </c>
      <c r="C214" s="150" t="s">
        <v>1337</v>
      </c>
      <c r="D214" s="147" t="s">
        <v>669</v>
      </c>
      <c r="E214" s="146" t="s">
        <v>670</v>
      </c>
      <c r="F214" s="146" t="s">
        <v>671</v>
      </c>
      <c r="G214" s="146" t="s">
        <v>672</v>
      </c>
      <c r="H214" s="148">
        <v>1.79</v>
      </c>
      <c r="I214" s="146" t="s">
        <v>673</v>
      </c>
      <c r="J214" s="149">
        <v>1</v>
      </c>
      <c r="K214" s="150">
        <v>2021</v>
      </c>
      <c r="L214" s="151" t="s">
        <v>753</v>
      </c>
      <c r="M214" s="151" t="s">
        <v>1338</v>
      </c>
      <c r="N214" s="172"/>
      <c r="O214" s="153"/>
      <c r="P214" s="154" t="s">
        <v>676</v>
      </c>
      <c r="Q214" s="154"/>
      <c r="R214" s="155">
        <v>6</v>
      </c>
      <c r="S214" s="146"/>
      <c r="T214" s="168"/>
      <c r="U214" s="146"/>
      <c r="V214" s="146"/>
      <c r="W214" s="146"/>
      <c r="X214" s="156">
        <v>0</v>
      </c>
      <c r="Y214" s="156">
        <v>0</v>
      </c>
      <c r="Z214" s="157" t="s">
        <v>677</v>
      </c>
      <c r="AA214" s="174">
        <v>2021</v>
      </c>
      <c r="AB214" s="175">
        <v>9</v>
      </c>
      <c r="AC214" s="175">
        <v>6</v>
      </c>
      <c r="AD214" s="122" t="b">
        <f>IF(ISBLANK(GroupMember[[#This Row],[1. Identifiant interne d’exploitation agricole*]]),"",IF(ISERROR(MATCH(GroupMember[[#This Row],[1. Identifiant interne d’exploitation agricole*]],CertifiedCrop[1. Identifiant interne d’exploitation agricole*],0)),FALSE,TRUE))</f>
        <v>1</v>
      </c>
      <c r="AE214" s="122" t="b">
        <f>IF(ISBLANK(GroupMember[[#This Row],[1. Identifiant interne d’exploitation agricole*]]),"",IF(ISERROR(MATCH(GroupMember[[#This Row],[1. Identifiant interne d’exploitation agricole*]],FarmUnit[1. Identifiant interne d’exploitation agricole*],0)),FALSE,TRUE))</f>
        <v>1</v>
      </c>
      <c r="AF214" s="9" t="str">
        <f t="shared" si="9"/>
        <v xml:space="preserve">ADAMA  DABELLE </v>
      </c>
      <c r="AG214" s="243" t="str">
        <f t="shared" si="10"/>
        <v>6/9/2021</v>
      </c>
      <c r="AH214" s="51">
        <f>COUNTIFS(Z:Z,Z214,AG:AG,AG214)</f>
        <v>4</v>
      </c>
      <c r="AI214" s="49">
        <f t="shared" si="11"/>
        <v>0</v>
      </c>
    </row>
    <row r="215" spans="1:35" ht="15" x14ac:dyDescent="0.2">
      <c r="A215" s="150" t="s">
        <v>1339</v>
      </c>
      <c r="B215" s="146" t="s">
        <v>668</v>
      </c>
      <c r="C215" s="150" t="s">
        <v>1339</v>
      </c>
      <c r="D215" s="147" t="s">
        <v>669</v>
      </c>
      <c r="E215" s="146" t="s">
        <v>670</v>
      </c>
      <c r="F215" s="146" t="s">
        <v>671</v>
      </c>
      <c r="G215" s="146" t="s">
        <v>672</v>
      </c>
      <c r="H215" s="148">
        <v>3</v>
      </c>
      <c r="I215" s="146" t="s">
        <v>673</v>
      </c>
      <c r="J215" s="149">
        <v>1</v>
      </c>
      <c r="K215" s="150">
        <v>2021</v>
      </c>
      <c r="L215" s="159" t="s">
        <v>1098</v>
      </c>
      <c r="M215" s="159" t="s">
        <v>1340</v>
      </c>
      <c r="N215" s="177"/>
      <c r="O215" s="153"/>
      <c r="P215" s="154" t="s">
        <v>676</v>
      </c>
      <c r="Q215" s="154"/>
      <c r="R215" s="155">
        <v>5</v>
      </c>
      <c r="S215" s="146"/>
      <c r="T215" s="168"/>
      <c r="U215" s="146"/>
      <c r="V215" s="146"/>
      <c r="W215" s="146"/>
      <c r="X215" s="156">
        <v>0</v>
      </c>
      <c r="Y215" s="156">
        <v>0</v>
      </c>
      <c r="Z215" s="157" t="s">
        <v>677</v>
      </c>
      <c r="AA215" s="174">
        <v>2021</v>
      </c>
      <c r="AB215" s="175">
        <v>9</v>
      </c>
      <c r="AC215" s="175">
        <v>11</v>
      </c>
      <c r="AD215" s="122" t="b">
        <f>IF(ISBLANK(GroupMember[[#This Row],[1. Identifiant interne d’exploitation agricole*]]),"",IF(ISERROR(MATCH(GroupMember[[#This Row],[1. Identifiant interne d’exploitation agricole*]],CertifiedCrop[1. Identifiant interne d’exploitation agricole*],0)),FALSE,TRUE))</f>
        <v>1</v>
      </c>
      <c r="AE215" s="122" t="b">
        <f>IF(ISBLANK(GroupMember[[#This Row],[1. Identifiant interne d’exploitation agricole*]]),"",IF(ISERROR(MATCH(GroupMember[[#This Row],[1. Identifiant interne d’exploitation agricole*]],FarmUnit[1. Identifiant interne d’exploitation agricole*],0)),FALSE,TRUE))</f>
        <v>1</v>
      </c>
      <c r="AF215" s="9" t="str">
        <f t="shared" si="9"/>
        <v>SANKARA  HAROUNA</v>
      </c>
      <c r="AG215" s="243" t="str">
        <f t="shared" si="10"/>
        <v>11/9/2021</v>
      </c>
      <c r="AH215" s="51">
        <f>COUNTIFS(Z:Z,Z215,AG:AG,AG215)</f>
        <v>5</v>
      </c>
      <c r="AI215" s="49">
        <f t="shared" si="11"/>
        <v>0</v>
      </c>
    </row>
    <row r="216" spans="1:35" ht="15" x14ac:dyDescent="0.2">
      <c r="A216" s="150" t="s">
        <v>1341</v>
      </c>
      <c r="B216" s="146" t="s">
        <v>668</v>
      </c>
      <c r="C216" s="150" t="s">
        <v>1341</v>
      </c>
      <c r="D216" s="147" t="s">
        <v>669</v>
      </c>
      <c r="E216" s="146" t="s">
        <v>670</v>
      </c>
      <c r="F216" s="146" t="s">
        <v>671</v>
      </c>
      <c r="G216" s="146" t="s">
        <v>672</v>
      </c>
      <c r="H216" s="148">
        <v>1.95</v>
      </c>
      <c r="I216" s="146" t="s">
        <v>673</v>
      </c>
      <c r="J216" s="149">
        <v>1</v>
      </c>
      <c r="K216" s="150">
        <v>2021</v>
      </c>
      <c r="L216" s="151" t="s">
        <v>1342</v>
      </c>
      <c r="M216" s="151" t="s">
        <v>1343</v>
      </c>
      <c r="N216" s="172" t="s">
        <v>1344</v>
      </c>
      <c r="O216" s="153"/>
      <c r="P216" s="154" t="s">
        <v>676</v>
      </c>
      <c r="Q216" s="154"/>
      <c r="R216" s="155">
        <v>8</v>
      </c>
      <c r="S216" s="146"/>
      <c r="T216" s="168"/>
      <c r="U216" s="146"/>
      <c r="V216" s="146"/>
      <c r="W216" s="146"/>
      <c r="X216" s="156">
        <v>0</v>
      </c>
      <c r="Y216" s="156">
        <v>0</v>
      </c>
      <c r="Z216" s="157" t="s">
        <v>677</v>
      </c>
      <c r="AA216" s="174">
        <v>2021</v>
      </c>
      <c r="AB216" s="175">
        <v>9</v>
      </c>
      <c r="AC216" s="175">
        <v>7</v>
      </c>
      <c r="AD216" s="122" t="b">
        <f>IF(ISBLANK(GroupMember[[#This Row],[1. Identifiant interne d’exploitation agricole*]]),"",IF(ISERROR(MATCH(GroupMember[[#This Row],[1. Identifiant interne d’exploitation agricole*]],CertifiedCrop[1. Identifiant interne d’exploitation agricole*],0)),FALSE,TRUE))</f>
        <v>1</v>
      </c>
      <c r="AE216" s="122" t="b">
        <f>IF(ISBLANK(GroupMember[[#This Row],[1. Identifiant interne d’exploitation agricole*]]),"",IF(ISERROR(MATCH(GroupMember[[#This Row],[1. Identifiant interne d’exploitation agricole*]],FarmUnit[1. Identifiant interne d’exploitation agricole*],0)),FALSE,TRUE))</f>
        <v>1</v>
      </c>
      <c r="AF216" s="9" t="str">
        <f t="shared" si="9"/>
        <v>DRABO  ISSA</v>
      </c>
      <c r="AG216" s="243" t="str">
        <f t="shared" si="10"/>
        <v>7/9/2021</v>
      </c>
      <c r="AH216" s="51">
        <f>COUNTIFS(Z:Z,Z216,AG:AG,AG216)</f>
        <v>4</v>
      </c>
      <c r="AI216" s="49">
        <f t="shared" si="11"/>
        <v>0</v>
      </c>
    </row>
    <row r="217" spans="1:35" ht="15" x14ac:dyDescent="0.2">
      <c r="A217" s="150" t="s">
        <v>1345</v>
      </c>
      <c r="B217" s="146" t="s">
        <v>668</v>
      </c>
      <c r="C217" s="150" t="s">
        <v>1345</v>
      </c>
      <c r="D217" s="147" t="s">
        <v>669</v>
      </c>
      <c r="E217" s="146" t="s">
        <v>670</v>
      </c>
      <c r="F217" s="146" t="s">
        <v>671</v>
      </c>
      <c r="G217" s="146" t="s">
        <v>672</v>
      </c>
      <c r="H217" s="148">
        <v>1.82</v>
      </c>
      <c r="I217" s="146" t="s">
        <v>673</v>
      </c>
      <c r="J217" s="149">
        <v>1</v>
      </c>
      <c r="K217" s="150">
        <v>2021</v>
      </c>
      <c r="L217" s="151" t="s">
        <v>1346</v>
      </c>
      <c r="M217" s="151" t="s">
        <v>829</v>
      </c>
      <c r="N217" s="152" t="s">
        <v>1347</v>
      </c>
      <c r="O217" s="153"/>
      <c r="P217" s="154" t="s">
        <v>676</v>
      </c>
      <c r="Q217" s="154"/>
      <c r="R217" s="155">
        <v>7</v>
      </c>
      <c r="S217" s="146"/>
      <c r="T217" s="168"/>
      <c r="U217" s="146"/>
      <c r="V217" s="146"/>
      <c r="W217" s="146"/>
      <c r="X217" s="156">
        <v>0</v>
      </c>
      <c r="Y217" s="156">
        <v>0</v>
      </c>
      <c r="Z217" s="157" t="s">
        <v>677</v>
      </c>
      <c r="AA217" s="174">
        <v>2021</v>
      </c>
      <c r="AB217" s="175">
        <v>9</v>
      </c>
      <c r="AC217" s="175">
        <v>9</v>
      </c>
      <c r="AD217" s="122" t="b">
        <f>IF(ISBLANK(GroupMember[[#This Row],[1. Identifiant interne d’exploitation agricole*]]),"",IF(ISERROR(MATCH(GroupMember[[#This Row],[1. Identifiant interne d’exploitation agricole*]],CertifiedCrop[1. Identifiant interne d’exploitation agricole*],0)),FALSE,TRUE))</f>
        <v>1</v>
      </c>
      <c r="AE217" s="122" t="b">
        <f>IF(ISBLANK(GroupMember[[#This Row],[1. Identifiant interne d’exploitation agricole*]]),"",IF(ISERROR(MATCH(GroupMember[[#This Row],[1. Identifiant interne d’exploitation agricole*]],FarmUnit[1. Identifiant interne d’exploitation agricole*],0)),FALSE,TRUE))</f>
        <v>1</v>
      </c>
      <c r="AF217" s="9" t="str">
        <f t="shared" si="9"/>
        <v>BORAU ALI</v>
      </c>
      <c r="AG217" s="243" t="str">
        <f t="shared" si="10"/>
        <v>9/9/2021</v>
      </c>
      <c r="AH217" s="51">
        <f>COUNTIFS(Z:Z,Z217,AG:AG,AG217)</f>
        <v>5</v>
      </c>
      <c r="AI217" s="49">
        <f t="shared" si="11"/>
        <v>0</v>
      </c>
    </row>
    <row r="218" spans="1:35" ht="15" x14ac:dyDescent="0.2">
      <c r="A218" s="150" t="s">
        <v>1348</v>
      </c>
      <c r="B218" s="146" t="s">
        <v>668</v>
      </c>
      <c r="C218" s="150" t="s">
        <v>1348</v>
      </c>
      <c r="D218" s="147" t="s">
        <v>669</v>
      </c>
      <c r="E218" s="146" t="s">
        <v>670</v>
      </c>
      <c r="F218" s="146" t="s">
        <v>671</v>
      </c>
      <c r="G218" s="146" t="s">
        <v>672</v>
      </c>
      <c r="H218" s="148">
        <v>3</v>
      </c>
      <c r="I218" s="146" t="s">
        <v>673</v>
      </c>
      <c r="J218" s="149">
        <v>1</v>
      </c>
      <c r="K218" s="150">
        <v>2021</v>
      </c>
      <c r="L218" s="151" t="s">
        <v>1346</v>
      </c>
      <c r="M218" s="151" t="s">
        <v>1349</v>
      </c>
      <c r="N218" s="172"/>
      <c r="O218" s="153"/>
      <c r="P218" s="154" t="s">
        <v>676</v>
      </c>
      <c r="Q218" s="154"/>
      <c r="R218" s="155">
        <v>7</v>
      </c>
      <c r="S218" s="146"/>
      <c r="T218" s="168"/>
      <c r="U218" s="146"/>
      <c r="V218" s="146"/>
      <c r="W218" s="146"/>
      <c r="X218" s="156">
        <v>0</v>
      </c>
      <c r="Y218" s="156">
        <v>0</v>
      </c>
      <c r="Z218" s="157" t="s">
        <v>677</v>
      </c>
      <c r="AA218" s="174">
        <v>2021</v>
      </c>
      <c r="AB218" s="175">
        <v>9</v>
      </c>
      <c r="AC218" s="175">
        <v>17</v>
      </c>
      <c r="AD218" s="122" t="b">
        <f>IF(ISBLANK(GroupMember[[#This Row],[1. Identifiant interne d’exploitation agricole*]]),"",IF(ISERROR(MATCH(GroupMember[[#This Row],[1. Identifiant interne d’exploitation agricole*]],CertifiedCrop[1. Identifiant interne d’exploitation agricole*],0)),FALSE,TRUE))</f>
        <v>1</v>
      </c>
      <c r="AE218" s="122" t="b">
        <f>IF(ISBLANK(GroupMember[[#This Row],[1. Identifiant interne d’exploitation agricole*]]),"",IF(ISERROR(MATCH(GroupMember[[#This Row],[1. Identifiant interne d’exploitation agricole*]],FarmUnit[1. Identifiant interne d’exploitation agricole*],0)),FALSE,TRUE))</f>
        <v>1</v>
      </c>
      <c r="AF218" s="9" t="str">
        <f t="shared" si="9"/>
        <v>BORAU  HAMADOU</v>
      </c>
      <c r="AG218" s="243" t="str">
        <f t="shared" si="10"/>
        <v>17/9/2021</v>
      </c>
      <c r="AH218" s="51">
        <f>COUNTIFS(Z:Z,Z218,AG:AG,AG218)</f>
        <v>5</v>
      </c>
      <c r="AI218" s="49">
        <f t="shared" si="11"/>
        <v>0</v>
      </c>
    </row>
    <row r="219" spans="1:35" ht="15" x14ac:dyDescent="0.2">
      <c r="A219" s="150" t="s">
        <v>1350</v>
      </c>
      <c r="B219" s="146" t="s">
        <v>668</v>
      </c>
      <c r="C219" s="150" t="s">
        <v>1350</v>
      </c>
      <c r="D219" s="147" t="s">
        <v>669</v>
      </c>
      <c r="E219" s="146" t="s">
        <v>670</v>
      </c>
      <c r="F219" s="146" t="s">
        <v>671</v>
      </c>
      <c r="G219" s="146" t="s">
        <v>672</v>
      </c>
      <c r="H219" s="148">
        <v>2.57</v>
      </c>
      <c r="I219" s="146" t="s">
        <v>673</v>
      </c>
      <c r="J219" s="149">
        <v>1</v>
      </c>
      <c r="K219" s="150">
        <v>2021</v>
      </c>
      <c r="L219" s="151" t="s">
        <v>1351</v>
      </c>
      <c r="M219" s="151" t="s">
        <v>1352</v>
      </c>
      <c r="N219" s="152"/>
      <c r="O219" s="153"/>
      <c r="P219" s="154" t="s">
        <v>676</v>
      </c>
      <c r="Q219" s="154"/>
      <c r="R219" s="155">
        <v>8</v>
      </c>
      <c r="S219" s="146"/>
      <c r="T219" s="168"/>
      <c r="U219" s="146"/>
      <c r="V219" s="146"/>
      <c r="W219" s="146"/>
      <c r="X219" s="156">
        <v>0</v>
      </c>
      <c r="Y219" s="156">
        <v>0</v>
      </c>
      <c r="Z219" s="157" t="s">
        <v>677</v>
      </c>
      <c r="AA219" s="174">
        <v>2021</v>
      </c>
      <c r="AB219" s="175">
        <v>9</v>
      </c>
      <c r="AC219" s="175">
        <v>3</v>
      </c>
      <c r="AD219" s="122" t="b">
        <f>IF(ISBLANK(GroupMember[[#This Row],[1. Identifiant interne d’exploitation agricole*]]),"",IF(ISERROR(MATCH(GroupMember[[#This Row],[1. Identifiant interne d’exploitation agricole*]],CertifiedCrop[1. Identifiant interne d’exploitation agricole*],0)),FALSE,TRUE))</f>
        <v>1</v>
      </c>
      <c r="AE219" s="122" t="b">
        <f>IF(ISBLANK(GroupMember[[#This Row],[1. Identifiant interne d’exploitation agricole*]]),"",IF(ISERROR(MATCH(GroupMember[[#This Row],[1. Identifiant interne d’exploitation agricole*]],FarmUnit[1. Identifiant interne d’exploitation agricole*],0)),FALSE,TRUE))</f>
        <v>1</v>
      </c>
      <c r="AF219" s="9" t="str">
        <f t="shared" si="9"/>
        <v>HAMADOU  SELEMIN</v>
      </c>
      <c r="AG219" s="243" t="str">
        <f t="shared" si="10"/>
        <v>3/9/2021</v>
      </c>
      <c r="AH219" s="51">
        <f>COUNTIFS(Z:Z,Z219,AG:AG,AG219)</f>
        <v>5</v>
      </c>
      <c r="AI219" s="49">
        <f t="shared" si="11"/>
        <v>0</v>
      </c>
    </row>
    <row r="220" spans="1:35" ht="15" x14ac:dyDescent="0.2">
      <c r="A220" s="150" t="s">
        <v>1353</v>
      </c>
      <c r="B220" s="146" t="s">
        <v>668</v>
      </c>
      <c r="C220" s="150" t="s">
        <v>1353</v>
      </c>
      <c r="D220" s="147" t="s">
        <v>669</v>
      </c>
      <c r="E220" s="146" t="s">
        <v>670</v>
      </c>
      <c r="F220" s="146" t="s">
        <v>671</v>
      </c>
      <c r="G220" s="146" t="s">
        <v>672</v>
      </c>
      <c r="H220" s="148">
        <v>3.95</v>
      </c>
      <c r="I220" s="146" t="s">
        <v>673</v>
      </c>
      <c r="J220" s="149">
        <v>1</v>
      </c>
      <c r="K220" s="150">
        <v>2021</v>
      </c>
      <c r="L220" s="151" t="s">
        <v>1354</v>
      </c>
      <c r="M220" s="151" t="s">
        <v>1355</v>
      </c>
      <c r="N220" s="172" t="s">
        <v>1356</v>
      </c>
      <c r="O220" s="288" t="s">
        <v>3440</v>
      </c>
      <c r="P220" s="154" t="s">
        <v>676</v>
      </c>
      <c r="Q220" s="110">
        <v>1979</v>
      </c>
      <c r="R220" s="155">
        <v>5</v>
      </c>
      <c r="S220" s="146"/>
      <c r="T220" s="168"/>
      <c r="U220" s="146"/>
      <c r="V220" s="146"/>
      <c r="W220" s="146"/>
      <c r="X220" s="156">
        <v>0</v>
      </c>
      <c r="Y220" s="156">
        <v>0</v>
      </c>
      <c r="Z220" s="157" t="s">
        <v>677</v>
      </c>
      <c r="AA220" s="174">
        <v>2021</v>
      </c>
      <c r="AB220" s="175">
        <v>9</v>
      </c>
      <c r="AC220" s="175">
        <v>17</v>
      </c>
      <c r="AD220" s="122" t="b">
        <f>IF(ISBLANK(GroupMember[[#This Row],[1. Identifiant interne d’exploitation agricole*]]),"",IF(ISERROR(MATCH(GroupMember[[#This Row],[1. Identifiant interne d’exploitation agricole*]],CertifiedCrop[1. Identifiant interne d’exploitation agricole*],0)),FALSE,TRUE))</f>
        <v>1</v>
      </c>
      <c r="AE220" s="122" t="b">
        <f>IF(ISBLANK(GroupMember[[#This Row],[1. Identifiant interne d’exploitation agricole*]]),"",IF(ISERROR(MATCH(GroupMember[[#This Row],[1. Identifiant interne d’exploitation agricole*]],FarmUnit[1. Identifiant interne d’exploitation agricole*],0)),FALSE,TRUE))</f>
        <v>1</v>
      </c>
      <c r="AF220" s="9" t="str">
        <f t="shared" si="9"/>
        <v>MADE BOUAMA</v>
      </c>
      <c r="AG220" s="243" t="str">
        <f t="shared" si="10"/>
        <v>17/9/2021</v>
      </c>
      <c r="AH220" s="51">
        <f>COUNTIFS(Z:Z,Z220,AG:AG,AG220)</f>
        <v>5</v>
      </c>
      <c r="AI220" s="49">
        <f t="shared" si="11"/>
        <v>0</v>
      </c>
    </row>
    <row r="221" spans="1:35" ht="17.25" x14ac:dyDescent="0.2">
      <c r="A221" s="150" t="s">
        <v>1357</v>
      </c>
      <c r="B221" s="146" t="s">
        <v>668</v>
      </c>
      <c r="C221" s="150" t="s">
        <v>1357</v>
      </c>
      <c r="D221" s="147" t="s">
        <v>669</v>
      </c>
      <c r="E221" s="146" t="s">
        <v>670</v>
      </c>
      <c r="F221" s="146" t="s">
        <v>671</v>
      </c>
      <c r="G221" s="146" t="s">
        <v>672</v>
      </c>
      <c r="H221" s="148">
        <v>2.78</v>
      </c>
      <c r="I221" s="146" t="s">
        <v>673</v>
      </c>
      <c r="J221" s="149">
        <v>1</v>
      </c>
      <c r="K221" s="150">
        <v>2021</v>
      </c>
      <c r="L221" s="151" t="s">
        <v>1358</v>
      </c>
      <c r="M221" s="151" t="s">
        <v>1359</v>
      </c>
      <c r="N221" s="152" t="s">
        <v>1360</v>
      </c>
      <c r="O221" s="288" t="s">
        <v>3441</v>
      </c>
      <c r="P221" s="154" t="s">
        <v>676</v>
      </c>
      <c r="Q221" s="110">
        <v>1991</v>
      </c>
      <c r="R221" s="155">
        <v>8</v>
      </c>
      <c r="S221" s="146"/>
      <c r="T221" s="168"/>
      <c r="U221" s="146"/>
      <c r="V221" s="146"/>
      <c r="W221" s="146"/>
      <c r="X221" s="156">
        <v>0</v>
      </c>
      <c r="Y221" s="156">
        <v>0</v>
      </c>
      <c r="Z221" s="157" t="s">
        <v>677</v>
      </c>
      <c r="AA221" s="174">
        <v>2021</v>
      </c>
      <c r="AB221" s="175">
        <v>9</v>
      </c>
      <c r="AC221" s="175">
        <v>6</v>
      </c>
      <c r="AD221" s="122" t="b">
        <f>IF(ISBLANK(GroupMember[[#This Row],[1. Identifiant interne d’exploitation agricole*]]),"",IF(ISERROR(MATCH(GroupMember[[#This Row],[1. Identifiant interne d’exploitation agricole*]],CertifiedCrop[1. Identifiant interne d’exploitation agricole*],0)),FALSE,TRUE))</f>
        <v>1</v>
      </c>
      <c r="AE221" s="122" t="b">
        <f>IF(ISBLANK(GroupMember[[#This Row],[1. Identifiant interne d’exploitation agricole*]]),"",IF(ISERROR(MATCH(GroupMember[[#This Row],[1. Identifiant interne d’exploitation agricole*]],FarmUnit[1. Identifiant interne d’exploitation agricole*],0)),FALSE,TRUE))</f>
        <v>1</v>
      </c>
      <c r="AF221" s="9" t="str">
        <f t="shared" si="9"/>
        <v>SIDIBE  ALBOULAY</v>
      </c>
      <c r="AG221" s="243" t="str">
        <f t="shared" si="10"/>
        <v>6/9/2021</v>
      </c>
      <c r="AH221" s="51">
        <f>COUNTIFS(Z:Z,Z221,AG:AG,AG221)</f>
        <v>4</v>
      </c>
      <c r="AI221" s="49">
        <f t="shared" si="11"/>
        <v>0</v>
      </c>
    </row>
    <row r="222" spans="1:35" ht="15" x14ac:dyDescent="0.2">
      <c r="A222" s="150" t="s">
        <v>1361</v>
      </c>
      <c r="B222" s="146" t="s">
        <v>668</v>
      </c>
      <c r="C222" s="150" t="s">
        <v>1361</v>
      </c>
      <c r="D222" s="147" t="s">
        <v>669</v>
      </c>
      <c r="E222" s="146" t="s">
        <v>670</v>
      </c>
      <c r="F222" s="146" t="s">
        <v>671</v>
      </c>
      <c r="G222" s="146" t="s">
        <v>672</v>
      </c>
      <c r="H222" s="148">
        <v>3</v>
      </c>
      <c r="I222" s="146" t="s">
        <v>673</v>
      </c>
      <c r="J222" s="149">
        <v>1</v>
      </c>
      <c r="K222" s="150">
        <v>2021</v>
      </c>
      <c r="L222" s="151" t="s">
        <v>1362</v>
      </c>
      <c r="M222" s="151" t="s">
        <v>1363</v>
      </c>
      <c r="N222" s="172"/>
      <c r="O222" s="287" t="s">
        <v>3442</v>
      </c>
      <c r="P222" s="154" t="s">
        <v>676</v>
      </c>
      <c r="Q222" s="110">
        <v>1974</v>
      </c>
      <c r="R222" s="155">
        <v>6</v>
      </c>
      <c r="S222" s="146"/>
      <c r="T222" s="168"/>
      <c r="U222" s="146"/>
      <c r="V222" s="146"/>
      <c r="W222" s="146"/>
      <c r="X222" s="156">
        <v>0</v>
      </c>
      <c r="Y222" s="156">
        <v>0</v>
      </c>
      <c r="Z222" s="157" t="s">
        <v>677</v>
      </c>
      <c r="AA222" s="174">
        <v>2021</v>
      </c>
      <c r="AB222" s="175">
        <v>9</v>
      </c>
      <c r="AC222" s="175">
        <v>16</v>
      </c>
      <c r="AD222" s="122" t="b">
        <f>IF(ISBLANK(GroupMember[[#This Row],[1. Identifiant interne d’exploitation agricole*]]),"",IF(ISERROR(MATCH(GroupMember[[#This Row],[1. Identifiant interne d’exploitation agricole*]],CertifiedCrop[1. Identifiant interne d’exploitation agricole*],0)),FALSE,TRUE))</f>
        <v>1</v>
      </c>
      <c r="AE222" s="122" t="b">
        <f>IF(ISBLANK(GroupMember[[#This Row],[1. Identifiant interne d’exploitation agricole*]]),"",IF(ISERROR(MATCH(GroupMember[[#This Row],[1. Identifiant interne d’exploitation agricole*]],FarmUnit[1. Identifiant interne d’exploitation agricole*],0)),FALSE,TRUE))</f>
        <v>1</v>
      </c>
      <c r="AF222" s="9" t="str">
        <f t="shared" si="9"/>
        <v>GAMSORE OUMAROU</v>
      </c>
      <c r="AG222" s="243" t="str">
        <f t="shared" si="10"/>
        <v>16/9/2021</v>
      </c>
      <c r="AH222" s="51">
        <f>COUNTIFS(Z:Z,Z222,AG:AG,AG222)</f>
        <v>5</v>
      </c>
      <c r="AI222" s="49">
        <f t="shared" si="11"/>
        <v>0</v>
      </c>
    </row>
    <row r="223" spans="1:35" ht="15" x14ac:dyDescent="0.2">
      <c r="A223" s="150" t="s">
        <v>1364</v>
      </c>
      <c r="B223" s="146" t="s">
        <v>668</v>
      </c>
      <c r="C223" s="150" t="s">
        <v>1364</v>
      </c>
      <c r="D223" s="147" t="s">
        <v>669</v>
      </c>
      <c r="E223" s="146" t="s">
        <v>670</v>
      </c>
      <c r="F223" s="146" t="s">
        <v>671</v>
      </c>
      <c r="G223" s="146" t="s">
        <v>672</v>
      </c>
      <c r="H223" s="148">
        <v>6.01</v>
      </c>
      <c r="I223" s="146" t="s">
        <v>673</v>
      </c>
      <c r="J223" s="149">
        <v>1</v>
      </c>
      <c r="K223" s="150">
        <v>2021</v>
      </c>
      <c r="L223" s="151" t="s">
        <v>1365</v>
      </c>
      <c r="M223" s="169" t="s">
        <v>1366</v>
      </c>
      <c r="N223" s="172" t="s">
        <v>1367</v>
      </c>
      <c r="O223" s="287" t="s">
        <v>3443</v>
      </c>
      <c r="P223" s="154" t="s">
        <v>676</v>
      </c>
      <c r="Q223" s="110">
        <v>1968</v>
      </c>
      <c r="R223" s="155">
        <v>7</v>
      </c>
      <c r="S223" s="146"/>
      <c r="T223" s="168"/>
      <c r="U223" s="146"/>
      <c r="V223" s="146"/>
      <c r="W223" s="146"/>
      <c r="X223" s="156">
        <v>0</v>
      </c>
      <c r="Y223" s="156">
        <v>0</v>
      </c>
      <c r="Z223" s="157" t="s">
        <v>677</v>
      </c>
      <c r="AA223" s="174">
        <v>2021</v>
      </c>
      <c r="AB223" s="175">
        <v>9</v>
      </c>
      <c r="AC223" s="175">
        <v>7</v>
      </c>
      <c r="AD223" s="122" t="b">
        <f>IF(ISBLANK(GroupMember[[#This Row],[1. Identifiant interne d’exploitation agricole*]]),"",IF(ISERROR(MATCH(GroupMember[[#This Row],[1. Identifiant interne d’exploitation agricole*]],CertifiedCrop[1. Identifiant interne d’exploitation agricole*],0)),FALSE,TRUE))</f>
        <v>1</v>
      </c>
      <c r="AE223" s="122" t="b">
        <f>IF(ISBLANK(GroupMember[[#This Row],[1. Identifiant interne d’exploitation agricole*]]),"",IF(ISERROR(MATCH(GroupMember[[#This Row],[1. Identifiant interne d’exploitation agricole*]],FarmUnit[1. Identifiant interne d’exploitation agricole*],0)),FALSE,TRUE))</f>
        <v>1</v>
      </c>
      <c r="AF223" s="9" t="str">
        <f t="shared" si="9"/>
        <v>SALO  MALIKI</v>
      </c>
      <c r="AG223" s="243" t="str">
        <f t="shared" si="10"/>
        <v>7/9/2021</v>
      </c>
      <c r="AH223" s="51">
        <f>COUNTIFS(Z:Z,Z223,AG:AG,AG223)</f>
        <v>4</v>
      </c>
      <c r="AI223" s="49">
        <f t="shared" si="11"/>
        <v>0</v>
      </c>
    </row>
    <row r="224" spans="1:35" ht="15" x14ac:dyDescent="0.2">
      <c r="A224" s="150" t="s">
        <v>1368</v>
      </c>
      <c r="B224" s="146" t="s">
        <v>668</v>
      </c>
      <c r="C224" s="150" t="s">
        <v>1368</v>
      </c>
      <c r="D224" s="147" t="s">
        <v>669</v>
      </c>
      <c r="E224" s="146" t="s">
        <v>670</v>
      </c>
      <c r="F224" s="146" t="s">
        <v>671</v>
      </c>
      <c r="G224" s="146" t="s">
        <v>672</v>
      </c>
      <c r="H224" s="148">
        <v>2</v>
      </c>
      <c r="I224" s="146" t="s">
        <v>673</v>
      </c>
      <c r="J224" s="149">
        <v>1</v>
      </c>
      <c r="K224" s="150">
        <v>2021</v>
      </c>
      <c r="L224" s="151" t="s">
        <v>1369</v>
      </c>
      <c r="M224" s="151" t="s">
        <v>1370</v>
      </c>
      <c r="N224" s="152"/>
      <c r="O224" s="153"/>
      <c r="P224" s="154" t="s">
        <v>751</v>
      </c>
      <c r="Q224" s="154"/>
      <c r="R224" s="155">
        <v>5</v>
      </c>
      <c r="S224" s="146"/>
      <c r="T224" s="168"/>
      <c r="U224" s="146"/>
      <c r="V224" s="146"/>
      <c r="W224" s="146"/>
      <c r="X224" s="156">
        <v>0</v>
      </c>
      <c r="Y224" s="156">
        <v>0</v>
      </c>
      <c r="Z224" s="157" t="s">
        <v>677</v>
      </c>
      <c r="AA224" s="174">
        <v>2021</v>
      </c>
      <c r="AB224" s="175">
        <v>9</v>
      </c>
      <c r="AC224" s="175">
        <v>11</v>
      </c>
      <c r="AD224" s="122" t="b">
        <f>IF(ISBLANK(GroupMember[[#This Row],[1. Identifiant interne d’exploitation agricole*]]),"",IF(ISERROR(MATCH(GroupMember[[#This Row],[1. Identifiant interne d’exploitation agricole*]],CertifiedCrop[1. Identifiant interne d’exploitation agricole*],0)),FALSE,TRUE))</f>
        <v>1</v>
      </c>
      <c r="AE224" s="122" t="b">
        <f>IF(ISBLANK(GroupMember[[#This Row],[1. Identifiant interne d’exploitation agricole*]]),"",IF(ISERROR(MATCH(GroupMember[[#This Row],[1. Identifiant interne d’exploitation agricole*]],FarmUnit[1. Identifiant interne d’exploitation agricole*],0)),FALSE,TRUE))</f>
        <v>1</v>
      </c>
      <c r="AF224" s="9" t="str">
        <f t="shared" si="9"/>
        <v xml:space="preserve">SORE  SALIMATA </v>
      </c>
      <c r="AG224" s="243" t="str">
        <f t="shared" si="10"/>
        <v>11/9/2021</v>
      </c>
      <c r="AH224" s="51">
        <f>COUNTIFS(Z:Z,Z224,AG:AG,AG224)</f>
        <v>5</v>
      </c>
      <c r="AI224" s="49">
        <f t="shared" si="11"/>
        <v>0</v>
      </c>
    </row>
    <row r="225" spans="1:35" ht="15" x14ac:dyDescent="0.2">
      <c r="A225" s="150" t="s">
        <v>1371</v>
      </c>
      <c r="B225" s="146" t="s">
        <v>668</v>
      </c>
      <c r="C225" s="150" t="s">
        <v>1371</v>
      </c>
      <c r="D225" s="147" t="s">
        <v>669</v>
      </c>
      <c r="E225" s="146" t="s">
        <v>670</v>
      </c>
      <c r="F225" s="146" t="s">
        <v>671</v>
      </c>
      <c r="G225" s="146" t="s">
        <v>672</v>
      </c>
      <c r="H225" s="148">
        <v>1.96</v>
      </c>
      <c r="I225" s="146" t="s">
        <v>673</v>
      </c>
      <c r="J225" s="149">
        <v>1</v>
      </c>
      <c r="K225" s="150">
        <v>2021</v>
      </c>
      <c r="L225" s="151" t="s">
        <v>1372</v>
      </c>
      <c r="M225" s="151" t="s">
        <v>1373</v>
      </c>
      <c r="N225" s="152"/>
      <c r="O225" s="153"/>
      <c r="P225" s="154" t="s">
        <v>676</v>
      </c>
      <c r="Q225" s="154"/>
      <c r="R225" s="155">
        <v>6</v>
      </c>
      <c r="S225" s="146"/>
      <c r="T225" s="168"/>
      <c r="U225" s="146"/>
      <c r="V225" s="146"/>
      <c r="W225" s="146"/>
      <c r="X225" s="156">
        <v>0</v>
      </c>
      <c r="Y225" s="156">
        <v>0</v>
      </c>
      <c r="Z225" s="157" t="s">
        <v>677</v>
      </c>
      <c r="AA225" s="174">
        <v>2021</v>
      </c>
      <c r="AB225" s="175">
        <v>9</v>
      </c>
      <c r="AC225" s="175">
        <v>14</v>
      </c>
      <c r="AD225" s="122" t="b">
        <f>IF(ISBLANK(GroupMember[[#This Row],[1. Identifiant interne d’exploitation agricole*]]),"",IF(ISERROR(MATCH(GroupMember[[#This Row],[1. Identifiant interne d’exploitation agricole*]],CertifiedCrop[1. Identifiant interne d’exploitation agricole*],0)),FALSE,TRUE))</f>
        <v>1</v>
      </c>
      <c r="AE225" s="122" t="b">
        <f>IF(ISBLANK(GroupMember[[#This Row],[1. Identifiant interne d’exploitation agricole*]]),"",IF(ISERROR(MATCH(GroupMember[[#This Row],[1. Identifiant interne d’exploitation agricole*]],FarmUnit[1. Identifiant interne d’exploitation agricole*],0)),FALSE,TRUE))</f>
        <v>1</v>
      </c>
      <c r="AF225" s="9" t="str">
        <f t="shared" si="9"/>
        <v>IWOH  LASSINA</v>
      </c>
      <c r="AG225" s="243" t="str">
        <f t="shared" si="10"/>
        <v>14/9/2021</v>
      </c>
      <c r="AH225" s="51">
        <f>COUNTIFS(Z:Z,Z225,AG:AG,AG225)</f>
        <v>4</v>
      </c>
      <c r="AI225" s="49">
        <f t="shared" si="11"/>
        <v>0</v>
      </c>
    </row>
    <row r="226" spans="1:35" ht="15" x14ac:dyDescent="0.2">
      <c r="A226" s="150" t="s">
        <v>1374</v>
      </c>
      <c r="B226" s="146" t="s">
        <v>668</v>
      </c>
      <c r="C226" s="150" t="s">
        <v>1374</v>
      </c>
      <c r="D226" s="147" t="s">
        <v>669</v>
      </c>
      <c r="E226" s="146" t="s">
        <v>670</v>
      </c>
      <c r="F226" s="146" t="s">
        <v>671</v>
      </c>
      <c r="G226" s="146" t="s">
        <v>672</v>
      </c>
      <c r="H226" s="148">
        <v>3.78</v>
      </c>
      <c r="I226" s="146" t="s">
        <v>673</v>
      </c>
      <c r="J226" s="149">
        <v>1</v>
      </c>
      <c r="K226" s="150">
        <v>2021</v>
      </c>
      <c r="L226" s="151" t="s">
        <v>1375</v>
      </c>
      <c r="M226" s="151" t="s">
        <v>1376</v>
      </c>
      <c r="N226" s="152" t="s">
        <v>1377</v>
      </c>
      <c r="O226" s="153"/>
      <c r="P226" s="154" t="s">
        <v>676</v>
      </c>
      <c r="Q226" s="154"/>
      <c r="R226" s="155">
        <v>9</v>
      </c>
      <c r="S226" s="146"/>
      <c r="T226" s="168"/>
      <c r="U226" s="146"/>
      <c r="V226" s="146"/>
      <c r="W226" s="146"/>
      <c r="X226" s="156">
        <v>0</v>
      </c>
      <c r="Y226" s="156">
        <v>0</v>
      </c>
      <c r="Z226" s="157" t="s">
        <v>677</v>
      </c>
      <c r="AA226" s="174">
        <v>2021</v>
      </c>
      <c r="AB226" s="175">
        <v>9</v>
      </c>
      <c r="AC226" s="175">
        <v>3</v>
      </c>
      <c r="AD226" s="122" t="b">
        <f>IF(ISBLANK(GroupMember[[#This Row],[1. Identifiant interne d’exploitation agricole*]]),"",IF(ISERROR(MATCH(GroupMember[[#This Row],[1. Identifiant interne d’exploitation agricole*]],CertifiedCrop[1. Identifiant interne d’exploitation agricole*],0)),FALSE,TRUE))</f>
        <v>1</v>
      </c>
      <c r="AE226" s="122" t="b">
        <f>IF(ISBLANK(GroupMember[[#This Row],[1. Identifiant interne d’exploitation agricole*]]),"",IF(ISERROR(MATCH(GroupMember[[#This Row],[1. Identifiant interne d’exploitation agricole*]],FarmUnit[1. Identifiant interne d’exploitation agricole*],0)),FALSE,TRUE))</f>
        <v>1</v>
      </c>
      <c r="AF226" s="9" t="str">
        <f t="shared" si="9"/>
        <v>YARO ISSA</v>
      </c>
      <c r="AG226" s="243" t="str">
        <f t="shared" si="10"/>
        <v>3/9/2021</v>
      </c>
      <c r="AH226" s="51">
        <f>COUNTIFS(Z:Z,Z226,AG:AG,AG226)</f>
        <v>5</v>
      </c>
      <c r="AI226" s="49">
        <f t="shared" si="11"/>
        <v>0</v>
      </c>
    </row>
    <row r="227" spans="1:35" ht="15" x14ac:dyDescent="0.2">
      <c r="A227" s="150" t="s">
        <v>1378</v>
      </c>
      <c r="B227" s="146" t="s">
        <v>668</v>
      </c>
      <c r="C227" s="150" t="s">
        <v>1378</v>
      </c>
      <c r="D227" s="147" t="s">
        <v>669</v>
      </c>
      <c r="E227" s="146" t="s">
        <v>670</v>
      </c>
      <c r="F227" s="146" t="s">
        <v>671</v>
      </c>
      <c r="G227" s="146" t="s">
        <v>672</v>
      </c>
      <c r="H227" s="148">
        <v>1.1200000000000001</v>
      </c>
      <c r="I227" s="146" t="s">
        <v>673</v>
      </c>
      <c r="J227" s="149">
        <v>1</v>
      </c>
      <c r="K227" s="150">
        <v>2021</v>
      </c>
      <c r="L227" s="151" t="s">
        <v>1365</v>
      </c>
      <c r="M227" s="151" t="s">
        <v>1379</v>
      </c>
      <c r="N227" s="172" t="s">
        <v>1380</v>
      </c>
      <c r="O227" s="153"/>
      <c r="P227" s="154" t="s">
        <v>676</v>
      </c>
      <c r="Q227" s="154"/>
      <c r="R227" s="155">
        <v>5</v>
      </c>
      <c r="S227" s="146"/>
      <c r="T227" s="168"/>
      <c r="U227" s="146"/>
      <c r="V227" s="146"/>
      <c r="W227" s="146"/>
      <c r="X227" s="156">
        <v>0</v>
      </c>
      <c r="Y227" s="156">
        <v>0</v>
      </c>
      <c r="Z227" s="157" t="s">
        <v>677</v>
      </c>
      <c r="AA227" s="174">
        <v>2021</v>
      </c>
      <c r="AB227" s="175">
        <v>9</v>
      </c>
      <c r="AC227" s="175">
        <v>9</v>
      </c>
      <c r="AD227" s="122" t="b">
        <f>IF(ISBLANK(GroupMember[[#This Row],[1. Identifiant interne d’exploitation agricole*]]),"",IF(ISERROR(MATCH(GroupMember[[#This Row],[1. Identifiant interne d’exploitation agricole*]],CertifiedCrop[1. Identifiant interne d’exploitation agricole*],0)),FALSE,TRUE))</f>
        <v>1</v>
      </c>
      <c r="AE227" s="122" t="b">
        <f>IF(ISBLANK(GroupMember[[#This Row],[1. Identifiant interne d’exploitation agricole*]]),"",IF(ISERROR(MATCH(GroupMember[[#This Row],[1. Identifiant interne d’exploitation agricole*]],FarmUnit[1. Identifiant interne d’exploitation agricole*],0)),FALSE,TRUE))</f>
        <v>1</v>
      </c>
      <c r="AF227" s="9" t="str">
        <f t="shared" si="9"/>
        <v>SALO  ALI</v>
      </c>
      <c r="AG227" s="243" t="str">
        <f t="shared" si="10"/>
        <v>9/9/2021</v>
      </c>
      <c r="AH227" s="51">
        <f>COUNTIFS(Z:Z,Z227,AG:AG,AG227)</f>
        <v>5</v>
      </c>
      <c r="AI227" s="49">
        <f t="shared" si="11"/>
        <v>0</v>
      </c>
    </row>
    <row r="228" spans="1:35" ht="15" x14ac:dyDescent="0.2">
      <c r="A228" s="150" t="s">
        <v>1381</v>
      </c>
      <c r="B228" s="146" t="s">
        <v>668</v>
      </c>
      <c r="C228" s="150" t="s">
        <v>1381</v>
      </c>
      <c r="D228" s="147" t="s">
        <v>669</v>
      </c>
      <c r="E228" s="146" t="s">
        <v>670</v>
      </c>
      <c r="F228" s="146" t="s">
        <v>671</v>
      </c>
      <c r="G228" s="146" t="s">
        <v>672</v>
      </c>
      <c r="H228" s="148">
        <v>1.38</v>
      </c>
      <c r="I228" s="146" t="s">
        <v>673</v>
      </c>
      <c r="J228" s="149">
        <v>1</v>
      </c>
      <c r="K228" s="150">
        <v>2021</v>
      </c>
      <c r="L228" s="151" t="s">
        <v>1382</v>
      </c>
      <c r="M228" s="151" t="s">
        <v>1383</v>
      </c>
      <c r="N228" s="152" t="s">
        <v>1384</v>
      </c>
      <c r="O228" s="153"/>
      <c r="P228" s="154" t="s">
        <v>676</v>
      </c>
      <c r="Q228" s="154"/>
      <c r="R228" s="155">
        <v>7</v>
      </c>
      <c r="S228" s="146"/>
      <c r="T228" s="168"/>
      <c r="U228" s="146"/>
      <c r="V228" s="146"/>
      <c r="W228" s="146"/>
      <c r="X228" s="156">
        <v>0</v>
      </c>
      <c r="Y228" s="156">
        <v>0</v>
      </c>
      <c r="Z228" s="157" t="s">
        <v>677</v>
      </c>
      <c r="AA228" s="174">
        <v>2021</v>
      </c>
      <c r="AB228" s="175">
        <v>9</v>
      </c>
      <c r="AC228" s="175">
        <v>11</v>
      </c>
      <c r="AD228" s="122" t="b">
        <f>IF(ISBLANK(GroupMember[[#This Row],[1. Identifiant interne d’exploitation agricole*]]),"",IF(ISERROR(MATCH(GroupMember[[#This Row],[1. Identifiant interne d’exploitation agricole*]],CertifiedCrop[1. Identifiant interne d’exploitation agricole*],0)),FALSE,TRUE))</f>
        <v>1</v>
      </c>
      <c r="AE228" s="122" t="b">
        <f>IF(ISBLANK(GroupMember[[#This Row],[1. Identifiant interne d’exploitation agricole*]]),"",IF(ISERROR(MATCH(GroupMember[[#This Row],[1. Identifiant interne d’exploitation agricole*]],FarmUnit[1. Identifiant interne d’exploitation agricole*],0)),FALSE,TRUE))</f>
        <v>1</v>
      </c>
      <c r="AF228" s="9" t="str">
        <f t="shared" si="9"/>
        <v>ZOURI GOARE</v>
      </c>
      <c r="AG228" s="243" t="str">
        <f t="shared" si="10"/>
        <v>11/9/2021</v>
      </c>
      <c r="AH228" s="51">
        <f>COUNTIFS(Z:Z,Z228,AG:AG,AG228)</f>
        <v>5</v>
      </c>
      <c r="AI228" s="49">
        <f t="shared" si="11"/>
        <v>0</v>
      </c>
    </row>
    <row r="229" spans="1:35" ht="15" x14ac:dyDescent="0.2">
      <c r="A229" s="150" t="s">
        <v>1385</v>
      </c>
      <c r="B229" s="146" t="s">
        <v>668</v>
      </c>
      <c r="C229" s="150" t="s">
        <v>1385</v>
      </c>
      <c r="D229" s="147" t="s">
        <v>669</v>
      </c>
      <c r="E229" s="146" t="s">
        <v>670</v>
      </c>
      <c r="F229" s="146" t="s">
        <v>671</v>
      </c>
      <c r="G229" s="146" t="s">
        <v>672</v>
      </c>
      <c r="H229" s="148">
        <v>2</v>
      </c>
      <c r="I229" s="146" t="s">
        <v>673</v>
      </c>
      <c r="J229" s="149">
        <v>1</v>
      </c>
      <c r="K229" s="150">
        <v>2021</v>
      </c>
      <c r="L229" s="151" t="s">
        <v>1386</v>
      </c>
      <c r="M229" s="151" t="s">
        <v>1387</v>
      </c>
      <c r="N229" s="152"/>
      <c r="O229" s="153"/>
      <c r="P229" s="154" t="s">
        <v>676</v>
      </c>
      <c r="Q229" s="154"/>
      <c r="R229" s="155">
        <v>5</v>
      </c>
      <c r="S229" s="146"/>
      <c r="T229" s="168"/>
      <c r="U229" s="146"/>
      <c r="V229" s="146"/>
      <c r="W229" s="146"/>
      <c r="X229" s="156">
        <v>0</v>
      </c>
      <c r="Y229" s="156">
        <v>0</v>
      </c>
      <c r="Z229" s="157" t="s">
        <v>677</v>
      </c>
      <c r="AA229" s="174">
        <v>2021</v>
      </c>
      <c r="AB229" s="175">
        <v>9</v>
      </c>
      <c r="AC229" s="175">
        <v>4</v>
      </c>
      <c r="AD229" s="122" t="b">
        <f>IF(ISBLANK(GroupMember[[#This Row],[1. Identifiant interne d’exploitation agricole*]]),"",IF(ISERROR(MATCH(GroupMember[[#This Row],[1. Identifiant interne d’exploitation agricole*]],CertifiedCrop[1. Identifiant interne d’exploitation agricole*],0)),FALSE,TRUE))</f>
        <v>1</v>
      </c>
      <c r="AE229" s="122" t="b">
        <f>IF(ISBLANK(GroupMember[[#This Row],[1. Identifiant interne d’exploitation agricole*]]),"",IF(ISERROR(MATCH(GroupMember[[#This Row],[1. Identifiant interne d’exploitation agricole*]],FarmUnit[1. Identifiant interne d’exploitation agricole*],0)),FALSE,TRUE))</f>
        <v>1</v>
      </c>
      <c r="AF229" s="9" t="str">
        <f t="shared" si="9"/>
        <v>KOUSSOUBE  K. JEAN BAPTISTE</v>
      </c>
      <c r="AG229" s="243" t="str">
        <f t="shared" si="10"/>
        <v>4/9/2021</v>
      </c>
      <c r="AH229" s="51">
        <f>COUNTIFS(Z:Z,Z229,AG:AG,AG229)</f>
        <v>5</v>
      </c>
      <c r="AI229" s="49">
        <f t="shared" si="11"/>
        <v>0</v>
      </c>
    </row>
    <row r="230" spans="1:35" ht="15" x14ac:dyDescent="0.2">
      <c r="A230" s="150" t="s">
        <v>1388</v>
      </c>
      <c r="B230" s="146" t="s">
        <v>668</v>
      </c>
      <c r="C230" s="150" t="s">
        <v>1388</v>
      </c>
      <c r="D230" s="147" t="s">
        <v>669</v>
      </c>
      <c r="E230" s="146" t="s">
        <v>670</v>
      </c>
      <c r="F230" s="146" t="s">
        <v>671</v>
      </c>
      <c r="G230" s="146" t="s">
        <v>672</v>
      </c>
      <c r="H230" s="148">
        <v>1.17</v>
      </c>
      <c r="I230" s="146" t="s">
        <v>673</v>
      </c>
      <c r="J230" s="149">
        <v>1</v>
      </c>
      <c r="K230" s="150">
        <v>2021</v>
      </c>
      <c r="L230" s="151" t="s">
        <v>1389</v>
      </c>
      <c r="M230" s="151" t="s">
        <v>1390</v>
      </c>
      <c r="N230" s="172" t="s">
        <v>1391</v>
      </c>
      <c r="O230" s="153"/>
      <c r="P230" s="154" t="s">
        <v>676</v>
      </c>
      <c r="Q230" s="154"/>
      <c r="R230" s="155">
        <v>8</v>
      </c>
      <c r="S230" s="146"/>
      <c r="T230" s="168"/>
      <c r="U230" s="146"/>
      <c r="V230" s="146"/>
      <c r="W230" s="146"/>
      <c r="X230" s="156">
        <v>0</v>
      </c>
      <c r="Y230" s="156">
        <v>0</v>
      </c>
      <c r="Z230" s="157" t="s">
        <v>677</v>
      </c>
      <c r="AA230" s="174">
        <v>2021</v>
      </c>
      <c r="AB230" s="175">
        <v>9</v>
      </c>
      <c r="AC230" s="175">
        <v>14</v>
      </c>
      <c r="AD230" s="122" t="b">
        <f>IF(ISBLANK(GroupMember[[#This Row],[1. Identifiant interne d’exploitation agricole*]]),"",IF(ISERROR(MATCH(GroupMember[[#This Row],[1. Identifiant interne d’exploitation agricole*]],CertifiedCrop[1. Identifiant interne d’exploitation agricole*],0)),FALSE,TRUE))</f>
        <v>1</v>
      </c>
      <c r="AE230" s="122" t="b">
        <f>IF(ISBLANK(GroupMember[[#This Row],[1. Identifiant interne d’exploitation agricole*]]),"",IF(ISERROR(MATCH(GroupMember[[#This Row],[1. Identifiant interne d’exploitation agricole*]],FarmUnit[1. Identifiant interne d’exploitation agricole*],0)),FALSE,TRUE))</f>
        <v>1</v>
      </c>
      <c r="AF230" s="9" t="str">
        <f t="shared" si="9"/>
        <v>KONFE  IDRISSA</v>
      </c>
      <c r="AG230" s="243" t="str">
        <f t="shared" si="10"/>
        <v>14/9/2021</v>
      </c>
      <c r="AH230" s="51">
        <f>COUNTIFS(Z:Z,Z230,AG:AG,AG230)</f>
        <v>4</v>
      </c>
      <c r="AI230" s="49">
        <f t="shared" si="11"/>
        <v>0</v>
      </c>
    </row>
    <row r="231" spans="1:35" ht="15" x14ac:dyDescent="0.2">
      <c r="A231" s="150" t="s">
        <v>1392</v>
      </c>
      <c r="B231" s="146" t="s">
        <v>668</v>
      </c>
      <c r="C231" s="150" t="s">
        <v>1392</v>
      </c>
      <c r="D231" s="147" t="s">
        <v>669</v>
      </c>
      <c r="E231" s="146" t="s">
        <v>670</v>
      </c>
      <c r="F231" s="146" t="s">
        <v>671</v>
      </c>
      <c r="G231" s="146" t="s">
        <v>672</v>
      </c>
      <c r="H231" s="148">
        <v>5</v>
      </c>
      <c r="I231" s="146" t="s">
        <v>673</v>
      </c>
      <c r="J231" s="149">
        <v>1</v>
      </c>
      <c r="K231" s="150">
        <v>2021</v>
      </c>
      <c r="L231" s="151" t="s">
        <v>765</v>
      </c>
      <c r="M231" s="151" t="s">
        <v>1393</v>
      </c>
      <c r="N231" s="172"/>
      <c r="O231" s="153"/>
      <c r="P231" s="154" t="s">
        <v>676</v>
      </c>
      <c r="Q231" s="154"/>
      <c r="R231" s="155">
        <v>7</v>
      </c>
      <c r="S231" s="146"/>
      <c r="T231" s="168"/>
      <c r="U231" s="146"/>
      <c r="V231" s="146"/>
      <c r="W231" s="146"/>
      <c r="X231" s="156">
        <v>0</v>
      </c>
      <c r="Y231" s="156">
        <v>0</v>
      </c>
      <c r="Z231" s="157" t="s">
        <v>677</v>
      </c>
      <c r="AA231" s="174">
        <v>2021</v>
      </c>
      <c r="AB231" s="175">
        <v>9</v>
      </c>
      <c r="AC231" s="175">
        <v>8</v>
      </c>
      <c r="AD231" s="122" t="b">
        <f>IF(ISBLANK(GroupMember[[#This Row],[1. Identifiant interne d’exploitation agricole*]]),"",IF(ISERROR(MATCH(GroupMember[[#This Row],[1. Identifiant interne d’exploitation agricole*]],CertifiedCrop[1. Identifiant interne d’exploitation agricole*],0)),FALSE,TRUE))</f>
        <v>1</v>
      </c>
      <c r="AE231" s="122" t="b">
        <f>IF(ISBLANK(GroupMember[[#This Row],[1. Identifiant interne d’exploitation agricole*]]),"",IF(ISERROR(MATCH(GroupMember[[#This Row],[1. Identifiant interne d’exploitation agricole*]],FarmUnit[1. Identifiant interne d’exploitation agricole*],0)),FALSE,TRUE))</f>
        <v>1</v>
      </c>
      <c r="AF231" s="9" t="str">
        <f t="shared" si="9"/>
        <v>KONE  MADOU</v>
      </c>
      <c r="AG231" s="243" t="str">
        <f t="shared" si="10"/>
        <v>8/9/2021</v>
      </c>
      <c r="AH231" s="51">
        <f>COUNTIFS(Z:Z,Z231,AG:AG,AG231)</f>
        <v>5</v>
      </c>
      <c r="AI231" s="49">
        <f t="shared" si="11"/>
        <v>0</v>
      </c>
    </row>
    <row r="232" spans="1:35" ht="15" x14ac:dyDescent="0.2">
      <c r="A232" s="150" t="s">
        <v>1394</v>
      </c>
      <c r="B232" s="146" t="s">
        <v>668</v>
      </c>
      <c r="C232" s="150" t="s">
        <v>1394</v>
      </c>
      <c r="D232" s="147" t="s">
        <v>669</v>
      </c>
      <c r="E232" s="146" t="s">
        <v>670</v>
      </c>
      <c r="F232" s="146" t="s">
        <v>671</v>
      </c>
      <c r="G232" s="146" t="s">
        <v>672</v>
      </c>
      <c r="H232" s="148">
        <v>1.51</v>
      </c>
      <c r="I232" s="146" t="s">
        <v>673</v>
      </c>
      <c r="J232" s="149">
        <v>1</v>
      </c>
      <c r="K232" s="150">
        <v>2021</v>
      </c>
      <c r="L232" s="151" t="s">
        <v>1362</v>
      </c>
      <c r="M232" s="151" t="s">
        <v>1390</v>
      </c>
      <c r="N232" s="172" t="s">
        <v>1395</v>
      </c>
      <c r="O232" s="153"/>
      <c r="P232" s="154" t="s">
        <v>676</v>
      </c>
      <c r="Q232" s="154"/>
      <c r="R232" s="155">
        <v>6</v>
      </c>
      <c r="S232" s="146"/>
      <c r="T232" s="168"/>
      <c r="U232" s="146"/>
      <c r="V232" s="146"/>
      <c r="W232" s="146"/>
      <c r="X232" s="156">
        <v>0</v>
      </c>
      <c r="Y232" s="156">
        <v>0</v>
      </c>
      <c r="Z232" s="157" t="s">
        <v>677</v>
      </c>
      <c r="AA232" s="174">
        <v>2021</v>
      </c>
      <c r="AB232" s="175">
        <v>9</v>
      </c>
      <c r="AC232" s="175">
        <v>15</v>
      </c>
      <c r="AD232" s="122" t="b">
        <f>IF(ISBLANK(GroupMember[[#This Row],[1. Identifiant interne d’exploitation agricole*]]),"",IF(ISERROR(MATCH(GroupMember[[#This Row],[1. Identifiant interne d’exploitation agricole*]],CertifiedCrop[1. Identifiant interne d’exploitation agricole*],0)),FALSE,TRUE))</f>
        <v>1</v>
      </c>
      <c r="AE232" s="122" t="b">
        <f>IF(ISBLANK(GroupMember[[#This Row],[1. Identifiant interne d’exploitation agricole*]]),"",IF(ISERROR(MATCH(GroupMember[[#This Row],[1. Identifiant interne d’exploitation agricole*]],FarmUnit[1. Identifiant interne d’exploitation agricole*],0)),FALSE,TRUE))</f>
        <v>1</v>
      </c>
      <c r="AF232" s="9" t="str">
        <f t="shared" si="9"/>
        <v>GAMSORE  IDRISSA</v>
      </c>
      <c r="AG232" s="243" t="str">
        <f t="shared" si="10"/>
        <v>15/9/2021</v>
      </c>
      <c r="AH232" s="51">
        <f>COUNTIFS(Z:Z,Z232,AG:AG,AG232)</f>
        <v>5</v>
      </c>
      <c r="AI232" s="49">
        <f t="shared" si="11"/>
        <v>0</v>
      </c>
    </row>
    <row r="233" spans="1:35" ht="15" x14ac:dyDescent="0.2">
      <c r="A233" s="150" t="s">
        <v>1396</v>
      </c>
      <c r="B233" s="146" t="s">
        <v>668</v>
      </c>
      <c r="C233" s="150" t="s">
        <v>1396</v>
      </c>
      <c r="D233" s="147" t="s">
        <v>669</v>
      </c>
      <c r="E233" s="146" t="s">
        <v>670</v>
      </c>
      <c r="F233" s="146" t="s">
        <v>671</v>
      </c>
      <c r="G233" s="146" t="s">
        <v>672</v>
      </c>
      <c r="H233" s="148">
        <v>1.96</v>
      </c>
      <c r="I233" s="146" t="s">
        <v>673</v>
      </c>
      <c r="J233" s="149">
        <v>1</v>
      </c>
      <c r="K233" s="150">
        <v>2021</v>
      </c>
      <c r="L233" s="151" t="s">
        <v>1362</v>
      </c>
      <c r="M233" s="151" t="s">
        <v>1079</v>
      </c>
      <c r="N233" s="172" t="s">
        <v>1397</v>
      </c>
      <c r="O233" s="153"/>
      <c r="P233" s="154" t="s">
        <v>676</v>
      </c>
      <c r="Q233" s="154"/>
      <c r="R233" s="155">
        <v>5</v>
      </c>
      <c r="S233" s="146"/>
      <c r="T233" s="168"/>
      <c r="U233" s="146"/>
      <c r="V233" s="146"/>
      <c r="W233" s="146"/>
      <c r="X233" s="156">
        <v>0</v>
      </c>
      <c r="Y233" s="156">
        <v>0</v>
      </c>
      <c r="Z233" s="157" t="s">
        <v>677</v>
      </c>
      <c r="AA233" s="174">
        <v>2021</v>
      </c>
      <c r="AB233" s="175">
        <v>9</v>
      </c>
      <c r="AC233" s="175">
        <v>3</v>
      </c>
      <c r="AD233" s="122" t="b">
        <f>IF(ISBLANK(GroupMember[[#This Row],[1. Identifiant interne d’exploitation agricole*]]),"",IF(ISERROR(MATCH(GroupMember[[#This Row],[1. Identifiant interne d’exploitation agricole*]],CertifiedCrop[1. Identifiant interne d’exploitation agricole*],0)),FALSE,TRUE))</f>
        <v>1</v>
      </c>
      <c r="AE233" s="122" t="b">
        <f>IF(ISBLANK(GroupMember[[#This Row],[1. Identifiant interne d’exploitation agricole*]]),"",IF(ISERROR(MATCH(GroupMember[[#This Row],[1. Identifiant interne d’exploitation agricole*]],FarmUnit[1. Identifiant interne d’exploitation agricole*],0)),FALSE,TRUE))</f>
        <v>1</v>
      </c>
      <c r="AF233" s="9" t="str">
        <f t="shared" si="9"/>
        <v>GAMSORE  SOULEYMANE</v>
      </c>
      <c r="AG233" s="243" t="str">
        <f t="shared" si="10"/>
        <v>3/9/2021</v>
      </c>
      <c r="AH233" s="51">
        <f>COUNTIFS(Z:Z,Z233,AG:AG,AG233)</f>
        <v>5</v>
      </c>
      <c r="AI233" s="49">
        <f t="shared" si="11"/>
        <v>0</v>
      </c>
    </row>
    <row r="234" spans="1:35" ht="15" x14ac:dyDescent="0.2">
      <c r="A234" s="150" t="s">
        <v>1398</v>
      </c>
      <c r="B234" s="146" t="s">
        <v>668</v>
      </c>
      <c r="C234" s="150" t="s">
        <v>1398</v>
      </c>
      <c r="D234" s="147" t="s">
        <v>669</v>
      </c>
      <c r="E234" s="146" t="s">
        <v>670</v>
      </c>
      <c r="F234" s="146" t="s">
        <v>671</v>
      </c>
      <c r="G234" s="146" t="s">
        <v>672</v>
      </c>
      <c r="H234" s="148">
        <v>1.58</v>
      </c>
      <c r="I234" s="146" t="s">
        <v>673</v>
      </c>
      <c r="J234" s="149">
        <v>1</v>
      </c>
      <c r="K234" s="150">
        <v>2021</v>
      </c>
      <c r="L234" s="151" t="s">
        <v>1399</v>
      </c>
      <c r="M234" s="151" t="s">
        <v>1400</v>
      </c>
      <c r="N234" s="172" t="s">
        <v>1401</v>
      </c>
      <c r="O234" s="153"/>
      <c r="P234" s="154" t="s">
        <v>676</v>
      </c>
      <c r="Q234" s="154"/>
      <c r="R234" s="155">
        <v>7</v>
      </c>
      <c r="S234" s="146"/>
      <c r="T234" s="168"/>
      <c r="U234" s="146"/>
      <c r="V234" s="146"/>
      <c r="W234" s="146"/>
      <c r="X234" s="156">
        <v>0</v>
      </c>
      <c r="Y234" s="156">
        <v>0</v>
      </c>
      <c r="Z234" s="157" t="s">
        <v>677</v>
      </c>
      <c r="AA234" s="174">
        <v>2021</v>
      </c>
      <c r="AB234" s="175">
        <v>9</v>
      </c>
      <c r="AC234" s="175">
        <v>16</v>
      </c>
      <c r="AD234" s="122" t="b">
        <f>IF(ISBLANK(GroupMember[[#This Row],[1. Identifiant interne d’exploitation agricole*]]),"",IF(ISERROR(MATCH(GroupMember[[#This Row],[1. Identifiant interne d’exploitation agricole*]],CertifiedCrop[1. Identifiant interne d’exploitation agricole*],0)),FALSE,TRUE))</f>
        <v>1</v>
      </c>
      <c r="AE234" s="122" t="b">
        <f>IF(ISBLANK(GroupMember[[#This Row],[1. Identifiant interne d’exploitation agricole*]]),"",IF(ISERROR(MATCH(GroupMember[[#This Row],[1. Identifiant interne d’exploitation agricole*]],FarmUnit[1. Identifiant interne d’exploitation agricole*],0)),FALSE,TRUE))</f>
        <v>1</v>
      </c>
      <c r="AF234" s="9" t="str">
        <f t="shared" si="9"/>
        <v>KOUSOME  MOUSSA</v>
      </c>
      <c r="AG234" s="243" t="str">
        <f t="shared" si="10"/>
        <v>16/9/2021</v>
      </c>
      <c r="AH234" s="51">
        <f>COUNTIFS(Z:Z,Z234,AG:AG,AG234)</f>
        <v>5</v>
      </c>
      <c r="AI234" s="49">
        <f t="shared" si="11"/>
        <v>0</v>
      </c>
    </row>
    <row r="235" spans="1:35" ht="15" x14ac:dyDescent="0.2">
      <c r="A235" s="150" t="s">
        <v>1402</v>
      </c>
      <c r="B235" s="146" t="s">
        <v>668</v>
      </c>
      <c r="C235" s="150" t="s">
        <v>1402</v>
      </c>
      <c r="D235" s="147" t="s">
        <v>669</v>
      </c>
      <c r="E235" s="146" t="s">
        <v>670</v>
      </c>
      <c r="F235" s="146" t="s">
        <v>671</v>
      </c>
      <c r="G235" s="146" t="s">
        <v>672</v>
      </c>
      <c r="H235" s="148">
        <v>2</v>
      </c>
      <c r="I235" s="146" t="s">
        <v>673</v>
      </c>
      <c r="J235" s="149">
        <v>1</v>
      </c>
      <c r="K235" s="150">
        <v>2021</v>
      </c>
      <c r="L235" s="151" t="s">
        <v>1403</v>
      </c>
      <c r="M235" s="151" t="s">
        <v>1404</v>
      </c>
      <c r="N235" s="152"/>
      <c r="O235" s="153"/>
      <c r="P235" s="154" t="s">
        <v>676</v>
      </c>
      <c r="Q235" s="154"/>
      <c r="R235" s="155">
        <v>6</v>
      </c>
      <c r="S235" s="146"/>
      <c r="T235" s="168"/>
      <c r="U235" s="146"/>
      <c r="V235" s="146"/>
      <c r="W235" s="146"/>
      <c r="X235" s="156">
        <v>0</v>
      </c>
      <c r="Y235" s="156">
        <v>0</v>
      </c>
      <c r="Z235" s="157" t="s">
        <v>677</v>
      </c>
      <c r="AA235" s="174">
        <v>2021</v>
      </c>
      <c r="AB235" s="175">
        <v>9</v>
      </c>
      <c r="AC235" s="175">
        <v>6</v>
      </c>
      <c r="AD235" s="122" t="b">
        <f>IF(ISBLANK(GroupMember[[#This Row],[1. Identifiant interne d’exploitation agricole*]]),"",IF(ISERROR(MATCH(GroupMember[[#This Row],[1. Identifiant interne d’exploitation agricole*]],CertifiedCrop[1. Identifiant interne d’exploitation agricole*],0)),FALSE,TRUE))</f>
        <v>1</v>
      </c>
      <c r="AE235" s="122" t="b">
        <f>IF(ISBLANK(GroupMember[[#This Row],[1. Identifiant interne d’exploitation agricole*]]),"",IF(ISERROR(MATCH(GroupMember[[#This Row],[1. Identifiant interne d’exploitation agricole*]],FarmUnit[1. Identifiant interne d’exploitation agricole*],0)),FALSE,TRUE))</f>
        <v>1</v>
      </c>
      <c r="AF235" s="9" t="str">
        <f t="shared" si="9"/>
        <v>DOUEU  ZADA ALBERT</v>
      </c>
      <c r="AG235" s="243" t="str">
        <f t="shared" si="10"/>
        <v>6/9/2021</v>
      </c>
      <c r="AH235" s="51">
        <f>COUNTIFS(Z:Z,Z235,AG:AG,AG235)</f>
        <v>4</v>
      </c>
      <c r="AI235" s="49">
        <f t="shared" si="11"/>
        <v>0</v>
      </c>
    </row>
    <row r="236" spans="1:35" ht="15" x14ac:dyDescent="0.2">
      <c r="A236" s="150" t="s">
        <v>1405</v>
      </c>
      <c r="B236" s="146" t="s">
        <v>668</v>
      </c>
      <c r="C236" s="150" t="s">
        <v>1405</v>
      </c>
      <c r="D236" s="147" t="s">
        <v>669</v>
      </c>
      <c r="E236" s="146" t="s">
        <v>670</v>
      </c>
      <c r="F236" s="146" t="s">
        <v>671</v>
      </c>
      <c r="G236" s="146" t="s">
        <v>672</v>
      </c>
      <c r="H236" s="148">
        <v>2</v>
      </c>
      <c r="I236" s="146" t="s">
        <v>673</v>
      </c>
      <c r="J236" s="149">
        <v>1</v>
      </c>
      <c r="K236" s="150">
        <v>2021</v>
      </c>
      <c r="L236" s="151" t="s">
        <v>1406</v>
      </c>
      <c r="M236" s="151" t="s">
        <v>1407</v>
      </c>
      <c r="N236" s="152"/>
      <c r="O236" s="153"/>
      <c r="P236" s="154" t="s">
        <v>676</v>
      </c>
      <c r="Q236" s="154"/>
      <c r="R236" s="155">
        <v>11</v>
      </c>
      <c r="S236" s="146"/>
      <c r="T236" s="168"/>
      <c r="U236" s="146"/>
      <c r="V236" s="146"/>
      <c r="W236" s="146"/>
      <c r="X236" s="156">
        <v>0</v>
      </c>
      <c r="Y236" s="156">
        <v>0</v>
      </c>
      <c r="Z236" s="157" t="s">
        <v>677</v>
      </c>
      <c r="AA236" s="174">
        <v>2021</v>
      </c>
      <c r="AB236" s="175">
        <v>9</v>
      </c>
      <c r="AC236" s="175">
        <v>4</v>
      </c>
      <c r="AD236" s="122" t="b">
        <f>IF(ISBLANK(GroupMember[[#This Row],[1. Identifiant interne d’exploitation agricole*]]),"",IF(ISERROR(MATCH(GroupMember[[#This Row],[1. Identifiant interne d’exploitation agricole*]],CertifiedCrop[1. Identifiant interne d’exploitation agricole*],0)),FALSE,TRUE))</f>
        <v>1</v>
      </c>
      <c r="AE236" s="122" t="b">
        <f>IF(ISBLANK(GroupMember[[#This Row],[1. Identifiant interne d’exploitation agricole*]]),"",IF(ISERROR(MATCH(GroupMember[[#This Row],[1. Identifiant interne d’exploitation agricole*]],FarmUnit[1. Identifiant interne d’exploitation agricole*],0)),FALSE,TRUE))</f>
        <v>1</v>
      </c>
      <c r="AF236" s="9" t="str">
        <f t="shared" si="9"/>
        <v>TANIEUPLEU  GUEI TROH A.</v>
      </c>
      <c r="AG236" s="243" t="str">
        <f t="shared" si="10"/>
        <v>4/9/2021</v>
      </c>
      <c r="AH236" s="51">
        <f>COUNTIFS(Z:Z,Z236,AG:AG,AG236)</f>
        <v>5</v>
      </c>
      <c r="AI236" s="49">
        <f t="shared" si="11"/>
        <v>0</v>
      </c>
    </row>
    <row r="237" spans="1:35" ht="15" x14ac:dyDescent="0.2">
      <c r="A237" s="150" t="s">
        <v>1408</v>
      </c>
      <c r="B237" s="146" t="s">
        <v>668</v>
      </c>
      <c r="C237" s="150" t="s">
        <v>1408</v>
      </c>
      <c r="D237" s="147" t="s">
        <v>669</v>
      </c>
      <c r="E237" s="146" t="s">
        <v>670</v>
      </c>
      <c r="F237" s="146" t="s">
        <v>671</v>
      </c>
      <c r="G237" s="146" t="s">
        <v>672</v>
      </c>
      <c r="H237" s="148">
        <v>2</v>
      </c>
      <c r="I237" s="146" t="s">
        <v>673</v>
      </c>
      <c r="J237" s="149">
        <v>1</v>
      </c>
      <c r="K237" s="150">
        <v>2021</v>
      </c>
      <c r="L237" s="151" t="s">
        <v>883</v>
      </c>
      <c r="M237" s="151" t="s">
        <v>1409</v>
      </c>
      <c r="N237" s="152"/>
      <c r="O237" s="153"/>
      <c r="P237" s="154" t="s">
        <v>676</v>
      </c>
      <c r="Q237" s="154"/>
      <c r="R237" s="155">
        <v>5</v>
      </c>
      <c r="S237" s="146"/>
      <c r="T237" s="168"/>
      <c r="U237" s="146"/>
      <c r="V237" s="146"/>
      <c r="W237" s="146"/>
      <c r="X237" s="156">
        <v>0</v>
      </c>
      <c r="Y237" s="156">
        <v>0</v>
      </c>
      <c r="Z237" s="157" t="s">
        <v>677</v>
      </c>
      <c r="AA237" s="174">
        <v>2021</v>
      </c>
      <c r="AB237" s="175">
        <v>9</v>
      </c>
      <c r="AC237" s="175">
        <v>15</v>
      </c>
      <c r="AD237" s="122" t="b">
        <f>IF(ISBLANK(GroupMember[[#This Row],[1. Identifiant interne d’exploitation agricole*]]),"",IF(ISERROR(MATCH(GroupMember[[#This Row],[1. Identifiant interne d’exploitation agricole*]],CertifiedCrop[1. Identifiant interne d’exploitation agricole*],0)),FALSE,TRUE))</f>
        <v>1</v>
      </c>
      <c r="AE237" s="122" t="b">
        <f>IF(ISBLANK(GroupMember[[#This Row],[1. Identifiant interne d’exploitation agricole*]]),"",IF(ISERROR(MATCH(GroupMember[[#This Row],[1. Identifiant interne d’exploitation agricole*]],FarmUnit[1. Identifiant interne d’exploitation agricole*],0)),FALSE,TRUE))</f>
        <v>1</v>
      </c>
      <c r="AF237" s="9" t="str">
        <f t="shared" si="9"/>
        <v>TIEU  TONPIEU ROMEO</v>
      </c>
      <c r="AG237" s="243" t="str">
        <f t="shared" si="10"/>
        <v>15/9/2021</v>
      </c>
      <c r="AH237" s="51">
        <f>COUNTIFS(Z:Z,Z237,AG:AG,AG237)</f>
        <v>5</v>
      </c>
      <c r="AI237" s="49">
        <f t="shared" si="11"/>
        <v>0</v>
      </c>
    </row>
    <row r="238" spans="1:35" ht="15" x14ac:dyDescent="0.2">
      <c r="A238" s="150" t="s">
        <v>1410</v>
      </c>
      <c r="B238" s="146" t="s">
        <v>668</v>
      </c>
      <c r="C238" s="150" t="s">
        <v>1410</v>
      </c>
      <c r="D238" s="147" t="s">
        <v>669</v>
      </c>
      <c r="E238" s="146" t="s">
        <v>670</v>
      </c>
      <c r="F238" s="146" t="s">
        <v>671</v>
      </c>
      <c r="G238" s="146" t="s">
        <v>672</v>
      </c>
      <c r="H238" s="148">
        <v>3</v>
      </c>
      <c r="I238" s="146" t="s">
        <v>673</v>
      </c>
      <c r="J238" s="149">
        <v>1</v>
      </c>
      <c r="K238" s="150">
        <v>2021</v>
      </c>
      <c r="L238" s="151" t="s">
        <v>1411</v>
      </c>
      <c r="M238" s="151" t="s">
        <v>1412</v>
      </c>
      <c r="N238" s="172"/>
      <c r="O238" s="153"/>
      <c r="P238" s="154" t="s">
        <v>676</v>
      </c>
      <c r="Q238" s="154"/>
      <c r="R238" s="155">
        <v>8</v>
      </c>
      <c r="S238" s="146"/>
      <c r="T238" s="168"/>
      <c r="U238" s="146"/>
      <c r="V238" s="146"/>
      <c r="W238" s="146"/>
      <c r="X238" s="156">
        <v>0</v>
      </c>
      <c r="Y238" s="156">
        <v>0</v>
      </c>
      <c r="Z238" s="157" t="s">
        <v>677</v>
      </c>
      <c r="AA238" s="174">
        <v>2021</v>
      </c>
      <c r="AB238" s="175">
        <v>9</v>
      </c>
      <c r="AC238" s="175">
        <v>14</v>
      </c>
      <c r="AD238" s="122" t="b">
        <f>IF(ISBLANK(GroupMember[[#This Row],[1. Identifiant interne d’exploitation agricole*]]),"",IF(ISERROR(MATCH(GroupMember[[#This Row],[1. Identifiant interne d’exploitation agricole*]],CertifiedCrop[1. Identifiant interne d’exploitation agricole*],0)),FALSE,TRUE))</f>
        <v>1</v>
      </c>
      <c r="AE238" s="122" t="b">
        <f>IF(ISBLANK(GroupMember[[#This Row],[1. Identifiant interne d’exploitation agricole*]]),"",IF(ISERROR(MATCH(GroupMember[[#This Row],[1. Identifiant interne d’exploitation agricole*]],FarmUnit[1. Identifiant interne d’exploitation agricole*],0)),FALSE,TRUE))</f>
        <v>1</v>
      </c>
      <c r="AF238" s="9" t="str">
        <f t="shared" si="9"/>
        <v>KOSSAN  GERMAIN</v>
      </c>
      <c r="AG238" s="243" t="str">
        <f t="shared" si="10"/>
        <v>14/9/2021</v>
      </c>
      <c r="AH238" s="51">
        <f>COUNTIFS(Z:Z,Z238,AG:AG,AG238)</f>
        <v>4</v>
      </c>
      <c r="AI238" s="49">
        <f t="shared" si="11"/>
        <v>0</v>
      </c>
    </row>
    <row r="239" spans="1:35" ht="15" x14ac:dyDescent="0.2">
      <c r="A239" s="150" t="s">
        <v>1413</v>
      </c>
      <c r="B239" s="146" t="s">
        <v>668</v>
      </c>
      <c r="C239" s="150" t="s">
        <v>1413</v>
      </c>
      <c r="D239" s="147" t="s">
        <v>669</v>
      </c>
      <c r="E239" s="146" t="s">
        <v>670</v>
      </c>
      <c r="F239" s="146" t="s">
        <v>671</v>
      </c>
      <c r="G239" s="146" t="s">
        <v>672</v>
      </c>
      <c r="H239" s="148">
        <v>3</v>
      </c>
      <c r="I239" s="146" t="s">
        <v>673</v>
      </c>
      <c r="J239" s="149">
        <v>1</v>
      </c>
      <c r="K239" s="150">
        <v>2021</v>
      </c>
      <c r="L239" s="151" t="s">
        <v>803</v>
      </c>
      <c r="M239" s="151" t="s">
        <v>1414</v>
      </c>
      <c r="N239" s="172"/>
      <c r="O239" s="153"/>
      <c r="P239" s="154" t="s">
        <v>676</v>
      </c>
      <c r="Q239" s="154"/>
      <c r="R239" s="155">
        <v>6</v>
      </c>
      <c r="S239" s="146"/>
      <c r="T239" s="168"/>
      <c r="U239" s="146"/>
      <c r="V239" s="146"/>
      <c r="W239" s="146"/>
      <c r="X239" s="156">
        <v>0</v>
      </c>
      <c r="Y239" s="156">
        <v>0</v>
      </c>
      <c r="Z239" s="157" t="s">
        <v>677</v>
      </c>
      <c r="AA239" s="174">
        <v>2021</v>
      </c>
      <c r="AB239" s="175">
        <v>9</v>
      </c>
      <c r="AC239" s="175">
        <v>9</v>
      </c>
      <c r="AD239" s="122" t="b">
        <f>IF(ISBLANK(GroupMember[[#This Row],[1. Identifiant interne d’exploitation agricole*]]),"",IF(ISERROR(MATCH(GroupMember[[#This Row],[1. Identifiant interne d’exploitation agricole*]],CertifiedCrop[1. Identifiant interne d’exploitation agricole*],0)),FALSE,TRUE))</f>
        <v>1</v>
      </c>
      <c r="AE239" s="122" t="b">
        <f>IF(ISBLANK(GroupMember[[#This Row],[1. Identifiant interne d’exploitation agricole*]]),"",IF(ISERROR(MATCH(GroupMember[[#This Row],[1. Identifiant interne d’exploitation agricole*]],FarmUnit[1. Identifiant interne d’exploitation agricole*],0)),FALSE,TRUE))</f>
        <v>1</v>
      </c>
      <c r="AF239" s="9" t="str">
        <f t="shared" si="9"/>
        <v>GUEU  N'WOGUI SYLVAIN</v>
      </c>
      <c r="AG239" s="243" t="str">
        <f t="shared" si="10"/>
        <v>9/9/2021</v>
      </c>
      <c r="AH239" s="51">
        <f>COUNTIFS(Z:Z,Z239,AG:AG,AG239)</f>
        <v>5</v>
      </c>
      <c r="AI239" s="49">
        <f t="shared" si="11"/>
        <v>0</v>
      </c>
    </row>
    <row r="240" spans="1:35" ht="17.25" x14ac:dyDescent="0.2">
      <c r="A240" s="150" t="s">
        <v>1415</v>
      </c>
      <c r="B240" s="146" t="s">
        <v>668</v>
      </c>
      <c r="C240" s="150" t="s">
        <v>1415</v>
      </c>
      <c r="D240" s="147" t="s">
        <v>669</v>
      </c>
      <c r="E240" s="146" t="s">
        <v>670</v>
      </c>
      <c r="F240" s="146" t="s">
        <v>671</v>
      </c>
      <c r="G240" s="146" t="s">
        <v>672</v>
      </c>
      <c r="H240" s="148">
        <v>1.32</v>
      </c>
      <c r="I240" s="146" t="s">
        <v>673</v>
      </c>
      <c r="J240" s="149">
        <v>1</v>
      </c>
      <c r="K240" s="150">
        <v>2021</v>
      </c>
      <c r="L240" s="151" t="s">
        <v>1416</v>
      </c>
      <c r="M240" s="151" t="s">
        <v>1417</v>
      </c>
      <c r="N240" s="172" t="s">
        <v>1418</v>
      </c>
      <c r="O240" s="153"/>
      <c r="P240" s="154" t="s">
        <v>751</v>
      </c>
      <c r="Q240" s="154"/>
      <c r="R240" s="155">
        <v>7</v>
      </c>
      <c r="S240" s="146"/>
      <c r="T240" s="168"/>
      <c r="U240" s="146"/>
      <c r="V240" s="146"/>
      <c r="W240" s="146"/>
      <c r="X240" s="156">
        <v>0</v>
      </c>
      <c r="Y240" s="156">
        <v>0</v>
      </c>
      <c r="Z240" s="157" t="s">
        <v>677</v>
      </c>
      <c r="AA240" s="174">
        <v>2021</v>
      </c>
      <c r="AB240" s="175">
        <v>9</v>
      </c>
      <c r="AC240" s="175">
        <v>4</v>
      </c>
      <c r="AD240" s="122" t="b">
        <f>IF(ISBLANK(GroupMember[[#This Row],[1. Identifiant interne d’exploitation agricole*]]),"",IF(ISERROR(MATCH(GroupMember[[#This Row],[1. Identifiant interne d’exploitation agricole*]],CertifiedCrop[1. Identifiant interne d’exploitation agricole*],0)),FALSE,TRUE))</f>
        <v>1</v>
      </c>
      <c r="AE240" s="122" t="b">
        <f>IF(ISBLANK(GroupMember[[#This Row],[1. Identifiant interne d’exploitation agricole*]]),"",IF(ISERROR(MATCH(GroupMember[[#This Row],[1. Identifiant interne d’exploitation agricole*]],FarmUnit[1. Identifiant interne d’exploitation agricole*],0)),FALSE,TRUE))</f>
        <v>1</v>
      </c>
      <c r="AF240" s="9" t="str">
        <f t="shared" si="9"/>
        <v>KOUAKEU  YEKADO JERETE</v>
      </c>
      <c r="AG240" s="243" t="str">
        <f t="shared" si="10"/>
        <v>4/9/2021</v>
      </c>
      <c r="AH240" s="51">
        <f>COUNTIFS(Z:Z,Z240,AG:AG,AG240)</f>
        <v>5</v>
      </c>
      <c r="AI240" s="49">
        <f t="shared" si="11"/>
        <v>0</v>
      </c>
    </row>
    <row r="241" spans="1:35" ht="15" x14ac:dyDescent="0.2">
      <c r="A241" s="150" t="s">
        <v>1419</v>
      </c>
      <c r="B241" s="146" t="s">
        <v>668</v>
      </c>
      <c r="C241" s="150" t="s">
        <v>1419</v>
      </c>
      <c r="D241" s="147" t="s">
        <v>669</v>
      </c>
      <c r="E241" s="146" t="s">
        <v>670</v>
      </c>
      <c r="F241" s="146" t="s">
        <v>671</v>
      </c>
      <c r="G241" s="146" t="s">
        <v>672</v>
      </c>
      <c r="H241" s="148">
        <v>2.65</v>
      </c>
      <c r="I241" s="146" t="s">
        <v>673</v>
      </c>
      <c r="J241" s="149">
        <v>1</v>
      </c>
      <c r="K241" s="150">
        <v>2021</v>
      </c>
      <c r="L241" s="151" t="s">
        <v>1420</v>
      </c>
      <c r="M241" s="151" t="s">
        <v>1421</v>
      </c>
      <c r="N241" s="152"/>
      <c r="O241" s="153"/>
      <c r="P241" s="154" t="s">
        <v>676</v>
      </c>
      <c r="Q241" s="154"/>
      <c r="R241" s="155">
        <v>5</v>
      </c>
      <c r="S241" s="146"/>
      <c r="T241" s="168"/>
      <c r="U241" s="146"/>
      <c r="V241" s="146"/>
      <c r="W241" s="146"/>
      <c r="X241" s="156">
        <v>0</v>
      </c>
      <c r="Y241" s="156">
        <v>0</v>
      </c>
      <c r="Z241" s="157" t="s">
        <v>677</v>
      </c>
      <c r="AA241" s="174">
        <v>2021</v>
      </c>
      <c r="AB241" s="175">
        <v>9</v>
      </c>
      <c r="AC241" s="175">
        <v>11</v>
      </c>
      <c r="AD241" s="122" t="b">
        <f>IF(ISBLANK(GroupMember[[#This Row],[1. Identifiant interne d’exploitation agricole*]]),"",IF(ISERROR(MATCH(GroupMember[[#This Row],[1. Identifiant interne d’exploitation agricole*]],CertifiedCrop[1. Identifiant interne d’exploitation agricole*],0)),FALSE,TRUE))</f>
        <v>1</v>
      </c>
      <c r="AE241" s="122" t="b">
        <f>IF(ISBLANK(GroupMember[[#This Row],[1. Identifiant interne d’exploitation agricole*]]),"",IF(ISERROR(MATCH(GroupMember[[#This Row],[1. Identifiant interne d’exploitation agricole*]],FarmUnit[1. Identifiant interne d’exploitation agricole*],0)),FALSE,TRUE))</f>
        <v>1</v>
      </c>
      <c r="AF241" s="9" t="str">
        <f t="shared" si="9"/>
        <v>NAYAGA  BILA</v>
      </c>
      <c r="AG241" s="243" t="str">
        <f t="shared" si="10"/>
        <v>11/9/2021</v>
      </c>
      <c r="AH241" s="51">
        <f>COUNTIFS(Z:Z,Z241,AG:AG,AG241)</f>
        <v>5</v>
      </c>
      <c r="AI241" s="49">
        <f t="shared" si="11"/>
        <v>0</v>
      </c>
    </row>
    <row r="242" spans="1:35" ht="15" x14ac:dyDescent="0.2">
      <c r="A242" s="150" t="s">
        <v>1422</v>
      </c>
      <c r="B242" s="146" t="s">
        <v>668</v>
      </c>
      <c r="C242" s="150" t="s">
        <v>1422</v>
      </c>
      <c r="D242" s="147" t="s">
        <v>669</v>
      </c>
      <c r="E242" s="146" t="s">
        <v>670</v>
      </c>
      <c r="F242" s="146" t="s">
        <v>671</v>
      </c>
      <c r="G242" s="146" t="s">
        <v>672</v>
      </c>
      <c r="H242" s="148">
        <v>1.27</v>
      </c>
      <c r="I242" s="146" t="s">
        <v>673</v>
      </c>
      <c r="J242" s="149">
        <v>1</v>
      </c>
      <c r="K242" s="150">
        <v>2021</v>
      </c>
      <c r="L242" s="151" t="s">
        <v>1420</v>
      </c>
      <c r="M242" s="151" t="s">
        <v>1127</v>
      </c>
      <c r="N242" s="172"/>
      <c r="O242" s="153"/>
      <c r="P242" s="154" t="s">
        <v>676</v>
      </c>
      <c r="Q242" s="154"/>
      <c r="R242" s="155">
        <v>5</v>
      </c>
      <c r="S242" s="146"/>
      <c r="T242" s="168"/>
      <c r="U242" s="146"/>
      <c r="V242" s="146"/>
      <c r="W242" s="146"/>
      <c r="X242" s="156">
        <v>0</v>
      </c>
      <c r="Y242" s="156">
        <v>0</v>
      </c>
      <c r="Z242" s="157" t="s">
        <v>677</v>
      </c>
      <c r="AA242" s="174">
        <v>2021</v>
      </c>
      <c r="AB242" s="175">
        <v>9</v>
      </c>
      <c r="AC242" s="175">
        <v>15</v>
      </c>
      <c r="AD242" s="122" t="b">
        <f>IF(ISBLANK(GroupMember[[#This Row],[1. Identifiant interne d’exploitation agricole*]]),"",IF(ISERROR(MATCH(GroupMember[[#This Row],[1. Identifiant interne d’exploitation agricole*]],CertifiedCrop[1. Identifiant interne d’exploitation agricole*],0)),FALSE,TRUE))</f>
        <v>1</v>
      </c>
      <c r="AE242" s="122" t="b">
        <f>IF(ISBLANK(GroupMember[[#This Row],[1. Identifiant interne d’exploitation agricole*]]),"",IF(ISERROR(MATCH(GroupMember[[#This Row],[1. Identifiant interne d’exploitation agricole*]],FarmUnit[1. Identifiant interne d’exploitation agricole*],0)),FALSE,TRUE))</f>
        <v>1</v>
      </c>
      <c r="AF242" s="9" t="str">
        <f t="shared" si="9"/>
        <v>NAYAGA  ERIC</v>
      </c>
      <c r="AG242" s="243" t="str">
        <f t="shared" si="10"/>
        <v>15/9/2021</v>
      </c>
      <c r="AH242" s="51">
        <f>COUNTIFS(Z:Z,Z242,AG:AG,AG242)</f>
        <v>5</v>
      </c>
      <c r="AI242" s="49">
        <f t="shared" si="11"/>
        <v>0</v>
      </c>
    </row>
    <row r="243" spans="1:35" ht="15" x14ac:dyDescent="0.2">
      <c r="A243" s="150" t="s">
        <v>1423</v>
      </c>
      <c r="B243" s="146" t="s">
        <v>668</v>
      </c>
      <c r="C243" s="150" t="s">
        <v>1423</v>
      </c>
      <c r="D243" s="147" t="s">
        <v>669</v>
      </c>
      <c r="E243" s="146" t="s">
        <v>670</v>
      </c>
      <c r="F243" s="146" t="s">
        <v>671</v>
      </c>
      <c r="G243" s="146" t="s">
        <v>672</v>
      </c>
      <c r="H243" s="148">
        <v>1.92</v>
      </c>
      <c r="I243" s="146" t="s">
        <v>673</v>
      </c>
      <c r="J243" s="149">
        <v>1</v>
      </c>
      <c r="K243" s="150">
        <v>2021</v>
      </c>
      <c r="L243" s="151" t="s">
        <v>1424</v>
      </c>
      <c r="M243" s="151" t="s">
        <v>1425</v>
      </c>
      <c r="N243" s="172"/>
      <c r="O243" s="153"/>
      <c r="P243" s="154" t="s">
        <v>676</v>
      </c>
      <c r="Q243" s="154"/>
      <c r="R243" s="155">
        <v>4</v>
      </c>
      <c r="S243" s="146"/>
      <c r="T243" s="168"/>
      <c r="U243" s="146"/>
      <c r="V243" s="146"/>
      <c r="W243" s="146"/>
      <c r="X243" s="156">
        <v>0</v>
      </c>
      <c r="Y243" s="156">
        <v>0</v>
      </c>
      <c r="Z243" s="157" t="s">
        <v>677</v>
      </c>
      <c r="AA243" s="174">
        <v>2021</v>
      </c>
      <c r="AB243" s="175">
        <v>9</v>
      </c>
      <c r="AC243" s="175">
        <v>9</v>
      </c>
      <c r="AD243" s="122" t="b">
        <f>IF(ISBLANK(GroupMember[[#This Row],[1. Identifiant interne d’exploitation agricole*]]),"",IF(ISERROR(MATCH(GroupMember[[#This Row],[1. Identifiant interne d’exploitation agricole*]],CertifiedCrop[1. Identifiant interne d’exploitation agricole*],0)),FALSE,TRUE))</f>
        <v>1</v>
      </c>
      <c r="AE243" s="122" t="b">
        <f>IF(ISBLANK(GroupMember[[#This Row],[1. Identifiant interne d’exploitation agricole*]]),"",IF(ISERROR(MATCH(GroupMember[[#This Row],[1. Identifiant interne d’exploitation agricole*]],FarmUnit[1. Identifiant interne d’exploitation agricole*],0)),FALSE,TRUE))</f>
        <v>1</v>
      </c>
      <c r="AF243" s="9" t="str">
        <f t="shared" ref="AF243:AF306" si="12">IFERROR(CONCATENATE(L243," ",M243),"")</f>
        <v>NIKIEMA  TIBO</v>
      </c>
      <c r="AG243" s="243" t="str">
        <f t="shared" ref="AG243:AG306" si="13">CONCATENATE(AC243,"/",AB243,"/",AA243)</f>
        <v>9/9/2021</v>
      </c>
      <c r="AH243" s="51">
        <f>COUNTIFS(Z:Z,Z243,AG:AG,AG243)</f>
        <v>5</v>
      </c>
      <c r="AI243" s="49">
        <f t="shared" ref="AI243:AI306" si="14">IF((X243+Y243/12)&lt;0,"",(X243+Y243/12))</f>
        <v>0</v>
      </c>
    </row>
    <row r="244" spans="1:35" ht="15" x14ac:dyDescent="0.2">
      <c r="A244" s="150" t="s">
        <v>1426</v>
      </c>
      <c r="B244" s="146" t="s">
        <v>668</v>
      </c>
      <c r="C244" s="150" t="s">
        <v>1426</v>
      </c>
      <c r="D244" s="147" t="s">
        <v>669</v>
      </c>
      <c r="E244" s="146" t="s">
        <v>670</v>
      </c>
      <c r="F244" s="146" t="s">
        <v>671</v>
      </c>
      <c r="G244" s="146" t="s">
        <v>672</v>
      </c>
      <c r="H244" s="148">
        <v>0.98</v>
      </c>
      <c r="I244" s="146" t="s">
        <v>673</v>
      </c>
      <c r="J244" s="149">
        <v>1</v>
      </c>
      <c r="K244" s="150">
        <v>2021</v>
      </c>
      <c r="L244" s="151" t="s">
        <v>1427</v>
      </c>
      <c r="M244" s="151" t="s">
        <v>1428</v>
      </c>
      <c r="N244" s="172"/>
      <c r="O244" s="153"/>
      <c r="P244" s="154" t="s">
        <v>676</v>
      </c>
      <c r="Q244" s="154"/>
      <c r="R244" s="155">
        <v>6</v>
      </c>
      <c r="S244" s="146"/>
      <c r="T244" s="168"/>
      <c r="U244" s="146"/>
      <c r="V244" s="146"/>
      <c r="W244" s="146"/>
      <c r="X244" s="156">
        <v>0</v>
      </c>
      <c r="Y244" s="156">
        <v>0</v>
      </c>
      <c r="Z244" s="157" t="s">
        <v>677</v>
      </c>
      <c r="AA244" s="174">
        <v>2021</v>
      </c>
      <c r="AB244" s="175">
        <v>9</v>
      </c>
      <c r="AC244" s="175">
        <v>16</v>
      </c>
      <c r="AD244" s="122" t="b">
        <f>IF(ISBLANK(GroupMember[[#This Row],[1. Identifiant interne d’exploitation agricole*]]),"",IF(ISERROR(MATCH(GroupMember[[#This Row],[1. Identifiant interne d’exploitation agricole*]],CertifiedCrop[1. Identifiant interne d’exploitation agricole*],0)),FALSE,TRUE))</f>
        <v>1</v>
      </c>
      <c r="AE244" s="122" t="b">
        <f>IF(ISBLANK(GroupMember[[#This Row],[1. Identifiant interne d’exploitation agricole*]]),"",IF(ISERROR(MATCH(GroupMember[[#This Row],[1. Identifiant interne d’exploitation agricole*]],FarmUnit[1. Identifiant interne d’exploitation agricole*],0)),FALSE,TRUE))</f>
        <v>1</v>
      </c>
      <c r="AF244" s="9" t="str">
        <f t="shared" si="12"/>
        <v>YAGO  MARTIN</v>
      </c>
      <c r="AG244" s="243" t="str">
        <f t="shared" si="13"/>
        <v>16/9/2021</v>
      </c>
      <c r="AH244" s="51">
        <f>COUNTIFS(Z:Z,Z244,AG:AG,AG244)</f>
        <v>5</v>
      </c>
      <c r="AI244" s="49">
        <f t="shared" si="14"/>
        <v>0</v>
      </c>
    </row>
    <row r="245" spans="1:35" ht="17.25" x14ac:dyDescent="0.2">
      <c r="A245" s="150" t="s">
        <v>1429</v>
      </c>
      <c r="B245" s="146" t="s">
        <v>668</v>
      </c>
      <c r="C245" s="150" t="s">
        <v>1429</v>
      </c>
      <c r="D245" s="147" t="s">
        <v>669</v>
      </c>
      <c r="E245" s="146" t="s">
        <v>670</v>
      </c>
      <c r="F245" s="146" t="s">
        <v>671</v>
      </c>
      <c r="G245" s="146" t="s">
        <v>672</v>
      </c>
      <c r="H245" s="148">
        <v>4.26</v>
      </c>
      <c r="I245" s="146" t="s">
        <v>673</v>
      </c>
      <c r="J245" s="149">
        <v>1</v>
      </c>
      <c r="K245" s="150">
        <v>2021</v>
      </c>
      <c r="L245" s="151" t="s">
        <v>707</v>
      </c>
      <c r="M245" s="151" t="s">
        <v>1430</v>
      </c>
      <c r="N245" s="172"/>
      <c r="O245" s="153"/>
      <c r="P245" s="154" t="s">
        <v>676</v>
      </c>
      <c r="Q245" s="154"/>
      <c r="R245" s="155">
        <v>8</v>
      </c>
      <c r="S245" s="146"/>
      <c r="T245" s="168"/>
      <c r="U245" s="146"/>
      <c r="V245" s="146"/>
      <c r="W245" s="146"/>
      <c r="X245" s="156">
        <v>0</v>
      </c>
      <c r="Y245" s="156">
        <v>0</v>
      </c>
      <c r="Z245" s="157" t="s">
        <v>677</v>
      </c>
      <c r="AA245" s="174">
        <v>2021</v>
      </c>
      <c r="AB245" s="175">
        <v>9</v>
      </c>
      <c r="AC245" s="175">
        <v>4</v>
      </c>
      <c r="AD245" s="122" t="b">
        <f>IF(ISBLANK(GroupMember[[#This Row],[1. Identifiant interne d’exploitation agricole*]]),"",IF(ISERROR(MATCH(GroupMember[[#This Row],[1. Identifiant interne d’exploitation agricole*]],CertifiedCrop[1. Identifiant interne d’exploitation agricole*],0)),FALSE,TRUE))</f>
        <v>1</v>
      </c>
      <c r="AE245" s="122" t="b">
        <f>IF(ISBLANK(GroupMember[[#This Row],[1. Identifiant interne d’exploitation agricole*]]),"",IF(ISERROR(MATCH(GroupMember[[#This Row],[1. Identifiant interne d’exploitation agricole*]],FarmUnit[1. Identifiant interne d’exploitation agricole*],0)),FALSE,TRUE))</f>
        <v>1</v>
      </c>
      <c r="AF245" s="9" t="str">
        <f t="shared" si="12"/>
        <v>OUEDRAOGO  BROAMA</v>
      </c>
      <c r="AG245" s="243" t="str">
        <f t="shared" si="13"/>
        <v>4/9/2021</v>
      </c>
      <c r="AH245" s="51">
        <f>COUNTIFS(Z:Z,Z245,AG:AG,AG245)</f>
        <v>5</v>
      </c>
      <c r="AI245" s="49">
        <f t="shared" si="14"/>
        <v>0</v>
      </c>
    </row>
    <row r="246" spans="1:35" ht="15" x14ac:dyDescent="0.2">
      <c r="A246" s="150" t="s">
        <v>1431</v>
      </c>
      <c r="B246" s="146" t="s">
        <v>668</v>
      </c>
      <c r="C246" s="150" t="s">
        <v>1431</v>
      </c>
      <c r="D246" s="147" t="s">
        <v>669</v>
      </c>
      <c r="E246" s="146" t="s">
        <v>670</v>
      </c>
      <c r="F246" s="146" t="s">
        <v>671</v>
      </c>
      <c r="G246" s="146" t="s">
        <v>672</v>
      </c>
      <c r="H246" s="148">
        <v>2</v>
      </c>
      <c r="I246" s="146" t="s">
        <v>673</v>
      </c>
      <c r="J246" s="149">
        <v>1</v>
      </c>
      <c r="K246" s="150">
        <v>2021</v>
      </c>
      <c r="L246" s="151" t="s">
        <v>707</v>
      </c>
      <c r="M246" s="151" t="s">
        <v>1003</v>
      </c>
      <c r="N246" s="172"/>
      <c r="O246" s="153"/>
      <c r="P246" s="154" t="s">
        <v>676</v>
      </c>
      <c r="Q246" s="154"/>
      <c r="R246" s="155">
        <v>6</v>
      </c>
      <c r="S246" s="146"/>
      <c r="T246" s="168"/>
      <c r="U246" s="146"/>
      <c r="V246" s="146"/>
      <c r="W246" s="146"/>
      <c r="X246" s="156">
        <v>0</v>
      </c>
      <c r="Y246" s="156">
        <v>0</v>
      </c>
      <c r="Z246" s="157" t="s">
        <v>677</v>
      </c>
      <c r="AA246" s="174">
        <v>2021</v>
      </c>
      <c r="AB246" s="175">
        <v>9</v>
      </c>
      <c r="AC246" s="175">
        <v>15</v>
      </c>
      <c r="AD246" s="122" t="b">
        <f>IF(ISBLANK(GroupMember[[#This Row],[1. Identifiant interne d’exploitation agricole*]]),"",IF(ISERROR(MATCH(GroupMember[[#This Row],[1. Identifiant interne d’exploitation agricole*]],CertifiedCrop[1. Identifiant interne d’exploitation agricole*],0)),FALSE,TRUE))</f>
        <v>1</v>
      </c>
      <c r="AE246" s="122" t="b">
        <f>IF(ISBLANK(GroupMember[[#This Row],[1. Identifiant interne d’exploitation agricole*]]),"",IF(ISERROR(MATCH(GroupMember[[#This Row],[1. Identifiant interne d’exploitation agricole*]],FarmUnit[1. Identifiant interne d’exploitation agricole*],0)),FALSE,TRUE))</f>
        <v>1</v>
      </c>
      <c r="AF246" s="9" t="str">
        <f t="shared" si="12"/>
        <v>OUEDRAOGO  ISSIAKA</v>
      </c>
      <c r="AG246" s="243" t="str">
        <f t="shared" si="13"/>
        <v>15/9/2021</v>
      </c>
      <c r="AH246" s="51">
        <f>COUNTIFS(Z:Z,Z246,AG:AG,AG246)</f>
        <v>5</v>
      </c>
      <c r="AI246" s="49">
        <f t="shared" si="14"/>
        <v>0</v>
      </c>
    </row>
    <row r="247" spans="1:35" ht="15" x14ac:dyDescent="0.2">
      <c r="A247" s="150" t="s">
        <v>1432</v>
      </c>
      <c r="B247" s="146" t="s">
        <v>668</v>
      </c>
      <c r="C247" s="150" t="s">
        <v>1432</v>
      </c>
      <c r="D247" s="147" t="s">
        <v>669</v>
      </c>
      <c r="E247" s="146" t="s">
        <v>670</v>
      </c>
      <c r="F247" s="146" t="s">
        <v>671</v>
      </c>
      <c r="G247" s="146" t="s">
        <v>672</v>
      </c>
      <c r="H247" s="148">
        <v>3.64</v>
      </c>
      <c r="I247" s="146" t="s">
        <v>673</v>
      </c>
      <c r="J247" s="149">
        <v>1</v>
      </c>
      <c r="K247" s="150">
        <v>2021</v>
      </c>
      <c r="L247" s="151" t="s">
        <v>691</v>
      </c>
      <c r="M247" s="151" t="s">
        <v>1433</v>
      </c>
      <c r="N247" s="152"/>
      <c r="O247" s="153"/>
      <c r="P247" s="154" t="s">
        <v>676</v>
      </c>
      <c r="Q247" s="154"/>
      <c r="R247" s="155">
        <v>5</v>
      </c>
      <c r="S247" s="146"/>
      <c r="T247" s="168"/>
      <c r="U247" s="146"/>
      <c r="V247" s="146"/>
      <c r="W247" s="146"/>
      <c r="X247" s="156">
        <v>0</v>
      </c>
      <c r="Y247" s="156">
        <v>0</v>
      </c>
      <c r="Z247" s="157" t="s">
        <v>677</v>
      </c>
      <c r="AA247" s="174">
        <v>2021</v>
      </c>
      <c r="AB247" s="175">
        <v>9</v>
      </c>
      <c r="AC247" s="175">
        <v>11</v>
      </c>
      <c r="AD247" s="122" t="b">
        <f>IF(ISBLANK(GroupMember[[#This Row],[1. Identifiant interne d’exploitation agricole*]]),"",IF(ISERROR(MATCH(GroupMember[[#This Row],[1. Identifiant interne d’exploitation agricole*]],CertifiedCrop[1. Identifiant interne d’exploitation agricole*],0)),FALSE,TRUE))</f>
        <v>1</v>
      </c>
      <c r="AE247" s="122" t="b">
        <f>IF(ISBLANK(GroupMember[[#This Row],[1. Identifiant interne d’exploitation agricole*]]),"",IF(ISERROR(MATCH(GroupMember[[#This Row],[1. Identifiant interne d’exploitation agricole*]],FarmUnit[1. Identifiant interne d’exploitation agricole*],0)),FALSE,TRUE))</f>
        <v>1</v>
      </c>
      <c r="AF247" s="9" t="str">
        <f t="shared" si="12"/>
        <v>BEIPEUNAKEU  JONAS</v>
      </c>
      <c r="AG247" s="243" t="str">
        <f t="shared" si="13"/>
        <v>11/9/2021</v>
      </c>
      <c r="AH247" s="51">
        <f>COUNTIFS(Z:Z,Z247,AG:AG,AG247)</f>
        <v>5</v>
      </c>
      <c r="AI247" s="49">
        <f t="shared" si="14"/>
        <v>0</v>
      </c>
    </row>
    <row r="248" spans="1:35" ht="15" x14ac:dyDescent="0.2">
      <c r="A248" s="150" t="s">
        <v>1434</v>
      </c>
      <c r="B248" s="146" t="s">
        <v>668</v>
      </c>
      <c r="C248" s="150" t="s">
        <v>1434</v>
      </c>
      <c r="D248" s="147" t="s">
        <v>669</v>
      </c>
      <c r="E248" s="146" t="s">
        <v>670</v>
      </c>
      <c r="F248" s="146" t="s">
        <v>671</v>
      </c>
      <c r="G248" s="146" t="s">
        <v>672</v>
      </c>
      <c r="H248" s="148">
        <v>9</v>
      </c>
      <c r="I248" s="146" t="s">
        <v>673</v>
      </c>
      <c r="J248" s="149">
        <v>1</v>
      </c>
      <c r="K248" s="150">
        <v>2021</v>
      </c>
      <c r="L248" s="151" t="s">
        <v>1435</v>
      </c>
      <c r="M248" s="151" t="s">
        <v>1436</v>
      </c>
      <c r="N248" s="152"/>
      <c r="O248" s="153"/>
      <c r="P248" s="154" t="s">
        <v>676</v>
      </c>
      <c r="Q248" s="154"/>
      <c r="R248" s="155">
        <v>8</v>
      </c>
      <c r="S248" s="146"/>
      <c r="T248" s="168"/>
      <c r="U248" s="146"/>
      <c r="V248" s="146"/>
      <c r="W248" s="146"/>
      <c r="X248" s="156">
        <v>0</v>
      </c>
      <c r="Y248" s="156">
        <v>0</v>
      </c>
      <c r="Z248" s="157" t="s">
        <v>677</v>
      </c>
      <c r="AA248" s="174">
        <v>2021</v>
      </c>
      <c r="AB248" s="175">
        <v>9</v>
      </c>
      <c r="AC248" s="175">
        <v>6</v>
      </c>
      <c r="AD248" s="122" t="b">
        <f>IF(ISBLANK(GroupMember[[#This Row],[1. Identifiant interne d’exploitation agricole*]]),"",IF(ISERROR(MATCH(GroupMember[[#This Row],[1. Identifiant interne d’exploitation agricole*]],CertifiedCrop[1. Identifiant interne d’exploitation agricole*],0)),FALSE,TRUE))</f>
        <v>1</v>
      </c>
      <c r="AE248" s="122" t="b">
        <f>IF(ISBLANK(GroupMember[[#This Row],[1. Identifiant interne d’exploitation agricole*]]),"",IF(ISERROR(MATCH(GroupMember[[#This Row],[1. Identifiant interne d’exploitation agricole*]],FarmUnit[1. Identifiant interne d’exploitation agricole*],0)),FALSE,TRUE))</f>
        <v>1</v>
      </c>
      <c r="AF248" s="9" t="str">
        <f t="shared" si="12"/>
        <v>OUWAH CHARLES</v>
      </c>
      <c r="AG248" s="243" t="str">
        <f t="shared" si="13"/>
        <v>6/9/2021</v>
      </c>
      <c r="AH248" s="51">
        <f>COUNTIFS(Z:Z,Z248,AG:AG,AG248)</f>
        <v>4</v>
      </c>
      <c r="AI248" s="49">
        <f t="shared" si="14"/>
        <v>0</v>
      </c>
    </row>
    <row r="249" spans="1:35" ht="15" x14ac:dyDescent="0.2">
      <c r="A249" s="150" t="s">
        <v>1437</v>
      </c>
      <c r="B249" s="146" t="s">
        <v>668</v>
      </c>
      <c r="C249" s="150" t="s">
        <v>1437</v>
      </c>
      <c r="D249" s="147" t="s">
        <v>669</v>
      </c>
      <c r="E249" s="146" t="s">
        <v>670</v>
      </c>
      <c r="F249" s="146" t="s">
        <v>671</v>
      </c>
      <c r="G249" s="146" t="s">
        <v>672</v>
      </c>
      <c r="H249" s="148">
        <v>5</v>
      </c>
      <c r="I249" s="146" t="s">
        <v>673</v>
      </c>
      <c r="J249" s="149">
        <v>1</v>
      </c>
      <c r="K249" s="150">
        <v>2021</v>
      </c>
      <c r="L249" s="151" t="s">
        <v>1438</v>
      </c>
      <c r="M249" s="151" t="s">
        <v>1439</v>
      </c>
      <c r="N249" s="172"/>
      <c r="O249" s="153"/>
      <c r="P249" s="154" t="s">
        <v>676</v>
      </c>
      <c r="Q249" s="154"/>
      <c r="R249" s="155">
        <v>10</v>
      </c>
      <c r="S249" s="146"/>
      <c r="T249" s="168"/>
      <c r="U249" s="146"/>
      <c r="V249" s="146"/>
      <c r="W249" s="146"/>
      <c r="X249" s="156">
        <v>0</v>
      </c>
      <c r="Y249" s="156">
        <v>0</v>
      </c>
      <c r="Z249" s="157" t="s">
        <v>677</v>
      </c>
      <c r="AA249" s="174">
        <v>2021</v>
      </c>
      <c r="AB249" s="175">
        <v>9</v>
      </c>
      <c r="AC249" s="175">
        <v>14</v>
      </c>
      <c r="AD249" s="122" t="b">
        <f>IF(ISBLANK(GroupMember[[#This Row],[1. Identifiant interne d’exploitation agricole*]]),"",IF(ISERROR(MATCH(GroupMember[[#This Row],[1. Identifiant interne d’exploitation agricole*]],CertifiedCrop[1. Identifiant interne d’exploitation agricole*],0)),FALSE,TRUE))</f>
        <v>1</v>
      </c>
      <c r="AE249" s="122" t="b">
        <f>IF(ISBLANK(GroupMember[[#This Row],[1. Identifiant interne d’exploitation agricole*]]),"",IF(ISERROR(MATCH(GroupMember[[#This Row],[1. Identifiant interne d’exploitation agricole*]],FarmUnit[1. Identifiant interne d’exploitation agricole*],0)),FALSE,TRUE))</f>
        <v>1</v>
      </c>
      <c r="AF249" s="9" t="str">
        <f t="shared" si="12"/>
        <v>MAHAN  AUGUSTIN 1</v>
      </c>
      <c r="AG249" s="243" t="str">
        <f t="shared" si="13"/>
        <v>14/9/2021</v>
      </c>
      <c r="AH249" s="51">
        <f>COUNTIFS(Z:Z,Z249,AG:AG,AG249)</f>
        <v>4</v>
      </c>
      <c r="AI249" s="49">
        <f t="shared" si="14"/>
        <v>0</v>
      </c>
    </row>
    <row r="250" spans="1:35" ht="15" x14ac:dyDescent="0.2">
      <c r="A250" s="150" t="s">
        <v>1440</v>
      </c>
      <c r="B250" s="146" t="s">
        <v>668</v>
      </c>
      <c r="C250" s="150" t="s">
        <v>1440</v>
      </c>
      <c r="D250" s="147" t="s">
        <v>669</v>
      </c>
      <c r="E250" s="146" t="s">
        <v>670</v>
      </c>
      <c r="F250" s="146" t="s">
        <v>671</v>
      </c>
      <c r="G250" s="146" t="s">
        <v>672</v>
      </c>
      <c r="H250" s="148">
        <v>0.96</v>
      </c>
      <c r="I250" s="146" t="s">
        <v>673</v>
      </c>
      <c r="J250" s="149">
        <v>1</v>
      </c>
      <c r="K250" s="150">
        <v>2021</v>
      </c>
      <c r="L250" s="151" t="s">
        <v>1441</v>
      </c>
      <c r="M250" s="151" t="s">
        <v>1442</v>
      </c>
      <c r="N250" s="172" t="s">
        <v>1443</v>
      </c>
      <c r="O250" s="153" t="s">
        <v>1444</v>
      </c>
      <c r="P250" s="154" t="s">
        <v>676</v>
      </c>
      <c r="Q250" s="154">
        <v>1985</v>
      </c>
      <c r="R250" s="155">
        <v>6</v>
      </c>
      <c r="S250" s="146"/>
      <c r="T250" s="168"/>
      <c r="U250" s="146"/>
      <c r="V250" s="146"/>
      <c r="W250" s="146"/>
      <c r="X250" s="156">
        <v>0</v>
      </c>
      <c r="Y250" s="156">
        <v>0</v>
      </c>
      <c r="Z250" s="157" t="s">
        <v>677</v>
      </c>
      <c r="AA250" s="174">
        <v>2021</v>
      </c>
      <c r="AB250" s="175">
        <v>9</v>
      </c>
      <c r="AC250" s="175">
        <v>9</v>
      </c>
      <c r="AD250" s="122" t="b">
        <f>IF(ISBLANK(GroupMember[[#This Row],[1. Identifiant interne d’exploitation agricole*]]),"",IF(ISERROR(MATCH(GroupMember[[#This Row],[1. Identifiant interne d’exploitation agricole*]],CertifiedCrop[1. Identifiant interne d’exploitation agricole*],0)),FALSE,TRUE))</f>
        <v>1</v>
      </c>
      <c r="AE250" s="122" t="b">
        <f>IF(ISBLANK(GroupMember[[#This Row],[1. Identifiant interne d’exploitation agricole*]]),"",IF(ISERROR(MATCH(GroupMember[[#This Row],[1. Identifiant interne d’exploitation agricole*]],FarmUnit[1. Identifiant interne d’exploitation agricole*],0)),FALSE,TRUE))</f>
        <v>1</v>
      </c>
      <c r="AF250" s="9" t="str">
        <f t="shared" si="12"/>
        <v>N'GORAN  KOUADIO PHILIPPE</v>
      </c>
      <c r="AG250" s="243" t="str">
        <f t="shared" si="13"/>
        <v>9/9/2021</v>
      </c>
      <c r="AH250" s="51">
        <f>COUNTIFS(Z:Z,Z250,AG:AG,AG250)</f>
        <v>5</v>
      </c>
      <c r="AI250" s="49">
        <f t="shared" si="14"/>
        <v>0</v>
      </c>
    </row>
    <row r="251" spans="1:35" ht="15" x14ac:dyDescent="0.2">
      <c r="A251" s="150" t="s">
        <v>1445</v>
      </c>
      <c r="B251" s="146" t="s">
        <v>668</v>
      </c>
      <c r="C251" s="150" t="s">
        <v>1445</v>
      </c>
      <c r="D251" s="147" t="s">
        <v>669</v>
      </c>
      <c r="E251" s="146" t="s">
        <v>670</v>
      </c>
      <c r="F251" s="146" t="s">
        <v>671</v>
      </c>
      <c r="G251" s="146" t="s">
        <v>672</v>
      </c>
      <c r="H251" s="148">
        <v>2.5299999999999998</v>
      </c>
      <c r="I251" s="146" t="s">
        <v>673</v>
      </c>
      <c r="J251" s="149">
        <v>1</v>
      </c>
      <c r="K251" s="150">
        <v>2021</v>
      </c>
      <c r="L251" s="151" t="s">
        <v>1446</v>
      </c>
      <c r="M251" s="151" t="s">
        <v>1003</v>
      </c>
      <c r="N251" s="152"/>
      <c r="O251" s="153"/>
      <c r="P251" s="154" t="s">
        <v>676</v>
      </c>
      <c r="Q251" s="154"/>
      <c r="R251" s="155">
        <v>5</v>
      </c>
      <c r="S251" s="146"/>
      <c r="T251" s="168"/>
      <c r="U251" s="146"/>
      <c r="V251" s="146"/>
      <c r="W251" s="146"/>
      <c r="X251" s="156">
        <v>0</v>
      </c>
      <c r="Y251" s="156">
        <v>0</v>
      </c>
      <c r="Z251" s="157" t="s">
        <v>677</v>
      </c>
      <c r="AA251" s="174">
        <v>2021</v>
      </c>
      <c r="AB251" s="175">
        <v>9</v>
      </c>
      <c r="AC251" s="175">
        <v>15</v>
      </c>
      <c r="AD251" s="122" t="b">
        <f>IF(ISBLANK(GroupMember[[#This Row],[1. Identifiant interne d’exploitation agricole*]]),"",IF(ISERROR(MATCH(GroupMember[[#This Row],[1. Identifiant interne d’exploitation agricole*]],CertifiedCrop[1. Identifiant interne d’exploitation agricole*],0)),FALSE,TRUE))</f>
        <v>1</v>
      </c>
      <c r="AE251" s="122" t="b">
        <f>IF(ISBLANK(GroupMember[[#This Row],[1. Identifiant interne d’exploitation agricole*]]),"",IF(ISERROR(MATCH(GroupMember[[#This Row],[1. Identifiant interne d’exploitation agricole*]],FarmUnit[1. Identifiant interne d’exploitation agricole*],0)),FALSE,TRUE))</f>
        <v>1</v>
      </c>
      <c r="AF251" s="9" t="str">
        <f t="shared" si="12"/>
        <v>SIMPORE  ISSIAKA</v>
      </c>
      <c r="AG251" s="243" t="str">
        <f t="shared" si="13"/>
        <v>15/9/2021</v>
      </c>
      <c r="AH251" s="51">
        <f>COUNTIFS(Z:Z,Z251,AG:AG,AG251)</f>
        <v>5</v>
      </c>
      <c r="AI251" s="49">
        <f t="shared" si="14"/>
        <v>0</v>
      </c>
    </row>
    <row r="252" spans="1:35" ht="15" x14ac:dyDescent="0.2">
      <c r="A252" s="179" t="s">
        <v>1447</v>
      </c>
      <c r="B252" s="180" t="s">
        <v>668</v>
      </c>
      <c r="C252" s="179" t="s">
        <v>1447</v>
      </c>
      <c r="D252" s="147" t="s">
        <v>669</v>
      </c>
      <c r="E252" s="180" t="s">
        <v>670</v>
      </c>
      <c r="F252" s="180" t="s">
        <v>671</v>
      </c>
      <c r="G252" s="180" t="s">
        <v>672</v>
      </c>
      <c r="H252" s="181">
        <v>3.23</v>
      </c>
      <c r="I252" s="180" t="s">
        <v>673</v>
      </c>
      <c r="J252" s="182">
        <v>1</v>
      </c>
      <c r="K252" s="179">
        <v>2021</v>
      </c>
      <c r="L252" s="159" t="s">
        <v>1446</v>
      </c>
      <c r="M252" s="159" t="s">
        <v>1127</v>
      </c>
      <c r="N252" s="177" t="s">
        <v>1448</v>
      </c>
      <c r="O252" s="183"/>
      <c r="P252" s="184" t="s">
        <v>676</v>
      </c>
      <c r="Q252" s="184"/>
      <c r="R252" s="155">
        <v>4</v>
      </c>
      <c r="S252" s="180"/>
      <c r="T252" s="185"/>
      <c r="U252" s="180"/>
      <c r="V252" s="180"/>
      <c r="W252" s="180"/>
      <c r="X252" s="186">
        <v>0</v>
      </c>
      <c r="Y252" s="186">
        <v>0</v>
      </c>
      <c r="Z252" s="187" t="s">
        <v>677</v>
      </c>
      <c r="AA252" s="174">
        <v>2021</v>
      </c>
      <c r="AB252" s="188">
        <v>9</v>
      </c>
      <c r="AC252" s="188">
        <v>4</v>
      </c>
      <c r="AD252" s="122" t="b">
        <f>IF(ISBLANK(GroupMember[[#This Row],[1. Identifiant interne d’exploitation agricole*]]),"",IF(ISERROR(MATCH(GroupMember[[#This Row],[1. Identifiant interne d’exploitation agricole*]],CertifiedCrop[1. Identifiant interne d’exploitation agricole*],0)),FALSE,TRUE))</f>
        <v>1</v>
      </c>
      <c r="AE252" s="122" t="b">
        <f>IF(ISBLANK(GroupMember[[#This Row],[1. Identifiant interne d’exploitation agricole*]]),"",IF(ISERROR(MATCH(GroupMember[[#This Row],[1. Identifiant interne d’exploitation agricole*]],FarmUnit[1. Identifiant interne d’exploitation agricole*],0)),FALSE,TRUE))</f>
        <v>1</v>
      </c>
      <c r="AF252" s="9" t="str">
        <f t="shared" si="12"/>
        <v>SIMPORE  ERIC</v>
      </c>
      <c r="AG252" s="243" t="str">
        <f t="shared" si="13"/>
        <v>4/9/2021</v>
      </c>
      <c r="AH252" s="51">
        <f>COUNTIFS(Z:Z,Z252,AG:AG,AG252)</f>
        <v>5</v>
      </c>
      <c r="AI252" s="49">
        <f t="shared" si="14"/>
        <v>0</v>
      </c>
    </row>
    <row r="253" spans="1:35" ht="15" x14ac:dyDescent="0.2">
      <c r="A253" s="150" t="s">
        <v>1449</v>
      </c>
      <c r="B253" s="146" t="s">
        <v>668</v>
      </c>
      <c r="C253" s="150" t="s">
        <v>1449</v>
      </c>
      <c r="D253" s="147" t="s">
        <v>669</v>
      </c>
      <c r="E253" s="146" t="s">
        <v>670</v>
      </c>
      <c r="F253" s="146" t="s">
        <v>671</v>
      </c>
      <c r="G253" s="146" t="s">
        <v>672</v>
      </c>
      <c r="H253" s="148">
        <v>2</v>
      </c>
      <c r="I253" s="146" t="s">
        <v>673</v>
      </c>
      <c r="J253" s="149">
        <v>1</v>
      </c>
      <c r="K253" s="150">
        <v>2021</v>
      </c>
      <c r="L253" s="151" t="s">
        <v>1450</v>
      </c>
      <c r="M253" s="151" t="s">
        <v>1451</v>
      </c>
      <c r="N253" s="172" t="s">
        <v>1452</v>
      </c>
      <c r="O253" s="153" t="s">
        <v>1453</v>
      </c>
      <c r="P253" s="154" t="s">
        <v>676</v>
      </c>
      <c r="Q253" s="154">
        <v>1975</v>
      </c>
      <c r="R253" s="155">
        <v>7</v>
      </c>
      <c r="S253" s="146"/>
      <c r="T253" s="168"/>
      <c r="U253" s="146"/>
      <c r="V253" s="146"/>
      <c r="W253" s="146"/>
      <c r="X253" s="156">
        <v>0</v>
      </c>
      <c r="Y253" s="156">
        <v>0</v>
      </c>
      <c r="Z253" s="157" t="s">
        <v>1454</v>
      </c>
      <c r="AA253" s="158">
        <v>2021</v>
      </c>
      <c r="AB253" s="158">
        <v>7</v>
      </c>
      <c r="AC253" s="158">
        <v>3</v>
      </c>
      <c r="AD253" s="122" t="b">
        <f>IF(ISBLANK(GroupMember[[#This Row],[1. Identifiant interne d’exploitation agricole*]]),"",IF(ISERROR(MATCH(GroupMember[[#This Row],[1. Identifiant interne d’exploitation agricole*]],CertifiedCrop[1. Identifiant interne d’exploitation agricole*],0)),FALSE,TRUE))</f>
        <v>1</v>
      </c>
      <c r="AE253" s="122" t="b">
        <f>IF(ISBLANK(GroupMember[[#This Row],[1. Identifiant interne d’exploitation agricole*]]),"",IF(ISERROR(MATCH(GroupMember[[#This Row],[1. Identifiant interne d’exploitation agricole*]],FarmUnit[1. Identifiant interne d’exploitation agricole*],0)),FALSE,TRUE))</f>
        <v>1</v>
      </c>
      <c r="AF253" s="9" t="str">
        <f t="shared" si="12"/>
        <v>TONESSIA  TOUALOU AMBROISE</v>
      </c>
      <c r="AG253" s="243" t="str">
        <f t="shared" si="13"/>
        <v>3/7/2021</v>
      </c>
      <c r="AH253" s="51">
        <f>COUNTIFS(Z:Z,Z253,AG:AG,AG253)</f>
        <v>4</v>
      </c>
      <c r="AI253" s="49">
        <f t="shared" si="14"/>
        <v>0</v>
      </c>
    </row>
    <row r="254" spans="1:35" ht="15" x14ac:dyDescent="0.2">
      <c r="A254" s="150" t="s">
        <v>1455</v>
      </c>
      <c r="B254" s="146" t="s">
        <v>668</v>
      </c>
      <c r="C254" s="150" t="s">
        <v>1455</v>
      </c>
      <c r="D254" s="147" t="s">
        <v>669</v>
      </c>
      <c r="E254" s="146" t="s">
        <v>670</v>
      </c>
      <c r="F254" s="146" t="s">
        <v>671</v>
      </c>
      <c r="G254" s="146" t="s">
        <v>672</v>
      </c>
      <c r="H254" s="148">
        <v>1.1200000000000001</v>
      </c>
      <c r="I254" s="146" t="s">
        <v>673</v>
      </c>
      <c r="J254" s="149">
        <v>1</v>
      </c>
      <c r="K254" s="150">
        <v>2021</v>
      </c>
      <c r="L254" s="176" t="s">
        <v>1456</v>
      </c>
      <c r="M254" s="176" t="s">
        <v>1457</v>
      </c>
      <c r="N254" s="172" t="s">
        <v>1458</v>
      </c>
      <c r="O254" s="153"/>
      <c r="P254" s="154" t="s">
        <v>676</v>
      </c>
      <c r="Q254" s="154"/>
      <c r="R254" s="155">
        <v>8</v>
      </c>
      <c r="S254" s="146"/>
      <c r="T254" s="168"/>
      <c r="U254" s="146"/>
      <c r="V254" s="146"/>
      <c r="W254" s="146"/>
      <c r="X254" s="156">
        <v>0</v>
      </c>
      <c r="Y254" s="156">
        <v>0</v>
      </c>
      <c r="Z254" s="157" t="s">
        <v>1454</v>
      </c>
      <c r="AA254" s="158">
        <v>2021</v>
      </c>
      <c r="AB254" s="158">
        <v>7</v>
      </c>
      <c r="AC254" s="158">
        <v>6</v>
      </c>
      <c r="AD254" s="122" t="b">
        <f>IF(ISBLANK(GroupMember[[#This Row],[1. Identifiant interne d’exploitation agricole*]]),"",IF(ISERROR(MATCH(GroupMember[[#This Row],[1. Identifiant interne d’exploitation agricole*]],CertifiedCrop[1. Identifiant interne d’exploitation agricole*],0)),FALSE,TRUE))</f>
        <v>1</v>
      </c>
      <c r="AE254" s="122" t="b">
        <f>IF(ISBLANK(GroupMember[[#This Row],[1. Identifiant interne d’exploitation agricole*]]),"",IF(ISERROR(MATCH(GroupMember[[#This Row],[1. Identifiant interne d’exploitation agricole*]],FarmUnit[1. Identifiant interne d’exploitation agricole*],0)),FALSE,TRUE))</f>
        <v>1</v>
      </c>
      <c r="AF254" s="9" t="str">
        <f t="shared" si="12"/>
        <v>ZANOU ZOYA PATRICE</v>
      </c>
      <c r="AG254" s="243" t="str">
        <f t="shared" si="13"/>
        <v>6/7/2021</v>
      </c>
      <c r="AH254" s="51">
        <f>COUNTIFS(Z:Z,Z254,AG:AG,AG254)</f>
        <v>4</v>
      </c>
      <c r="AI254" s="49">
        <f t="shared" si="14"/>
        <v>0</v>
      </c>
    </row>
    <row r="255" spans="1:35" ht="15" x14ac:dyDescent="0.2">
      <c r="A255" s="150" t="s">
        <v>1459</v>
      </c>
      <c r="B255" s="146" t="s">
        <v>668</v>
      </c>
      <c r="C255" s="150" t="s">
        <v>1459</v>
      </c>
      <c r="D255" s="147" t="s">
        <v>669</v>
      </c>
      <c r="E255" s="146" t="s">
        <v>670</v>
      </c>
      <c r="F255" s="146" t="s">
        <v>671</v>
      </c>
      <c r="G255" s="146" t="s">
        <v>672</v>
      </c>
      <c r="H255" s="148">
        <v>4</v>
      </c>
      <c r="I255" s="146" t="s">
        <v>673</v>
      </c>
      <c r="J255" s="149">
        <v>1</v>
      </c>
      <c r="K255" s="150">
        <v>2021</v>
      </c>
      <c r="L255" s="178" t="s">
        <v>795</v>
      </c>
      <c r="M255" s="178" t="s">
        <v>1460</v>
      </c>
      <c r="N255" s="152"/>
      <c r="O255" s="153"/>
      <c r="P255" s="154" t="s">
        <v>676</v>
      </c>
      <c r="Q255" s="154"/>
      <c r="R255" s="155">
        <v>8</v>
      </c>
      <c r="S255" s="146"/>
      <c r="T255" s="168"/>
      <c r="U255" s="146"/>
      <c r="V255" s="146"/>
      <c r="W255" s="146"/>
      <c r="X255" s="156">
        <v>0</v>
      </c>
      <c r="Y255" s="156">
        <v>0</v>
      </c>
      <c r="Z255" s="157" t="s">
        <v>1454</v>
      </c>
      <c r="AA255" s="158">
        <v>2021</v>
      </c>
      <c r="AB255" s="158">
        <v>7</v>
      </c>
      <c r="AC255" s="158">
        <v>10</v>
      </c>
      <c r="AD255" s="122" t="b">
        <f>IF(ISBLANK(GroupMember[[#This Row],[1. Identifiant interne d’exploitation agricole*]]),"",IF(ISERROR(MATCH(GroupMember[[#This Row],[1. Identifiant interne d’exploitation agricole*]],CertifiedCrop[1. Identifiant interne d’exploitation agricole*],0)),FALSE,TRUE))</f>
        <v>1</v>
      </c>
      <c r="AE255" s="122" t="b">
        <f>IF(ISBLANK(GroupMember[[#This Row],[1. Identifiant interne d’exploitation agricole*]]),"",IF(ISERROR(MATCH(GroupMember[[#This Row],[1. Identifiant interne d’exploitation agricole*]],FarmUnit[1. Identifiant interne d’exploitation agricole*],0)),FALSE,TRUE))</f>
        <v>1</v>
      </c>
      <c r="AF255" s="9" t="str">
        <f t="shared" si="12"/>
        <v>GOMPOU  KOUATONEN J.</v>
      </c>
      <c r="AG255" s="243" t="str">
        <f t="shared" si="13"/>
        <v>10/7/2021</v>
      </c>
      <c r="AH255" s="51">
        <f>COUNTIFS(Z:Z,Z255,AG:AG,AG255)</f>
        <v>4</v>
      </c>
      <c r="AI255" s="49">
        <f t="shared" si="14"/>
        <v>0</v>
      </c>
    </row>
    <row r="256" spans="1:35" ht="15" x14ac:dyDescent="0.2">
      <c r="A256" s="150" t="s">
        <v>1461</v>
      </c>
      <c r="B256" s="146" t="s">
        <v>668</v>
      </c>
      <c r="C256" s="150" t="s">
        <v>1461</v>
      </c>
      <c r="D256" s="147" t="s">
        <v>669</v>
      </c>
      <c r="E256" s="146" t="s">
        <v>670</v>
      </c>
      <c r="F256" s="146" t="s">
        <v>671</v>
      </c>
      <c r="G256" s="146" t="s">
        <v>672</v>
      </c>
      <c r="H256" s="148">
        <v>2</v>
      </c>
      <c r="I256" s="146" t="s">
        <v>673</v>
      </c>
      <c r="J256" s="149">
        <v>1</v>
      </c>
      <c r="K256" s="150">
        <v>2021</v>
      </c>
      <c r="L256" s="178" t="s">
        <v>795</v>
      </c>
      <c r="M256" s="178" t="s">
        <v>1462</v>
      </c>
      <c r="N256" s="152"/>
      <c r="O256" s="153"/>
      <c r="P256" s="154" t="s">
        <v>676</v>
      </c>
      <c r="Q256" s="154"/>
      <c r="R256" s="155">
        <v>6</v>
      </c>
      <c r="S256" s="146"/>
      <c r="T256" s="168"/>
      <c r="U256" s="146"/>
      <c r="V256" s="146"/>
      <c r="W256" s="146"/>
      <c r="X256" s="156">
        <v>0</v>
      </c>
      <c r="Y256" s="156">
        <v>0</v>
      </c>
      <c r="Z256" s="157" t="s">
        <v>1454</v>
      </c>
      <c r="AA256" s="158">
        <v>2021</v>
      </c>
      <c r="AB256" s="158">
        <v>7</v>
      </c>
      <c r="AC256" s="158">
        <v>19</v>
      </c>
      <c r="AD256" s="122" t="b">
        <f>IF(ISBLANK(GroupMember[[#This Row],[1. Identifiant interne d’exploitation agricole*]]),"",IF(ISERROR(MATCH(GroupMember[[#This Row],[1. Identifiant interne d’exploitation agricole*]],CertifiedCrop[1. Identifiant interne d’exploitation agricole*],0)),FALSE,TRUE))</f>
        <v>1</v>
      </c>
      <c r="AE256" s="122" t="b">
        <f>IF(ISBLANK(GroupMember[[#This Row],[1. Identifiant interne d’exploitation agricole*]]),"",IF(ISERROR(MATCH(GroupMember[[#This Row],[1. Identifiant interne d’exploitation agricole*]],FarmUnit[1. Identifiant interne d’exploitation agricole*],0)),FALSE,TRUE))</f>
        <v>1</v>
      </c>
      <c r="AF256" s="9" t="str">
        <f t="shared" si="12"/>
        <v>GOMPOU  KANKEU GEORGES</v>
      </c>
      <c r="AG256" s="243" t="str">
        <f t="shared" si="13"/>
        <v>19/7/2021</v>
      </c>
      <c r="AH256" s="51">
        <f>COUNTIFS(Z:Z,Z256,AG:AG,AG256)</f>
        <v>4</v>
      </c>
      <c r="AI256" s="49">
        <f t="shared" si="14"/>
        <v>0</v>
      </c>
    </row>
    <row r="257" spans="1:35" ht="15" x14ac:dyDescent="0.2">
      <c r="A257" s="150" t="s">
        <v>1463</v>
      </c>
      <c r="B257" s="146" t="s">
        <v>668</v>
      </c>
      <c r="C257" s="150" t="s">
        <v>1463</v>
      </c>
      <c r="D257" s="147" t="s">
        <v>669</v>
      </c>
      <c r="E257" s="146" t="s">
        <v>670</v>
      </c>
      <c r="F257" s="146" t="s">
        <v>671</v>
      </c>
      <c r="G257" s="146" t="s">
        <v>672</v>
      </c>
      <c r="H257" s="148">
        <v>7</v>
      </c>
      <c r="I257" s="146" t="s">
        <v>673</v>
      </c>
      <c r="J257" s="149">
        <v>1</v>
      </c>
      <c r="K257" s="150">
        <v>2021</v>
      </c>
      <c r="L257" s="178" t="s">
        <v>1464</v>
      </c>
      <c r="M257" s="178" t="s">
        <v>1465</v>
      </c>
      <c r="N257" s="152"/>
      <c r="O257" s="153"/>
      <c r="P257" s="154" t="s">
        <v>676</v>
      </c>
      <c r="Q257" s="154"/>
      <c r="R257" s="155">
        <v>5</v>
      </c>
      <c r="S257" s="146"/>
      <c r="T257" s="168"/>
      <c r="U257" s="146"/>
      <c r="V257" s="146"/>
      <c r="W257" s="146"/>
      <c r="X257" s="156">
        <v>0</v>
      </c>
      <c r="Y257" s="156">
        <v>0</v>
      </c>
      <c r="Z257" s="157" t="s">
        <v>1454</v>
      </c>
      <c r="AA257" s="158">
        <v>2021</v>
      </c>
      <c r="AB257" s="158">
        <v>7</v>
      </c>
      <c r="AC257" s="158">
        <v>21</v>
      </c>
      <c r="AD257" s="122" t="b">
        <f>IF(ISBLANK(GroupMember[[#This Row],[1. Identifiant interne d’exploitation agricole*]]),"",IF(ISERROR(MATCH(GroupMember[[#This Row],[1. Identifiant interne d’exploitation agricole*]],CertifiedCrop[1. Identifiant interne d’exploitation agricole*],0)),FALSE,TRUE))</f>
        <v>1</v>
      </c>
      <c r="AE257" s="122" t="b">
        <f>IF(ISBLANK(GroupMember[[#This Row],[1. Identifiant interne d’exploitation agricole*]]),"",IF(ISERROR(MATCH(GroupMember[[#This Row],[1. Identifiant interne d’exploitation agricole*]],FarmUnit[1. Identifiant interne d’exploitation agricole*],0)),FALSE,TRUE))</f>
        <v>1</v>
      </c>
      <c r="AF257" s="9" t="str">
        <f t="shared" si="12"/>
        <v>POKAMON GERARD</v>
      </c>
      <c r="AG257" s="243" t="str">
        <f t="shared" si="13"/>
        <v>21/7/2021</v>
      </c>
      <c r="AH257" s="51">
        <f>COUNTIFS(Z:Z,Z257,AG:AG,AG257)</f>
        <v>5</v>
      </c>
      <c r="AI257" s="49">
        <f t="shared" si="14"/>
        <v>0</v>
      </c>
    </row>
    <row r="258" spans="1:35" ht="15" x14ac:dyDescent="0.2">
      <c r="A258" s="150" t="s">
        <v>1466</v>
      </c>
      <c r="B258" s="146" t="s">
        <v>668</v>
      </c>
      <c r="C258" s="150" t="s">
        <v>1466</v>
      </c>
      <c r="D258" s="147" t="s">
        <v>669</v>
      </c>
      <c r="E258" s="146" t="s">
        <v>670</v>
      </c>
      <c r="F258" s="146" t="s">
        <v>671</v>
      </c>
      <c r="G258" s="146" t="s">
        <v>672</v>
      </c>
      <c r="H258" s="148">
        <v>3</v>
      </c>
      <c r="I258" s="146" t="s">
        <v>673</v>
      </c>
      <c r="J258" s="149">
        <v>1</v>
      </c>
      <c r="K258" s="150">
        <v>2021</v>
      </c>
      <c r="L258" s="178" t="s">
        <v>1456</v>
      </c>
      <c r="M258" s="178" t="s">
        <v>1467</v>
      </c>
      <c r="N258" s="152"/>
      <c r="O258" s="153"/>
      <c r="P258" s="154" t="s">
        <v>676</v>
      </c>
      <c r="Q258" s="154"/>
      <c r="R258" s="155">
        <v>7</v>
      </c>
      <c r="S258" s="146"/>
      <c r="T258" s="168"/>
      <c r="U258" s="146"/>
      <c r="V258" s="146"/>
      <c r="W258" s="146"/>
      <c r="X258" s="156">
        <v>0</v>
      </c>
      <c r="Y258" s="156">
        <v>0</v>
      </c>
      <c r="Z258" s="157" t="s">
        <v>1454</v>
      </c>
      <c r="AA258" s="158">
        <v>2021</v>
      </c>
      <c r="AB258" s="158">
        <v>7</v>
      </c>
      <c r="AC258" s="158">
        <v>23</v>
      </c>
      <c r="AD258" s="122" t="b">
        <f>IF(ISBLANK(GroupMember[[#This Row],[1. Identifiant interne d’exploitation agricole*]]),"",IF(ISERROR(MATCH(GroupMember[[#This Row],[1. Identifiant interne d’exploitation agricole*]],CertifiedCrop[1. Identifiant interne d’exploitation agricole*],0)),FALSE,TRUE))</f>
        <v>1</v>
      </c>
      <c r="AE258" s="122" t="b">
        <f>IF(ISBLANK(GroupMember[[#This Row],[1. Identifiant interne d’exploitation agricole*]]),"",IF(ISERROR(MATCH(GroupMember[[#This Row],[1. Identifiant interne d’exploitation agricole*]],FarmUnit[1. Identifiant interne d’exploitation agricole*],0)),FALSE,TRUE))</f>
        <v>1</v>
      </c>
      <c r="AF258" s="9" t="str">
        <f t="shared" si="12"/>
        <v>ZANOU  ZOYA APPOLINAIRE</v>
      </c>
      <c r="AG258" s="243" t="str">
        <f t="shared" si="13"/>
        <v>23/7/2021</v>
      </c>
      <c r="AH258" s="51">
        <f>COUNTIFS(Z:Z,Z258,AG:AG,AG258)</f>
        <v>5</v>
      </c>
      <c r="AI258" s="49">
        <f t="shared" si="14"/>
        <v>0</v>
      </c>
    </row>
    <row r="259" spans="1:35" ht="15" x14ac:dyDescent="0.2">
      <c r="A259" s="150" t="s">
        <v>1468</v>
      </c>
      <c r="B259" s="146" t="s">
        <v>668</v>
      </c>
      <c r="C259" s="150" t="s">
        <v>1468</v>
      </c>
      <c r="D259" s="147" t="s">
        <v>669</v>
      </c>
      <c r="E259" s="146" t="s">
        <v>670</v>
      </c>
      <c r="F259" s="146" t="s">
        <v>671</v>
      </c>
      <c r="G259" s="146" t="s">
        <v>672</v>
      </c>
      <c r="H259" s="148">
        <v>2</v>
      </c>
      <c r="I259" s="146" t="s">
        <v>673</v>
      </c>
      <c r="J259" s="149">
        <v>1</v>
      </c>
      <c r="K259" s="150">
        <v>2021</v>
      </c>
      <c r="L259" s="178" t="s">
        <v>1456</v>
      </c>
      <c r="M259" s="178" t="s">
        <v>1469</v>
      </c>
      <c r="N259" s="172"/>
      <c r="O259" s="153"/>
      <c r="P259" s="154" t="s">
        <v>676</v>
      </c>
      <c r="Q259" s="154"/>
      <c r="R259" s="155">
        <v>4</v>
      </c>
      <c r="S259" s="146"/>
      <c r="T259" s="168"/>
      <c r="U259" s="146"/>
      <c r="V259" s="146"/>
      <c r="W259" s="146"/>
      <c r="X259" s="156">
        <v>0</v>
      </c>
      <c r="Y259" s="156">
        <v>0</v>
      </c>
      <c r="Z259" s="157" t="s">
        <v>1454</v>
      </c>
      <c r="AA259" s="158">
        <v>2021</v>
      </c>
      <c r="AB259" s="158">
        <v>7</v>
      </c>
      <c r="AC259" s="158">
        <v>23</v>
      </c>
      <c r="AD259" s="122" t="b">
        <f>IF(ISBLANK(GroupMember[[#This Row],[1. Identifiant interne d’exploitation agricole*]]),"",IF(ISERROR(MATCH(GroupMember[[#This Row],[1. Identifiant interne d’exploitation agricole*]],CertifiedCrop[1. Identifiant interne d’exploitation agricole*],0)),FALSE,TRUE))</f>
        <v>1</v>
      </c>
      <c r="AE259" s="122" t="b">
        <f>IF(ISBLANK(GroupMember[[#This Row],[1. Identifiant interne d’exploitation agricole*]]),"",IF(ISERROR(MATCH(GroupMember[[#This Row],[1. Identifiant interne d’exploitation agricole*]],FarmUnit[1. Identifiant interne d’exploitation agricole*],0)),FALSE,TRUE))</f>
        <v>1</v>
      </c>
      <c r="AF259" s="9" t="str">
        <f t="shared" si="12"/>
        <v>ZANOU  FULGENCE</v>
      </c>
      <c r="AG259" s="243" t="str">
        <f t="shared" si="13"/>
        <v>23/7/2021</v>
      </c>
      <c r="AH259" s="51">
        <f>COUNTIFS(Z:Z,Z259,AG:AG,AG259)</f>
        <v>5</v>
      </c>
      <c r="AI259" s="49">
        <f t="shared" si="14"/>
        <v>0</v>
      </c>
    </row>
    <row r="260" spans="1:35" ht="15" x14ac:dyDescent="0.2">
      <c r="A260" s="150" t="s">
        <v>1470</v>
      </c>
      <c r="B260" s="146" t="s">
        <v>668</v>
      </c>
      <c r="C260" s="150" t="s">
        <v>1470</v>
      </c>
      <c r="D260" s="147" t="s">
        <v>669</v>
      </c>
      <c r="E260" s="146" t="s">
        <v>670</v>
      </c>
      <c r="F260" s="146" t="s">
        <v>671</v>
      </c>
      <c r="G260" s="146" t="s">
        <v>672</v>
      </c>
      <c r="H260" s="148">
        <v>2</v>
      </c>
      <c r="I260" s="146" t="s">
        <v>673</v>
      </c>
      <c r="J260" s="149">
        <v>1</v>
      </c>
      <c r="K260" s="150">
        <v>2021</v>
      </c>
      <c r="L260" s="178" t="s">
        <v>1471</v>
      </c>
      <c r="M260" s="178" t="s">
        <v>1472</v>
      </c>
      <c r="N260" s="172"/>
      <c r="O260" s="153"/>
      <c r="P260" s="154" t="s">
        <v>676</v>
      </c>
      <c r="Q260" s="154"/>
      <c r="R260" s="155">
        <v>5</v>
      </c>
      <c r="S260" s="146"/>
      <c r="T260" s="168"/>
      <c r="U260" s="146"/>
      <c r="V260" s="146"/>
      <c r="W260" s="146"/>
      <c r="X260" s="156">
        <v>0</v>
      </c>
      <c r="Y260" s="156">
        <v>0</v>
      </c>
      <c r="Z260" s="157" t="s">
        <v>1454</v>
      </c>
      <c r="AA260" s="158">
        <v>2021</v>
      </c>
      <c r="AB260" s="158">
        <v>7</v>
      </c>
      <c r="AC260" s="158">
        <v>7</v>
      </c>
      <c r="AD260" s="122" t="b">
        <f>IF(ISBLANK(GroupMember[[#This Row],[1. Identifiant interne d’exploitation agricole*]]),"",IF(ISERROR(MATCH(GroupMember[[#This Row],[1. Identifiant interne d’exploitation agricole*]],CertifiedCrop[1. Identifiant interne d’exploitation agricole*],0)),FALSE,TRUE))</f>
        <v>1</v>
      </c>
      <c r="AE260" s="122" t="b">
        <f>IF(ISBLANK(GroupMember[[#This Row],[1. Identifiant interne d’exploitation agricole*]]),"",IF(ISERROR(MATCH(GroupMember[[#This Row],[1. Identifiant interne d’exploitation agricole*]],FarmUnit[1. Identifiant interne d’exploitation agricole*],0)),FALSE,TRUE))</f>
        <v>1</v>
      </c>
      <c r="AF260" s="9" t="str">
        <f t="shared" si="12"/>
        <v>SEINE  AUBIN</v>
      </c>
      <c r="AG260" s="243" t="str">
        <f t="shared" si="13"/>
        <v>7/7/2021</v>
      </c>
      <c r="AH260" s="51">
        <f>COUNTIFS(Z:Z,Z260,AG:AG,AG260)</f>
        <v>4</v>
      </c>
      <c r="AI260" s="49">
        <f t="shared" si="14"/>
        <v>0</v>
      </c>
    </row>
    <row r="261" spans="1:35" ht="15" x14ac:dyDescent="0.2">
      <c r="A261" s="150" t="s">
        <v>1473</v>
      </c>
      <c r="B261" s="146" t="s">
        <v>668</v>
      </c>
      <c r="C261" s="150" t="s">
        <v>1473</v>
      </c>
      <c r="D261" s="147" t="s">
        <v>669</v>
      </c>
      <c r="E261" s="146" t="s">
        <v>670</v>
      </c>
      <c r="F261" s="146" t="s">
        <v>671</v>
      </c>
      <c r="G261" s="146" t="s">
        <v>672</v>
      </c>
      <c r="H261" s="148">
        <v>2</v>
      </c>
      <c r="I261" s="146" t="s">
        <v>673</v>
      </c>
      <c r="J261" s="149">
        <v>1</v>
      </c>
      <c r="K261" s="150">
        <v>2021</v>
      </c>
      <c r="L261" s="151" t="s">
        <v>1456</v>
      </c>
      <c r="M261" s="151" t="s">
        <v>1474</v>
      </c>
      <c r="N261" s="152" t="s">
        <v>1475</v>
      </c>
      <c r="O261" s="153" t="s">
        <v>1476</v>
      </c>
      <c r="P261" s="154" t="s">
        <v>676</v>
      </c>
      <c r="Q261" s="154">
        <v>1965</v>
      </c>
      <c r="R261" s="155">
        <v>7</v>
      </c>
      <c r="S261" s="146"/>
      <c r="T261" s="168"/>
      <c r="U261" s="146"/>
      <c r="V261" s="146"/>
      <c r="W261" s="146"/>
      <c r="X261" s="156">
        <v>0</v>
      </c>
      <c r="Y261" s="156">
        <v>0</v>
      </c>
      <c r="Z261" s="157" t="s">
        <v>1454</v>
      </c>
      <c r="AA261" s="158">
        <v>2021</v>
      </c>
      <c r="AB261" s="158">
        <v>7</v>
      </c>
      <c r="AC261" s="158">
        <v>10</v>
      </c>
      <c r="AD261" s="122" t="b">
        <f>IF(ISBLANK(GroupMember[[#This Row],[1. Identifiant interne d’exploitation agricole*]]),"",IF(ISERROR(MATCH(GroupMember[[#This Row],[1. Identifiant interne d’exploitation agricole*]],CertifiedCrop[1. Identifiant interne d’exploitation agricole*],0)),FALSE,TRUE))</f>
        <v>1</v>
      </c>
      <c r="AE261" s="122" t="b">
        <f>IF(ISBLANK(GroupMember[[#This Row],[1. Identifiant interne d’exploitation agricole*]]),"",IF(ISERROR(MATCH(GroupMember[[#This Row],[1. Identifiant interne d’exploitation agricole*]],FarmUnit[1. Identifiant interne d’exploitation agricole*],0)),FALSE,TRUE))</f>
        <v>1</v>
      </c>
      <c r="AF261" s="9" t="str">
        <f t="shared" si="12"/>
        <v>ZANOU BERNARD</v>
      </c>
      <c r="AG261" s="243" t="str">
        <f t="shared" si="13"/>
        <v>10/7/2021</v>
      </c>
      <c r="AH261" s="51">
        <f>COUNTIFS(Z:Z,Z261,AG:AG,AG261)</f>
        <v>4</v>
      </c>
      <c r="AI261" s="49">
        <f t="shared" si="14"/>
        <v>0</v>
      </c>
    </row>
    <row r="262" spans="1:35" ht="15" x14ac:dyDescent="0.2">
      <c r="A262" s="150" t="s">
        <v>1477</v>
      </c>
      <c r="B262" s="146" t="s">
        <v>668</v>
      </c>
      <c r="C262" s="150" t="s">
        <v>1477</v>
      </c>
      <c r="D262" s="147" t="s">
        <v>669</v>
      </c>
      <c r="E262" s="146" t="s">
        <v>670</v>
      </c>
      <c r="F262" s="146" t="s">
        <v>671</v>
      </c>
      <c r="G262" s="146" t="s">
        <v>672</v>
      </c>
      <c r="H262" s="148">
        <v>2</v>
      </c>
      <c r="I262" s="146" t="s">
        <v>673</v>
      </c>
      <c r="J262" s="149">
        <v>1</v>
      </c>
      <c r="K262" s="150">
        <v>2021</v>
      </c>
      <c r="L262" s="151" t="s">
        <v>1456</v>
      </c>
      <c r="M262" s="151" t="s">
        <v>1478</v>
      </c>
      <c r="N262" s="152"/>
      <c r="O262" s="153"/>
      <c r="P262" s="154" t="s">
        <v>676</v>
      </c>
      <c r="Q262" s="154"/>
      <c r="R262" s="155">
        <v>4</v>
      </c>
      <c r="S262" s="146"/>
      <c r="T262" s="168"/>
      <c r="U262" s="146"/>
      <c r="V262" s="146"/>
      <c r="W262" s="146"/>
      <c r="X262" s="156">
        <v>0</v>
      </c>
      <c r="Y262" s="156">
        <v>0</v>
      </c>
      <c r="Z262" s="157" t="s">
        <v>1454</v>
      </c>
      <c r="AA262" s="158">
        <v>2021</v>
      </c>
      <c r="AB262" s="158">
        <v>7</v>
      </c>
      <c r="AC262" s="158">
        <v>19</v>
      </c>
      <c r="AD262" s="122" t="b">
        <f>IF(ISBLANK(GroupMember[[#This Row],[1. Identifiant interne d’exploitation agricole*]]),"",IF(ISERROR(MATCH(GroupMember[[#This Row],[1. Identifiant interne d’exploitation agricole*]],CertifiedCrop[1. Identifiant interne d’exploitation agricole*],0)),FALSE,TRUE))</f>
        <v>1</v>
      </c>
      <c r="AE262" s="122" t="b">
        <f>IF(ISBLANK(GroupMember[[#This Row],[1. Identifiant interne d’exploitation agricole*]]),"",IF(ISERROR(MATCH(GroupMember[[#This Row],[1. Identifiant interne d’exploitation agricole*]],FarmUnit[1. Identifiant interne d’exploitation agricole*],0)),FALSE,TRUE))</f>
        <v>1</v>
      </c>
      <c r="AF262" s="9" t="str">
        <f t="shared" si="12"/>
        <v>ZANOU  TAH BAINJAMAIN</v>
      </c>
      <c r="AG262" s="243" t="str">
        <f t="shared" si="13"/>
        <v>19/7/2021</v>
      </c>
      <c r="AH262" s="51">
        <f>COUNTIFS(Z:Z,Z262,AG:AG,AG262)</f>
        <v>4</v>
      </c>
      <c r="AI262" s="49">
        <f t="shared" si="14"/>
        <v>0</v>
      </c>
    </row>
    <row r="263" spans="1:35" ht="15" x14ac:dyDescent="0.2">
      <c r="A263" s="150" t="s">
        <v>1479</v>
      </c>
      <c r="B263" s="146" t="s">
        <v>668</v>
      </c>
      <c r="C263" s="150" t="s">
        <v>1479</v>
      </c>
      <c r="D263" s="147" t="s">
        <v>669</v>
      </c>
      <c r="E263" s="146" t="s">
        <v>670</v>
      </c>
      <c r="F263" s="146" t="s">
        <v>671</v>
      </c>
      <c r="G263" s="146" t="s">
        <v>672</v>
      </c>
      <c r="H263" s="148">
        <v>3</v>
      </c>
      <c r="I263" s="146" t="s">
        <v>673</v>
      </c>
      <c r="J263" s="149">
        <v>1</v>
      </c>
      <c r="K263" s="150">
        <v>2021</v>
      </c>
      <c r="L263" s="151" t="s">
        <v>1456</v>
      </c>
      <c r="M263" s="151" t="s">
        <v>1480</v>
      </c>
      <c r="N263" s="172"/>
      <c r="O263" s="153"/>
      <c r="P263" s="154" t="s">
        <v>676</v>
      </c>
      <c r="Q263" s="154"/>
      <c r="R263" s="155">
        <v>5</v>
      </c>
      <c r="S263" s="146"/>
      <c r="T263" s="168"/>
      <c r="U263" s="146"/>
      <c r="V263" s="146"/>
      <c r="W263" s="146"/>
      <c r="X263" s="156">
        <v>0</v>
      </c>
      <c r="Y263" s="156">
        <v>0</v>
      </c>
      <c r="Z263" s="157" t="s">
        <v>1454</v>
      </c>
      <c r="AA263" s="158">
        <v>2021</v>
      </c>
      <c r="AB263" s="158">
        <v>7</v>
      </c>
      <c r="AC263" s="158">
        <v>21</v>
      </c>
      <c r="AD263" s="122" t="b">
        <f>IF(ISBLANK(GroupMember[[#This Row],[1. Identifiant interne d’exploitation agricole*]]),"",IF(ISERROR(MATCH(GroupMember[[#This Row],[1. Identifiant interne d’exploitation agricole*]],CertifiedCrop[1. Identifiant interne d’exploitation agricole*],0)),FALSE,TRUE))</f>
        <v>1</v>
      </c>
      <c r="AE263" s="122" t="b">
        <f>IF(ISBLANK(GroupMember[[#This Row],[1. Identifiant interne d’exploitation agricole*]]),"",IF(ISERROR(MATCH(GroupMember[[#This Row],[1. Identifiant interne d’exploitation agricole*]],FarmUnit[1. Identifiant interne d’exploitation agricole*],0)),FALSE,TRUE))</f>
        <v>1</v>
      </c>
      <c r="AF263" s="9" t="str">
        <f t="shared" si="12"/>
        <v>ZANOU  TOBOKOU DARUS</v>
      </c>
      <c r="AG263" s="243" t="str">
        <f t="shared" si="13"/>
        <v>21/7/2021</v>
      </c>
      <c r="AH263" s="51">
        <f>COUNTIFS(Z:Z,Z263,AG:AG,AG263)</f>
        <v>5</v>
      </c>
      <c r="AI263" s="49">
        <f t="shared" si="14"/>
        <v>0</v>
      </c>
    </row>
    <row r="264" spans="1:35" ht="15" x14ac:dyDescent="0.2">
      <c r="A264" s="150" t="s">
        <v>1481</v>
      </c>
      <c r="B264" s="146" t="s">
        <v>668</v>
      </c>
      <c r="C264" s="150" t="s">
        <v>1481</v>
      </c>
      <c r="D264" s="147" t="s">
        <v>669</v>
      </c>
      <c r="E264" s="146" t="s">
        <v>670</v>
      </c>
      <c r="F264" s="146" t="s">
        <v>671</v>
      </c>
      <c r="G264" s="146" t="s">
        <v>672</v>
      </c>
      <c r="H264" s="148">
        <v>2</v>
      </c>
      <c r="I264" s="146" t="s">
        <v>673</v>
      </c>
      <c r="J264" s="149">
        <v>1</v>
      </c>
      <c r="K264" s="150">
        <v>2021</v>
      </c>
      <c r="L264" s="151" t="s">
        <v>1456</v>
      </c>
      <c r="M264" s="151" t="s">
        <v>1482</v>
      </c>
      <c r="N264" s="172"/>
      <c r="O264" s="153"/>
      <c r="P264" s="154" t="s">
        <v>676</v>
      </c>
      <c r="Q264" s="154"/>
      <c r="R264" s="155">
        <v>6</v>
      </c>
      <c r="S264" s="146"/>
      <c r="T264" s="168"/>
      <c r="U264" s="146"/>
      <c r="V264" s="146"/>
      <c r="W264" s="146"/>
      <c r="X264" s="156">
        <v>0</v>
      </c>
      <c r="Y264" s="156">
        <v>0</v>
      </c>
      <c r="Z264" s="157" t="s">
        <v>1454</v>
      </c>
      <c r="AA264" s="158">
        <v>2021</v>
      </c>
      <c r="AB264" s="158">
        <v>7</v>
      </c>
      <c r="AC264" s="158">
        <v>20</v>
      </c>
      <c r="AD264" s="122" t="b">
        <f>IF(ISBLANK(GroupMember[[#This Row],[1. Identifiant interne d’exploitation agricole*]]),"",IF(ISERROR(MATCH(GroupMember[[#This Row],[1. Identifiant interne d’exploitation agricole*]],CertifiedCrop[1. Identifiant interne d’exploitation agricole*],0)),FALSE,TRUE))</f>
        <v>1</v>
      </c>
      <c r="AE264" s="122" t="b">
        <f>IF(ISBLANK(GroupMember[[#This Row],[1. Identifiant interne d’exploitation agricole*]]),"",IF(ISERROR(MATCH(GroupMember[[#This Row],[1. Identifiant interne d’exploitation agricole*]],FarmUnit[1. Identifiant interne d’exploitation agricole*],0)),FALSE,TRUE))</f>
        <v>1</v>
      </c>
      <c r="AF264" s="9" t="str">
        <f t="shared" si="12"/>
        <v>ZANOU  WOUHKADO S.</v>
      </c>
      <c r="AG264" s="243" t="str">
        <f t="shared" si="13"/>
        <v>20/7/2021</v>
      </c>
      <c r="AH264" s="51">
        <f>COUNTIFS(Z:Z,Z264,AG:AG,AG264)</f>
        <v>3</v>
      </c>
      <c r="AI264" s="49">
        <f t="shared" si="14"/>
        <v>0</v>
      </c>
    </row>
    <row r="265" spans="1:35" ht="15" x14ac:dyDescent="0.2">
      <c r="A265" s="150" t="s">
        <v>1483</v>
      </c>
      <c r="B265" s="146" t="s">
        <v>668</v>
      </c>
      <c r="C265" s="150" t="s">
        <v>1483</v>
      </c>
      <c r="D265" s="147" t="s">
        <v>669</v>
      </c>
      <c r="E265" s="146" t="s">
        <v>670</v>
      </c>
      <c r="F265" s="146" t="s">
        <v>671</v>
      </c>
      <c r="G265" s="146" t="s">
        <v>672</v>
      </c>
      <c r="H265" s="148">
        <v>0.95</v>
      </c>
      <c r="I265" s="146" t="s">
        <v>673</v>
      </c>
      <c r="J265" s="149">
        <v>1</v>
      </c>
      <c r="K265" s="150">
        <v>2021</v>
      </c>
      <c r="L265" s="151" t="s">
        <v>1464</v>
      </c>
      <c r="M265" s="151" t="s">
        <v>1484</v>
      </c>
      <c r="N265" s="152"/>
      <c r="O265" s="153"/>
      <c r="P265" s="154" t="s">
        <v>676</v>
      </c>
      <c r="Q265" s="154"/>
      <c r="R265" s="155">
        <v>8</v>
      </c>
      <c r="S265" s="146"/>
      <c r="T265" s="168"/>
      <c r="U265" s="146"/>
      <c r="V265" s="146"/>
      <c r="W265" s="146"/>
      <c r="X265" s="156">
        <v>0</v>
      </c>
      <c r="Y265" s="156">
        <v>0</v>
      </c>
      <c r="Z265" s="157" t="s">
        <v>1454</v>
      </c>
      <c r="AA265" s="158">
        <v>2021</v>
      </c>
      <c r="AB265" s="158">
        <v>7</v>
      </c>
      <c r="AC265" s="158">
        <v>10</v>
      </c>
      <c r="AD265" s="122" t="b">
        <f>IF(ISBLANK(GroupMember[[#This Row],[1. Identifiant interne d’exploitation agricole*]]),"",IF(ISERROR(MATCH(GroupMember[[#This Row],[1. Identifiant interne d’exploitation agricole*]],CertifiedCrop[1. Identifiant interne d’exploitation agricole*],0)),FALSE,TRUE))</f>
        <v>1</v>
      </c>
      <c r="AE265" s="122" t="b">
        <f>IF(ISBLANK(GroupMember[[#This Row],[1. Identifiant interne d’exploitation agricole*]]),"",IF(ISERROR(MATCH(GroupMember[[#This Row],[1. Identifiant interne d’exploitation agricole*]],FarmUnit[1. Identifiant interne d’exploitation agricole*],0)),FALSE,TRUE))</f>
        <v>1</v>
      </c>
      <c r="AF265" s="9" t="str">
        <f t="shared" si="12"/>
        <v>POKAMON  JUNIOR</v>
      </c>
      <c r="AG265" s="243" t="str">
        <f t="shared" si="13"/>
        <v>10/7/2021</v>
      </c>
      <c r="AH265" s="51">
        <f>COUNTIFS(Z:Z,Z265,AG:AG,AG265)</f>
        <v>4</v>
      </c>
      <c r="AI265" s="49">
        <f t="shared" si="14"/>
        <v>0</v>
      </c>
    </row>
    <row r="266" spans="1:35" ht="15" x14ac:dyDescent="0.2">
      <c r="A266" s="150" t="s">
        <v>1485</v>
      </c>
      <c r="B266" s="146" t="s">
        <v>668</v>
      </c>
      <c r="C266" s="150" t="s">
        <v>1485</v>
      </c>
      <c r="D266" s="147" t="s">
        <v>669</v>
      </c>
      <c r="E266" s="146" t="s">
        <v>670</v>
      </c>
      <c r="F266" s="146" t="s">
        <v>671</v>
      </c>
      <c r="G266" s="146" t="s">
        <v>672</v>
      </c>
      <c r="H266" s="148">
        <v>5</v>
      </c>
      <c r="I266" s="146" t="s">
        <v>673</v>
      </c>
      <c r="J266" s="149">
        <v>1</v>
      </c>
      <c r="K266" s="150">
        <v>2021</v>
      </c>
      <c r="L266" s="151" t="s">
        <v>925</v>
      </c>
      <c r="M266" s="151" t="s">
        <v>1486</v>
      </c>
      <c r="N266" s="152"/>
      <c r="O266" s="153"/>
      <c r="P266" s="154" t="s">
        <v>676</v>
      </c>
      <c r="Q266" s="154"/>
      <c r="R266" s="155">
        <v>7</v>
      </c>
      <c r="S266" s="146"/>
      <c r="T266" s="168"/>
      <c r="U266" s="146"/>
      <c r="V266" s="146"/>
      <c r="W266" s="146"/>
      <c r="X266" s="156">
        <v>0</v>
      </c>
      <c r="Y266" s="156">
        <v>0</v>
      </c>
      <c r="Z266" s="157" t="s">
        <v>1454</v>
      </c>
      <c r="AA266" s="158">
        <v>2021</v>
      </c>
      <c r="AB266" s="158">
        <v>8</v>
      </c>
      <c r="AC266" s="158">
        <v>23</v>
      </c>
      <c r="AD266" s="122" t="b">
        <f>IF(ISBLANK(GroupMember[[#This Row],[1. Identifiant interne d’exploitation agricole*]]),"",IF(ISERROR(MATCH(GroupMember[[#This Row],[1. Identifiant interne d’exploitation agricole*]],CertifiedCrop[1. Identifiant interne d’exploitation agricole*],0)),FALSE,TRUE))</f>
        <v>1</v>
      </c>
      <c r="AE266" s="122" t="b">
        <f>IF(ISBLANK(GroupMember[[#This Row],[1. Identifiant interne d’exploitation agricole*]]),"",IF(ISERROR(MATCH(GroupMember[[#This Row],[1. Identifiant interne d’exploitation agricole*]],FarmUnit[1. Identifiant interne d’exploitation agricole*],0)),FALSE,TRUE))</f>
        <v>1</v>
      </c>
      <c r="AF266" s="9" t="str">
        <f t="shared" si="12"/>
        <v>KPAN NESTOR</v>
      </c>
      <c r="AG266" s="243" t="str">
        <f t="shared" si="13"/>
        <v>23/8/2021</v>
      </c>
      <c r="AH266" s="51">
        <f>COUNTIFS(Z:Z,Z266,AG:AG,AG266)</f>
        <v>4</v>
      </c>
      <c r="AI266" s="49">
        <f t="shared" si="14"/>
        <v>0</v>
      </c>
    </row>
    <row r="267" spans="1:35" ht="15" x14ac:dyDescent="0.2">
      <c r="A267" s="150" t="s">
        <v>1487</v>
      </c>
      <c r="B267" s="146" t="s">
        <v>668</v>
      </c>
      <c r="C267" s="150" t="s">
        <v>1487</v>
      </c>
      <c r="D267" s="147" t="s">
        <v>669</v>
      </c>
      <c r="E267" s="146" t="s">
        <v>670</v>
      </c>
      <c r="F267" s="146" t="s">
        <v>671</v>
      </c>
      <c r="G267" s="146" t="s">
        <v>672</v>
      </c>
      <c r="H267" s="148">
        <v>3.1</v>
      </c>
      <c r="I267" s="146" t="s">
        <v>673</v>
      </c>
      <c r="J267" s="149">
        <v>1</v>
      </c>
      <c r="K267" s="150">
        <v>2021</v>
      </c>
      <c r="L267" s="151" t="s">
        <v>948</v>
      </c>
      <c r="M267" s="151" t="s">
        <v>1488</v>
      </c>
      <c r="N267" s="152"/>
      <c r="O267" s="153"/>
      <c r="P267" s="154" t="s">
        <v>676</v>
      </c>
      <c r="Q267" s="154"/>
      <c r="R267" s="155">
        <v>4</v>
      </c>
      <c r="S267" s="146"/>
      <c r="T267" s="168"/>
      <c r="U267" s="146"/>
      <c r="V267" s="146"/>
      <c r="W267" s="146"/>
      <c r="X267" s="156">
        <v>0</v>
      </c>
      <c r="Y267" s="156">
        <v>0</v>
      </c>
      <c r="Z267" s="157" t="s">
        <v>1454</v>
      </c>
      <c r="AA267" s="158">
        <v>2021</v>
      </c>
      <c r="AB267" s="158">
        <v>7</v>
      </c>
      <c r="AC267" s="158">
        <v>3</v>
      </c>
      <c r="AD267" s="122" t="b">
        <f>IF(ISBLANK(GroupMember[[#This Row],[1. Identifiant interne d’exploitation agricole*]]),"",IF(ISERROR(MATCH(GroupMember[[#This Row],[1. Identifiant interne d’exploitation agricole*]],CertifiedCrop[1. Identifiant interne d’exploitation agricole*],0)),FALSE,TRUE))</f>
        <v>1</v>
      </c>
      <c r="AE267" s="122" t="b">
        <f>IF(ISBLANK(GroupMember[[#This Row],[1. Identifiant interne d’exploitation agricole*]]),"",IF(ISERROR(MATCH(GroupMember[[#This Row],[1. Identifiant interne d’exploitation agricole*]],FarmUnit[1. Identifiant interne d’exploitation agricole*],0)),FALSE,TRUE))</f>
        <v>1</v>
      </c>
      <c r="AF267" s="9" t="str">
        <f t="shared" si="12"/>
        <v>SAWADOGO  SAIDOU</v>
      </c>
      <c r="AG267" s="243" t="str">
        <f t="shared" si="13"/>
        <v>3/7/2021</v>
      </c>
      <c r="AH267" s="51">
        <f>COUNTIFS(Z:Z,Z267,AG:AG,AG267)</f>
        <v>4</v>
      </c>
      <c r="AI267" s="49">
        <f t="shared" si="14"/>
        <v>0</v>
      </c>
    </row>
    <row r="268" spans="1:35" ht="15" x14ac:dyDescent="0.2">
      <c r="A268" s="150" t="s">
        <v>1489</v>
      </c>
      <c r="B268" s="146" t="s">
        <v>668</v>
      </c>
      <c r="C268" s="150" t="s">
        <v>1489</v>
      </c>
      <c r="D268" s="147" t="s">
        <v>669</v>
      </c>
      <c r="E268" s="146" t="s">
        <v>670</v>
      </c>
      <c r="F268" s="146" t="s">
        <v>671</v>
      </c>
      <c r="G268" s="146" t="s">
        <v>672</v>
      </c>
      <c r="H268" s="148">
        <v>1.92</v>
      </c>
      <c r="I268" s="146" t="s">
        <v>673</v>
      </c>
      <c r="J268" s="149">
        <v>1</v>
      </c>
      <c r="K268" s="150">
        <v>2021</v>
      </c>
      <c r="L268" s="151" t="s">
        <v>948</v>
      </c>
      <c r="M268" s="151" t="s">
        <v>1490</v>
      </c>
      <c r="N268" s="172"/>
      <c r="O268" s="153"/>
      <c r="P268" s="154" t="s">
        <v>676</v>
      </c>
      <c r="Q268" s="154"/>
      <c r="R268" s="155">
        <v>5</v>
      </c>
      <c r="S268" s="146"/>
      <c r="T268" s="168"/>
      <c r="U268" s="146"/>
      <c r="V268" s="146"/>
      <c r="W268" s="146"/>
      <c r="X268" s="156">
        <v>0</v>
      </c>
      <c r="Y268" s="156">
        <v>0</v>
      </c>
      <c r="Z268" s="157" t="s">
        <v>1454</v>
      </c>
      <c r="AA268" s="158">
        <v>2021</v>
      </c>
      <c r="AB268" s="158">
        <v>7</v>
      </c>
      <c r="AC268" s="158">
        <v>12</v>
      </c>
      <c r="AD268" s="122" t="b">
        <f>IF(ISBLANK(GroupMember[[#This Row],[1. Identifiant interne d’exploitation agricole*]]),"",IF(ISERROR(MATCH(GroupMember[[#This Row],[1. Identifiant interne d’exploitation agricole*]],CertifiedCrop[1. Identifiant interne d’exploitation agricole*],0)),FALSE,TRUE))</f>
        <v>1</v>
      </c>
      <c r="AE268" s="122" t="b">
        <f>IF(ISBLANK(GroupMember[[#This Row],[1. Identifiant interne d’exploitation agricole*]]),"",IF(ISERROR(MATCH(GroupMember[[#This Row],[1. Identifiant interne d’exploitation agricole*]],FarmUnit[1. Identifiant interne d’exploitation agricole*],0)),FALSE,TRUE))</f>
        <v>1</v>
      </c>
      <c r="AF268" s="9" t="str">
        <f t="shared" si="12"/>
        <v>SAWADOGO  KARIM 2</v>
      </c>
      <c r="AG268" s="243" t="str">
        <f t="shared" si="13"/>
        <v>12/7/2021</v>
      </c>
      <c r="AH268" s="51">
        <f>COUNTIFS(Z:Z,Z268,AG:AG,AG268)</f>
        <v>3</v>
      </c>
      <c r="AI268" s="49">
        <f t="shared" si="14"/>
        <v>0</v>
      </c>
    </row>
    <row r="269" spans="1:35" ht="15" x14ac:dyDescent="0.2">
      <c r="A269" s="150" t="s">
        <v>1491</v>
      </c>
      <c r="B269" s="146" t="s">
        <v>668</v>
      </c>
      <c r="C269" s="150" t="s">
        <v>1491</v>
      </c>
      <c r="D269" s="147" t="s">
        <v>669</v>
      </c>
      <c r="E269" s="146" t="s">
        <v>670</v>
      </c>
      <c r="F269" s="146" t="s">
        <v>671</v>
      </c>
      <c r="G269" s="146" t="s">
        <v>672</v>
      </c>
      <c r="H269" s="148">
        <v>1.46</v>
      </c>
      <c r="I269" s="146" t="s">
        <v>673</v>
      </c>
      <c r="J269" s="149">
        <v>1</v>
      </c>
      <c r="K269" s="150">
        <v>2021</v>
      </c>
      <c r="L269" s="151" t="s">
        <v>707</v>
      </c>
      <c r="M269" s="151" t="s">
        <v>1492</v>
      </c>
      <c r="N269" s="172"/>
      <c r="O269" s="153"/>
      <c r="P269" s="154" t="s">
        <v>676</v>
      </c>
      <c r="Q269" s="154"/>
      <c r="R269" s="155">
        <v>6</v>
      </c>
      <c r="S269" s="146"/>
      <c r="T269" s="168"/>
      <c r="U269" s="146"/>
      <c r="V269" s="146"/>
      <c r="W269" s="146"/>
      <c r="X269" s="156">
        <v>0</v>
      </c>
      <c r="Y269" s="156">
        <v>0</v>
      </c>
      <c r="Z269" s="157" t="s">
        <v>1454</v>
      </c>
      <c r="AA269" s="158">
        <v>2021</v>
      </c>
      <c r="AB269" s="158">
        <v>7</v>
      </c>
      <c r="AC269" s="158">
        <v>21</v>
      </c>
      <c r="AD269" s="122" t="b">
        <f>IF(ISBLANK(GroupMember[[#This Row],[1. Identifiant interne d’exploitation agricole*]]),"",IF(ISERROR(MATCH(GroupMember[[#This Row],[1. Identifiant interne d’exploitation agricole*]],CertifiedCrop[1. Identifiant interne d’exploitation agricole*],0)),FALSE,TRUE))</f>
        <v>1</v>
      </c>
      <c r="AE269" s="122" t="b">
        <f>IF(ISBLANK(GroupMember[[#This Row],[1. Identifiant interne d’exploitation agricole*]]),"",IF(ISERROR(MATCH(GroupMember[[#This Row],[1. Identifiant interne d’exploitation agricole*]],FarmUnit[1. Identifiant interne d’exploitation agricole*],0)),FALSE,TRUE))</f>
        <v>1</v>
      </c>
      <c r="AF269" s="9" t="str">
        <f t="shared" si="12"/>
        <v>OUEDRAOGO  SAMPOGDA</v>
      </c>
      <c r="AG269" s="243" t="str">
        <f t="shared" si="13"/>
        <v>21/7/2021</v>
      </c>
      <c r="AH269" s="51">
        <f>COUNTIFS(Z:Z,Z269,AG:AG,AG269)</f>
        <v>5</v>
      </c>
      <c r="AI269" s="49">
        <f t="shared" si="14"/>
        <v>0</v>
      </c>
    </row>
    <row r="270" spans="1:35" ht="15" x14ac:dyDescent="0.2">
      <c r="A270" s="150" t="s">
        <v>1493</v>
      </c>
      <c r="B270" s="146" t="s">
        <v>668</v>
      </c>
      <c r="C270" s="150" t="s">
        <v>1493</v>
      </c>
      <c r="D270" s="147" t="s">
        <v>669</v>
      </c>
      <c r="E270" s="146" t="s">
        <v>670</v>
      </c>
      <c r="F270" s="146" t="s">
        <v>671</v>
      </c>
      <c r="G270" s="146" t="s">
        <v>672</v>
      </c>
      <c r="H270" s="148">
        <v>1.29</v>
      </c>
      <c r="I270" s="146" t="s">
        <v>673</v>
      </c>
      <c r="J270" s="149">
        <v>1</v>
      </c>
      <c r="K270" s="150">
        <v>2021</v>
      </c>
      <c r="L270" s="151" t="s">
        <v>948</v>
      </c>
      <c r="M270" s="151" t="s">
        <v>1494</v>
      </c>
      <c r="N270" s="172"/>
      <c r="O270" s="153"/>
      <c r="P270" s="154" t="s">
        <v>676</v>
      </c>
      <c r="Q270" s="154"/>
      <c r="R270" s="155">
        <v>5</v>
      </c>
      <c r="S270" s="146"/>
      <c r="T270" s="168"/>
      <c r="U270" s="146"/>
      <c r="V270" s="146"/>
      <c r="W270" s="146"/>
      <c r="X270" s="156">
        <v>0</v>
      </c>
      <c r="Y270" s="156">
        <v>0</v>
      </c>
      <c r="Z270" s="157" t="s">
        <v>1454</v>
      </c>
      <c r="AA270" s="158">
        <v>2021</v>
      </c>
      <c r="AB270" s="158">
        <v>7</v>
      </c>
      <c r="AC270" s="158">
        <v>20</v>
      </c>
      <c r="AD270" s="122" t="b">
        <f>IF(ISBLANK(GroupMember[[#This Row],[1. Identifiant interne d’exploitation agricole*]]),"",IF(ISERROR(MATCH(GroupMember[[#This Row],[1. Identifiant interne d’exploitation agricole*]],CertifiedCrop[1. Identifiant interne d’exploitation agricole*],0)),FALSE,TRUE))</f>
        <v>1</v>
      </c>
      <c r="AE270" s="122" t="b">
        <f>IF(ISBLANK(GroupMember[[#This Row],[1. Identifiant interne d’exploitation agricole*]]),"",IF(ISERROR(MATCH(GroupMember[[#This Row],[1. Identifiant interne d’exploitation agricole*]],FarmUnit[1. Identifiant interne d’exploitation agricole*],0)),FALSE,TRUE))</f>
        <v>1</v>
      </c>
      <c r="AF270" s="9" t="str">
        <f t="shared" si="12"/>
        <v>SAWADOGO  ADAMA 1</v>
      </c>
      <c r="AG270" s="243" t="str">
        <f t="shared" si="13"/>
        <v>20/7/2021</v>
      </c>
      <c r="AH270" s="51">
        <f>COUNTIFS(Z:Z,Z270,AG:AG,AG270)</f>
        <v>3</v>
      </c>
      <c r="AI270" s="49">
        <f t="shared" si="14"/>
        <v>0</v>
      </c>
    </row>
    <row r="271" spans="1:35" ht="15" x14ac:dyDescent="0.2">
      <c r="A271" s="150" t="s">
        <v>1495</v>
      </c>
      <c r="B271" s="146" t="s">
        <v>668</v>
      </c>
      <c r="C271" s="150" t="s">
        <v>1495</v>
      </c>
      <c r="D271" s="147" t="s">
        <v>669</v>
      </c>
      <c r="E271" s="146" t="s">
        <v>670</v>
      </c>
      <c r="F271" s="146" t="s">
        <v>671</v>
      </c>
      <c r="G271" s="146" t="s">
        <v>672</v>
      </c>
      <c r="H271" s="148">
        <v>1.66</v>
      </c>
      <c r="I271" s="146" t="s">
        <v>673</v>
      </c>
      <c r="J271" s="149">
        <v>1</v>
      </c>
      <c r="K271" s="150">
        <v>2021</v>
      </c>
      <c r="L271" s="151" t="s">
        <v>1496</v>
      </c>
      <c r="M271" s="151" t="s">
        <v>1488</v>
      </c>
      <c r="N271" s="152"/>
      <c r="O271" s="153"/>
      <c r="P271" s="154" t="s">
        <v>676</v>
      </c>
      <c r="Q271" s="154"/>
      <c r="R271" s="155">
        <v>8</v>
      </c>
      <c r="S271" s="146"/>
      <c r="T271" s="168"/>
      <c r="U271" s="146"/>
      <c r="V271" s="146"/>
      <c r="W271" s="146"/>
      <c r="X271" s="156">
        <v>0</v>
      </c>
      <c r="Y271" s="156">
        <v>0</v>
      </c>
      <c r="Z271" s="157" t="s">
        <v>1454</v>
      </c>
      <c r="AA271" s="158">
        <v>2021</v>
      </c>
      <c r="AB271" s="158">
        <v>7</v>
      </c>
      <c r="AC271" s="158">
        <v>22</v>
      </c>
      <c r="AD271" s="122" t="b">
        <f>IF(ISBLANK(GroupMember[[#This Row],[1. Identifiant interne d’exploitation agricole*]]),"",IF(ISERROR(MATCH(GroupMember[[#This Row],[1. Identifiant interne d’exploitation agricole*]],CertifiedCrop[1. Identifiant interne d’exploitation agricole*],0)),FALSE,TRUE))</f>
        <v>1</v>
      </c>
      <c r="AE271" s="122" t="b">
        <f>IF(ISBLANK(GroupMember[[#This Row],[1. Identifiant interne d’exploitation agricole*]]),"",IF(ISERROR(MATCH(GroupMember[[#This Row],[1. Identifiant interne d’exploitation agricole*]],FarmUnit[1. Identifiant interne d’exploitation agricole*],0)),FALSE,TRUE))</f>
        <v>1</v>
      </c>
      <c r="AF271" s="9" t="str">
        <f t="shared" si="12"/>
        <v>ZORRE  SAIDOU</v>
      </c>
      <c r="AG271" s="243" t="str">
        <f t="shared" si="13"/>
        <v>22/7/2021</v>
      </c>
      <c r="AH271" s="51">
        <f>COUNTIFS(Z:Z,Z271,AG:AG,AG271)</f>
        <v>3</v>
      </c>
      <c r="AI271" s="49">
        <f t="shared" si="14"/>
        <v>0</v>
      </c>
    </row>
    <row r="272" spans="1:35" ht="15" x14ac:dyDescent="0.2">
      <c r="A272" s="150" t="s">
        <v>1497</v>
      </c>
      <c r="B272" s="146" t="s">
        <v>668</v>
      </c>
      <c r="C272" s="150" t="s">
        <v>1497</v>
      </c>
      <c r="D272" s="147" t="s">
        <v>669</v>
      </c>
      <c r="E272" s="146" t="s">
        <v>670</v>
      </c>
      <c r="F272" s="146" t="s">
        <v>671</v>
      </c>
      <c r="G272" s="146" t="s">
        <v>672</v>
      </c>
      <c r="H272" s="148">
        <v>1.66</v>
      </c>
      <c r="I272" s="146" t="s">
        <v>673</v>
      </c>
      <c r="J272" s="149">
        <v>1</v>
      </c>
      <c r="K272" s="150">
        <v>2021</v>
      </c>
      <c r="L272" s="151" t="s">
        <v>1498</v>
      </c>
      <c r="M272" s="151" t="s">
        <v>1499</v>
      </c>
      <c r="N272" s="172"/>
      <c r="O272" s="153"/>
      <c r="P272" s="154" t="s">
        <v>676</v>
      </c>
      <c r="Q272" s="154"/>
      <c r="R272" s="155">
        <v>7</v>
      </c>
      <c r="S272" s="146"/>
      <c r="T272" s="168"/>
      <c r="U272" s="146"/>
      <c r="V272" s="146"/>
      <c r="W272" s="146"/>
      <c r="X272" s="156">
        <v>0</v>
      </c>
      <c r="Y272" s="156">
        <v>0</v>
      </c>
      <c r="Z272" s="157" t="s">
        <v>1454</v>
      </c>
      <c r="AA272" s="158">
        <v>2021</v>
      </c>
      <c r="AB272" s="158">
        <v>7</v>
      </c>
      <c r="AC272" s="158">
        <v>24</v>
      </c>
      <c r="AD272" s="122" t="b">
        <f>IF(ISBLANK(GroupMember[[#This Row],[1. Identifiant interne d’exploitation agricole*]]),"",IF(ISERROR(MATCH(GroupMember[[#This Row],[1. Identifiant interne d’exploitation agricole*]],CertifiedCrop[1. Identifiant interne d’exploitation agricole*],0)),FALSE,TRUE))</f>
        <v>1</v>
      </c>
      <c r="AE272" s="122" t="b">
        <f>IF(ISBLANK(GroupMember[[#This Row],[1. Identifiant interne d’exploitation agricole*]]),"",IF(ISERROR(MATCH(GroupMember[[#This Row],[1. Identifiant interne d’exploitation agricole*]],FarmUnit[1. Identifiant interne d’exploitation agricole*],0)),FALSE,TRUE))</f>
        <v>1</v>
      </c>
      <c r="AF272" s="9" t="str">
        <f t="shared" si="12"/>
        <v>KOUADJO  KOUASSI C.</v>
      </c>
      <c r="AG272" s="243" t="str">
        <f t="shared" si="13"/>
        <v>24/7/2021</v>
      </c>
      <c r="AH272" s="51">
        <f>COUNTIFS(Z:Z,Z272,AG:AG,AG272)</f>
        <v>4</v>
      </c>
      <c r="AI272" s="49">
        <f t="shared" si="14"/>
        <v>0</v>
      </c>
    </row>
    <row r="273" spans="1:35" ht="15" x14ac:dyDescent="0.2">
      <c r="A273" s="150" t="s">
        <v>1500</v>
      </c>
      <c r="B273" s="146" t="s">
        <v>668</v>
      </c>
      <c r="C273" s="150" t="s">
        <v>1500</v>
      </c>
      <c r="D273" s="184" t="s">
        <v>1501</v>
      </c>
      <c r="E273" s="146" t="s">
        <v>670</v>
      </c>
      <c r="F273" s="146" t="s">
        <v>671</v>
      </c>
      <c r="G273" s="146" t="s">
        <v>672</v>
      </c>
      <c r="H273" s="148">
        <v>1.86</v>
      </c>
      <c r="I273" s="146" t="s">
        <v>673</v>
      </c>
      <c r="J273" s="149">
        <v>1</v>
      </c>
      <c r="K273" s="150">
        <v>2021</v>
      </c>
      <c r="L273" s="151" t="s">
        <v>1502</v>
      </c>
      <c r="M273" s="151" t="s">
        <v>1503</v>
      </c>
      <c r="N273" s="152"/>
      <c r="O273" s="153"/>
      <c r="P273" s="154" t="s">
        <v>676</v>
      </c>
      <c r="Q273" s="154"/>
      <c r="R273" s="155">
        <v>6</v>
      </c>
      <c r="S273" s="146"/>
      <c r="T273" s="168"/>
      <c r="U273" s="146"/>
      <c r="V273" s="146"/>
      <c r="W273" s="146"/>
      <c r="X273" s="156">
        <v>0</v>
      </c>
      <c r="Y273" s="156">
        <v>0</v>
      </c>
      <c r="Z273" s="157" t="s">
        <v>1454</v>
      </c>
      <c r="AA273" s="158">
        <v>2021</v>
      </c>
      <c r="AB273" s="158">
        <v>7</v>
      </c>
      <c r="AC273" s="158">
        <v>24</v>
      </c>
      <c r="AD273" s="122" t="b">
        <f>IF(ISBLANK(GroupMember[[#This Row],[1. Identifiant interne d’exploitation agricole*]]),"",IF(ISERROR(MATCH(GroupMember[[#This Row],[1. Identifiant interne d’exploitation agricole*]],CertifiedCrop[1. Identifiant interne d’exploitation agricole*],0)),FALSE,TRUE))</f>
        <v>1</v>
      </c>
      <c r="AE273" s="122" t="b">
        <f>IF(ISBLANK(GroupMember[[#This Row],[1. Identifiant interne d’exploitation agricole*]]),"",IF(ISERROR(MATCH(GroupMember[[#This Row],[1. Identifiant interne d’exploitation agricole*]],FarmUnit[1. Identifiant interne d’exploitation agricole*],0)),FALSE,TRUE))</f>
        <v>1</v>
      </c>
      <c r="AF273" s="9" t="str">
        <f t="shared" si="12"/>
        <v>KOUAME  GERARD</v>
      </c>
      <c r="AG273" s="243" t="str">
        <f t="shared" si="13"/>
        <v>24/7/2021</v>
      </c>
      <c r="AH273" s="51">
        <f>COUNTIFS(Z:Z,Z273,AG:AG,AG273)</f>
        <v>4</v>
      </c>
      <c r="AI273" s="49">
        <f t="shared" si="14"/>
        <v>0</v>
      </c>
    </row>
    <row r="274" spans="1:35" ht="15" x14ac:dyDescent="0.2">
      <c r="A274" s="150" t="s">
        <v>1504</v>
      </c>
      <c r="B274" s="146" t="s">
        <v>668</v>
      </c>
      <c r="C274" s="150" t="s">
        <v>1504</v>
      </c>
      <c r="D274" s="184" t="s">
        <v>1501</v>
      </c>
      <c r="E274" s="146" t="s">
        <v>670</v>
      </c>
      <c r="F274" s="146" t="s">
        <v>671</v>
      </c>
      <c r="G274" s="146" t="s">
        <v>672</v>
      </c>
      <c r="H274" s="148">
        <v>2.21</v>
      </c>
      <c r="I274" s="146" t="s">
        <v>673</v>
      </c>
      <c r="J274" s="149">
        <v>1</v>
      </c>
      <c r="K274" s="150">
        <v>2021</v>
      </c>
      <c r="L274" s="151" t="s">
        <v>1505</v>
      </c>
      <c r="M274" s="151" t="s">
        <v>1506</v>
      </c>
      <c r="N274" s="152" t="s">
        <v>1507</v>
      </c>
      <c r="O274" s="153" t="s">
        <v>1508</v>
      </c>
      <c r="P274" s="154" t="s">
        <v>676</v>
      </c>
      <c r="Q274" s="154">
        <v>1983</v>
      </c>
      <c r="R274" s="155">
        <v>5</v>
      </c>
      <c r="S274" s="146"/>
      <c r="T274" s="168"/>
      <c r="U274" s="146"/>
      <c r="V274" s="146"/>
      <c r="W274" s="146"/>
      <c r="X274" s="156">
        <v>0</v>
      </c>
      <c r="Y274" s="156">
        <v>0</v>
      </c>
      <c r="Z274" s="157" t="s">
        <v>1454</v>
      </c>
      <c r="AA274" s="158">
        <v>2021</v>
      </c>
      <c r="AB274" s="158">
        <v>7</v>
      </c>
      <c r="AC274" s="158">
        <v>23</v>
      </c>
      <c r="AD274" s="122" t="b">
        <f>IF(ISBLANK(GroupMember[[#This Row],[1. Identifiant interne d’exploitation agricole*]]),"",IF(ISERROR(MATCH(GroupMember[[#This Row],[1. Identifiant interne d’exploitation agricole*]],CertifiedCrop[1. Identifiant interne d’exploitation agricole*],0)),FALSE,TRUE))</f>
        <v>1</v>
      </c>
      <c r="AE274" s="122" t="b">
        <f>IF(ISBLANK(GroupMember[[#This Row],[1. Identifiant interne d’exploitation agricole*]]),"",IF(ISERROR(MATCH(GroupMember[[#This Row],[1. Identifiant interne d’exploitation agricole*]],FarmUnit[1. Identifiant interne d’exploitation agricole*],0)),FALSE,TRUE))</f>
        <v>1</v>
      </c>
      <c r="AF274" s="9" t="str">
        <f t="shared" si="12"/>
        <v>GBE NIANGO LANDRY</v>
      </c>
      <c r="AG274" s="243" t="str">
        <f t="shared" si="13"/>
        <v>23/7/2021</v>
      </c>
      <c r="AH274" s="51">
        <f>COUNTIFS(Z:Z,Z274,AG:AG,AG274)</f>
        <v>5</v>
      </c>
      <c r="AI274" s="49">
        <f t="shared" si="14"/>
        <v>0</v>
      </c>
    </row>
    <row r="275" spans="1:35" ht="15" x14ac:dyDescent="0.2">
      <c r="A275" s="150" t="s">
        <v>1509</v>
      </c>
      <c r="B275" s="146" t="s">
        <v>668</v>
      </c>
      <c r="C275" s="150" t="s">
        <v>1509</v>
      </c>
      <c r="D275" s="184" t="s">
        <v>1501</v>
      </c>
      <c r="E275" s="146" t="s">
        <v>670</v>
      </c>
      <c r="F275" s="146" t="s">
        <v>671</v>
      </c>
      <c r="G275" s="146" t="s">
        <v>672</v>
      </c>
      <c r="H275" s="148">
        <v>6.69</v>
      </c>
      <c r="I275" s="146" t="s">
        <v>673</v>
      </c>
      <c r="J275" s="149">
        <v>2</v>
      </c>
      <c r="K275" s="150">
        <v>2021</v>
      </c>
      <c r="L275" s="151" t="s">
        <v>1510</v>
      </c>
      <c r="M275" s="151" t="s">
        <v>1511</v>
      </c>
      <c r="N275" s="152" t="s">
        <v>1512</v>
      </c>
      <c r="O275" s="153" t="s">
        <v>1513</v>
      </c>
      <c r="P275" s="154" t="s">
        <v>676</v>
      </c>
      <c r="Q275" s="154">
        <v>1954</v>
      </c>
      <c r="R275" s="155">
        <v>6</v>
      </c>
      <c r="S275" s="168"/>
      <c r="T275" s="168"/>
      <c r="U275" s="146"/>
      <c r="V275" s="146"/>
      <c r="W275" s="146"/>
      <c r="X275" s="156">
        <v>0</v>
      </c>
      <c r="Y275" s="156">
        <v>0</v>
      </c>
      <c r="Z275" s="157" t="s">
        <v>1454</v>
      </c>
      <c r="AA275" s="158">
        <v>2021</v>
      </c>
      <c r="AB275" s="158">
        <v>7</v>
      </c>
      <c r="AC275" s="158">
        <v>20</v>
      </c>
      <c r="AD275" s="122" t="b">
        <f>IF(ISBLANK(GroupMember[[#This Row],[1. Identifiant interne d’exploitation agricole*]]),"",IF(ISERROR(MATCH(GroupMember[[#This Row],[1. Identifiant interne d’exploitation agricole*]],CertifiedCrop[1. Identifiant interne d’exploitation agricole*],0)),FALSE,TRUE))</f>
        <v>1</v>
      </c>
      <c r="AE275" s="122" t="b">
        <f>IF(ISBLANK(GroupMember[[#This Row],[1. Identifiant interne d’exploitation agricole*]]),"",IF(ISERROR(MATCH(GroupMember[[#This Row],[1. Identifiant interne d’exploitation agricole*]],FarmUnit[1. Identifiant interne d’exploitation agricole*],0)),FALSE,TRUE))</f>
        <v>1</v>
      </c>
      <c r="AF275" s="9" t="str">
        <f t="shared" si="12"/>
        <v>OUANGLO TALY BERNARD</v>
      </c>
      <c r="AG275" s="243" t="str">
        <f t="shared" si="13"/>
        <v>20/7/2021</v>
      </c>
      <c r="AH275" s="51">
        <f>COUNTIFS(Z:Z,Z275,AG:AG,AG275)</f>
        <v>3</v>
      </c>
      <c r="AI275" s="49">
        <f t="shared" si="14"/>
        <v>0</v>
      </c>
    </row>
    <row r="276" spans="1:35" ht="15" x14ac:dyDescent="0.2">
      <c r="A276" s="150" t="s">
        <v>1514</v>
      </c>
      <c r="B276" s="146" t="s">
        <v>668</v>
      </c>
      <c r="C276" s="150" t="s">
        <v>1514</v>
      </c>
      <c r="D276" s="184" t="s">
        <v>1501</v>
      </c>
      <c r="E276" s="146" t="s">
        <v>670</v>
      </c>
      <c r="F276" s="146" t="s">
        <v>671</v>
      </c>
      <c r="G276" s="146" t="s">
        <v>672</v>
      </c>
      <c r="H276" s="148">
        <v>0.83</v>
      </c>
      <c r="I276" s="146" t="s">
        <v>673</v>
      </c>
      <c r="J276" s="149">
        <v>1</v>
      </c>
      <c r="K276" s="150">
        <v>2021</v>
      </c>
      <c r="L276" s="151" t="s">
        <v>722</v>
      </c>
      <c r="M276" s="151" t="s">
        <v>1515</v>
      </c>
      <c r="N276" s="172"/>
      <c r="O276" s="153"/>
      <c r="P276" s="154" t="s">
        <v>676</v>
      </c>
      <c r="Q276" s="154"/>
      <c r="R276" s="155">
        <v>8</v>
      </c>
      <c r="S276" s="168"/>
      <c r="T276" s="168"/>
      <c r="U276" s="146"/>
      <c r="V276" s="146"/>
      <c r="W276" s="146"/>
      <c r="X276" s="156">
        <v>0</v>
      </c>
      <c r="Y276" s="156">
        <v>0</v>
      </c>
      <c r="Z276" s="157" t="s">
        <v>1454</v>
      </c>
      <c r="AA276" s="158">
        <v>2021</v>
      </c>
      <c r="AB276" s="158">
        <v>7</v>
      </c>
      <c r="AC276" s="158">
        <v>10</v>
      </c>
      <c r="AD276" s="122" t="b">
        <f>IF(ISBLANK(GroupMember[[#This Row],[1. Identifiant interne d’exploitation agricole*]]),"",IF(ISERROR(MATCH(GroupMember[[#This Row],[1. Identifiant interne d’exploitation agricole*]],CertifiedCrop[1. Identifiant interne d’exploitation agricole*],0)),FALSE,TRUE))</f>
        <v>1</v>
      </c>
      <c r="AE276" s="122" t="b">
        <f>IF(ISBLANK(GroupMember[[#This Row],[1. Identifiant interne d’exploitation agricole*]]),"",IF(ISERROR(MATCH(GroupMember[[#This Row],[1. Identifiant interne d’exploitation agricole*]],FarmUnit[1. Identifiant interne d’exploitation agricole*],0)),FALSE,TRUE))</f>
        <v>1</v>
      </c>
      <c r="AF276" s="9" t="str">
        <f t="shared" si="12"/>
        <v>KAPIEU  GOH DENIS</v>
      </c>
      <c r="AG276" s="243" t="str">
        <f t="shared" si="13"/>
        <v>10/7/2021</v>
      </c>
      <c r="AH276" s="51">
        <f>COUNTIFS(Z:Z,Z276,AG:AG,AG276)</f>
        <v>4</v>
      </c>
      <c r="AI276" s="49">
        <f t="shared" si="14"/>
        <v>0</v>
      </c>
    </row>
    <row r="277" spans="1:35" ht="15" x14ac:dyDescent="0.2">
      <c r="A277" s="150" t="s">
        <v>1516</v>
      </c>
      <c r="B277" s="146" t="s">
        <v>668</v>
      </c>
      <c r="C277" s="150" t="s">
        <v>1516</v>
      </c>
      <c r="D277" s="184" t="s">
        <v>1501</v>
      </c>
      <c r="E277" s="146" t="s">
        <v>670</v>
      </c>
      <c r="F277" s="146" t="s">
        <v>671</v>
      </c>
      <c r="G277" s="146" t="s">
        <v>672</v>
      </c>
      <c r="H277" s="148">
        <v>1.55</v>
      </c>
      <c r="I277" s="146" t="s">
        <v>673</v>
      </c>
      <c r="J277" s="149">
        <v>1</v>
      </c>
      <c r="K277" s="150">
        <v>2021</v>
      </c>
      <c r="L277" s="151" t="s">
        <v>1517</v>
      </c>
      <c r="M277" s="151" t="s">
        <v>1518</v>
      </c>
      <c r="N277" s="172"/>
      <c r="O277" s="153"/>
      <c r="P277" s="154" t="s">
        <v>676</v>
      </c>
      <c r="Q277" s="154"/>
      <c r="R277" s="155">
        <v>7</v>
      </c>
      <c r="S277" s="168"/>
      <c r="T277" s="168"/>
      <c r="U277" s="146"/>
      <c r="V277" s="146"/>
      <c r="W277" s="146"/>
      <c r="X277" s="156">
        <v>0</v>
      </c>
      <c r="Y277" s="156">
        <v>0</v>
      </c>
      <c r="Z277" s="157" t="s">
        <v>1454</v>
      </c>
      <c r="AA277" s="158">
        <v>2021</v>
      </c>
      <c r="AB277" s="158">
        <v>7</v>
      </c>
      <c r="AC277" s="158">
        <v>21</v>
      </c>
      <c r="AD277" s="122" t="b">
        <f>IF(ISBLANK(GroupMember[[#This Row],[1. Identifiant interne d’exploitation agricole*]]),"",IF(ISERROR(MATCH(GroupMember[[#This Row],[1. Identifiant interne d’exploitation agricole*]],CertifiedCrop[1. Identifiant interne d’exploitation agricole*],0)),FALSE,TRUE))</f>
        <v>1</v>
      </c>
      <c r="AE277" s="122" t="b">
        <f>IF(ISBLANK(GroupMember[[#This Row],[1. Identifiant interne d’exploitation agricole*]]),"",IF(ISERROR(MATCH(GroupMember[[#This Row],[1. Identifiant interne d’exploitation agricole*]],FarmUnit[1. Identifiant interne d’exploitation agricole*],0)),FALSE,TRUE))</f>
        <v>1</v>
      </c>
      <c r="AF277" s="9" t="str">
        <f t="shared" si="12"/>
        <v>ZOHE  WOUNLAI LAMBERT</v>
      </c>
      <c r="AG277" s="243" t="str">
        <f t="shared" si="13"/>
        <v>21/7/2021</v>
      </c>
      <c r="AH277" s="51">
        <f>COUNTIFS(Z:Z,Z277,AG:AG,AG277)</f>
        <v>5</v>
      </c>
      <c r="AI277" s="49">
        <f t="shared" si="14"/>
        <v>0</v>
      </c>
    </row>
    <row r="278" spans="1:35" ht="15" x14ac:dyDescent="0.2">
      <c r="A278" s="150" t="s">
        <v>1519</v>
      </c>
      <c r="B278" s="146" t="s">
        <v>668</v>
      </c>
      <c r="C278" s="150" t="s">
        <v>1519</v>
      </c>
      <c r="D278" s="184" t="s">
        <v>1501</v>
      </c>
      <c r="E278" s="146" t="s">
        <v>670</v>
      </c>
      <c r="F278" s="146" t="s">
        <v>671</v>
      </c>
      <c r="G278" s="146" t="s">
        <v>672</v>
      </c>
      <c r="H278" s="148">
        <v>1.77</v>
      </c>
      <c r="I278" s="146" t="s">
        <v>673</v>
      </c>
      <c r="J278" s="149">
        <v>1</v>
      </c>
      <c r="K278" s="150">
        <v>2021</v>
      </c>
      <c r="L278" s="151" t="s">
        <v>1517</v>
      </c>
      <c r="M278" s="151" t="s">
        <v>1520</v>
      </c>
      <c r="N278" s="172" t="s">
        <v>1521</v>
      </c>
      <c r="O278" s="153" t="s">
        <v>1522</v>
      </c>
      <c r="P278" s="154" t="s">
        <v>676</v>
      </c>
      <c r="Q278" s="154">
        <v>1982</v>
      </c>
      <c r="R278" s="155">
        <v>4</v>
      </c>
      <c r="S278" s="168"/>
      <c r="T278" s="168"/>
      <c r="U278" s="146"/>
      <c r="V278" s="146"/>
      <c r="W278" s="146"/>
      <c r="X278" s="156">
        <v>0</v>
      </c>
      <c r="Y278" s="156">
        <v>0</v>
      </c>
      <c r="Z278" s="157" t="s">
        <v>1454</v>
      </c>
      <c r="AA278" s="158">
        <v>2021</v>
      </c>
      <c r="AB278" s="158">
        <v>7</v>
      </c>
      <c r="AC278" s="158">
        <v>22</v>
      </c>
      <c r="AD278" s="122" t="b">
        <f>IF(ISBLANK(GroupMember[[#This Row],[1. Identifiant interne d’exploitation agricole*]]),"",IF(ISERROR(MATCH(GroupMember[[#This Row],[1. Identifiant interne d’exploitation agricole*]],CertifiedCrop[1. Identifiant interne d’exploitation agricole*],0)),FALSE,TRUE))</f>
        <v>1</v>
      </c>
      <c r="AE278" s="122" t="b">
        <f>IF(ISBLANK(GroupMember[[#This Row],[1. Identifiant interne d’exploitation agricole*]]),"",IF(ISERROR(MATCH(GroupMember[[#This Row],[1. Identifiant interne d’exploitation agricole*]],FarmUnit[1. Identifiant interne d’exploitation agricole*],0)),FALSE,TRUE))</f>
        <v>1</v>
      </c>
      <c r="AF278" s="9" t="str">
        <f t="shared" si="12"/>
        <v>ZOHE  WOUNDIEU SIMON</v>
      </c>
      <c r="AG278" s="243" t="str">
        <f t="shared" si="13"/>
        <v>22/7/2021</v>
      </c>
      <c r="AH278" s="51">
        <f>COUNTIFS(Z:Z,Z278,AG:AG,AG278)</f>
        <v>3</v>
      </c>
      <c r="AI278" s="49">
        <f t="shared" si="14"/>
        <v>0</v>
      </c>
    </row>
    <row r="279" spans="1:35" ht="15" x14ac:dyDescent="0.2">
      <c r="A279" s="150" t="s">
        <v>1523</v>
      </c>
      <c r="B279" s="146" t="s">
        <v>668</v>
      </c>
      <c r="C279" s="150" t="s">
        <v>1523</v>
      </c>
      <c r="D279" s="184" t="s">
        <v>1501</v>
      </c>
      <c r="E279" s="146" t="s">
        <v>670</v>
      </c>
      <c r="F279" s="146" t="s">
        <v>671</v>
      </c>
      <c r="G279" s="146" t="s">
        <v>672</v>
      </c>
      <c r="H279" s="148">
        <v>1.17</v>
      </c>
      <c r="I279" s="146" t="s">
        <v>673</v>
      </c>
      <c r="J279" s="149">
        <v>1</v>
      </c>
      <c r="K279" s="150">
        <v>2021</v>
      </c>
      <c r="L279" s="151" t="s">
        <v>918</v>
      </c>
      <c r="M279" s="151" t="s">
        <v>1524</v>
      </c>
      <c r="N279" s="172" t="s">
        <v>1525</v>
      </c>
      <c r="O279" s="153"/>
      <c r="P279" s="154" t="s">
        <v>676</v>
      </c>
      <c r="Q279" s="154"/>
      <c r="R279" s="155">
        <v>4</v>
      </c>
      <c r="S279" s="168"/>
      <c r="T279" s="168"/>
      <c r="U279" s="146"/>
      <c r="V279" s="146"/>
      <c r="W279" s="146"/>
      <c r="X279" s="156">
        <v>0</v>
      </c>
      <c r="Y279" s="156">
        <v>0</v>
      </c>
      <c r="Z279" s="157" t="s">
        <v>1454</v>
      </c>
      <c r="AA279" s="158">
        <v>2021</v>
      </c>
      <c r="AB279" s="158">
        <v>7</v>
      </c>
      <c r="AC279" s="158">
        <v>24</v>
      </c>
      <c r="AD279" s="122" t="b">
        <f>IF(ISBLANK(GroupMember[[#This Row],[1. Identifiant interne d’exploitation agricole*]]),"",IF(ISERROR(MATCH(GroupMember[[#This Row],[1. Identifiant interne d’exploitation agricole*]],CertifiedCrop[1. Identifiant interne d’exploitation agricole*],0)),FALSE,TRUE))</f>
        <v>1</v>
      </c>
      <c r="AE279" s="122" t="b">
        <f>IF(ISBLANK(GroupMember[[#This Row],[1. Identifiant interne d’exploitation agricole*]]),"",IF(ISERROR(MATCH(GroupMember[[#This Row],[1. Identifiant interne d’exploitation agricole*]],FarmUnit[1. Identifiant interne d’exploitation agricole*],0)),FALSE,TRUE))</f>
        <v>1</v>
      </c>
      <c r="AF279" s="9" t="str">
        <f t="shared" si="12"/>
        <v>GOUE  SEVERIN</v>
      </c>
      <c r="AG279" s="243" t="str">
        <f t="shared" si="13"/>
        <v>24/7/2021</v>
      </c>
      <c r="AH279" s="51">
        <f>COUNTIFS(Z:Z,Z279,AG:AG,AG279)</f>
        <v>4</v>
      </c>
      <c r="AI279" s="49">
        <f t="shared" si="14"/>
        <v>0</v>
      </c>
    </row>
    <row r="280" spans="1:35" ht="15" x14ac:dyDescent="0.2">
      <c r="A280" s="150" t="s">
        <v>1526</v>
      </c>
      <c r="B280" s="146" t="s">
        <v>668</v>
      </c>
      <c r="C280" s="150" t="s">
        <v>1526</v>
      </c>
      <c r="D280" s="184" t="s">
        <v>1501</v>
      </c>
      <c r="E280" s="146" t="s">
        <v>670</v>
      </c>
      <c r="F280" s="146" t="s">
        <v>671</v>
      </c>
      <c r="G280" s="146" t="s">
        <v>672</v>
      </c>
      <c r="H280" s="148">
        <v>1.51</v>
      </c>
      <c r="I280" s="146" t="s">
        <v>673</v>
      </c>
      <c r="J280" s="149">
        <v>1</v>
      </c>
      <c r="K280" s="150">
        <v>2021</v>
      </c>
      <c r="L280" s="151" t="s">
        <v>1527</v>
      </c>
      <c r="M280" s="151" t="s">
        <v>1528</v>
      </c>
      <c r="N280" s="172" t="s">
        <v>1529</v>
      </c>
      <c r="O280" s="153" t="s">
        <v>1530</v>
      </c>
      <c r="P280" s="154" t="s">
        <v>676</v>
      </c>
      <c r="Q280" s="154">
        <v>1970</v>
      </c>
      <c r="R280" s="155">
        <v>8</v>
      </c>
      <c r="S280" s="168"/>
      <c r="T280" s="168"/>
      <c r="U280" s="146"/>
      <c r="V280" s="146"/>
      <c r="W280" s="146"/>
      <c r="X280" s="156">
        <v>0</v>
      </c>
      <c r="Y280" s="156">
        <v>0</v>
      </c>
      <c r="Z280" s="157" t="s">
        <v>1454</v>
      </c>
      <c r="AA280" s="158">
        <v>2021</v>
      </c>
      <c r="AB280" s="158">
        <v>7</v>
      </c>
      <c r="AC280" s="158">
        <v>12</v>
      </c>
      <c r="AD280" s="122" t="b">
        <f>IF(ISBLANK(GroupMember[[#This Row],[1. Identifiant interne d’exploitation agricole*]]),"",IF(ISERROR(MATCH(GroupMember[[#This Row],[1. Identifiant interne d’exploitation agricole*]],CertifiedCrop[1. Identifiant interne d’exploitation agricole*],0)),FALSE,TRUE))</f>
        <v>1</v>
      </c>
      <c r="AE280" s="122" t="b">
        <f>IF(ISBLANK(GroupMember[[#This Row],[1. Identifiant interne d’exploitation agricole*]]),"",IF(ISERROR(MATCH(GroupMember[[#This Row],[1. Identifiant interne d’exploitation agricole*]],FarmUnit[1. Identifiant interne d’exploitation agricole*],0)),FALSE,TRUE))</f>
        <v>1</v>
      </c>
      <c r="AF280" s="9" t="str">
        <f t="shared" si="12"/>
        <v>SEWA  JEROME</v>
      </c>
      <c r="AG280" s="243" t="str">
        <f t="shared" si="13"/>
        <v>12/7/2021</v>
      </c>
      <c r="AH280" s="51">
        <f>COUNTIFS(Z:Z,Z280,AG:AG,AG280)</f>
        <v>3</v>
      </c>
      <c r="AI280" s="49">
        <f t="shared" si="14"/>
        <v>0</v>
      </c>
    </row>
    <row r="281" spans="1:35" ht="15" x14ac:dyDescent="0.2">
      <c r="A281" s="150" t="s">
        <v>1531</v>
      </c>
      <c r="B281" s="146" t="s">
        <v>668</v>
      </c>
      <c r="C281" s="150" t="s">
        <v>1531</v>
      </c>
      <c r="D281" s="184" t="s">
        <v>1501</v>
      </c>
      <c r="E281" s="146" t="s">
        <v>670</v>
      </c>
      <c r="F281" s="146" t="s">
        <v>671</v>
      </c>
      <c r="G281" s="146" t="s">
        <v>672</v>
      </c>
      <c r="H281" s="148">
        <v>1.41</v>
      </c>
      <c r="I281" s="146" t="s">
        <v>673</v>
      </c>
      <c r="J281" s="149">
        <v>1</v>
      </c>
      <c r="K281" s="150">
        <v>2021</v>
      </c>
      <c r="L281" s="151" t="s">
        <v>1527</v>
      </c>
      <c r="M281" s="151" t="s">
        <v>1532</v>
      </c>
      <c r="N281" s="152" t="s">
        <v>1533</v>
      </c>
      <c r="O281" s="153"/>
      <c r="P281" s="154" t="s">
        <v>676</v>
      </c>
      <c r="Q281" s="154"/>
      <c r="R281" s="155">
        <v>6</v>
      </c>
      <c r="S281" s="168"/>
      <c r="T281" s="168"/>
      <c r="U281" s="146"/>
      <c r="V281" s="146"/>
      <c r="W281" s="146"/>
      <c r="X281" s="156">
        <v>0</v>
      </c>
      <c r="Y281" s="156">
        <v>0</v>
      </c>
      <c r="Z281" s="157" t="s">
        <v>1454</v>
      </c>
      <c r="AA281" s="158">
        <v>2021</v>
      </c>
      <c r="AB281" s="158">
        <v>7</v>
      </c>
      <c r="AC281" s="158">
        <v>6</v>
      </c>
      <c r="AD281" s="122" t="b">
        <f>IF(ISBLANK(GroupMember[[#This Row],[1. Identifiant interne d’exploitation agricole*]]),"",IF(ISERROR(MATCH(GroupMember[[#This Row],[1. Identifiant interne d’exploitation agricole*]],CertifiedCrop[1. Identifiant interne d’exploitation agricole*],0)),FALSE,TRUE))</f>
        <v>1</v>
      </c>
      <c r="AE281" s="122" t="b">
        <f>IF(ISBLANK(GroupMember[[#This Row],[1. Identifiant interne d’exploitation agricole*]]),"",IF(ISERROR(MATCH(GroupMember[[#This Row],[1. Identifiant interne d’exploitation agricole*]],FarmUnit[1. Identifiant interne d’exploitation agricole*],0)),FALSE,TRUE))</f>
        <v>1</v>
      </c>
      <c r="AF281" s="9" t="str">
        <f t="shared" si="12"/>
        <v>SEWA  FERNARD</v>
      </c>
      <c r="AG281" s="243" t="str">
        <f t="shared" si="13"/>
        <v>6/7/2021</v>
      </c>
      <c r="AH281" s="51">
        <f>COUNTIFS(Z:Z,Z281,AG:AG,AG281)</f>
        <v>4</v>
      </c>
      <c r="AI281" s="49">
        <f t="shared" si="14"/>
        <v>0</v>
      </c>
    </row>
    <row r="282" spans="1:35" ht="15" x14ac:dyDescent="0.2">
      <c r="A282" s="150" t="s">
        <v>1534</v>
      </c>
      <c r="B282" s="146" t="s">
        <v>668</v>
      </c>
      <c r="C282" s="150" t="s">
        <v>1534</v>
      </c>
      <c r="D282" s="184" t="s">
        <v>1501</v>
      </c>
      <c r="E282" s="146" t="s">
        <v>670</v>
      </c>
      <c r="F282" s="146" t="s">
        <v>671</v>
      </c>
      <c r="G282" s="146" t="s">
        <v>672</v>
      </c>
      <c r="H282" s="148">
        <v>1.26</v>
      </c>
      <c r="I282" s="146" t="s">
        <v>673</v>
      </c>
      <c r="J282" s="149">
        <v>1</v>
      </c>
      <c r="K282" s="150">
        <v>2021</v>
      </c>
      <c r="L282" s="151" t="s">
        <v>1527</v>
      </c>
      <c r="M282" s="151" t="s">
        <v>1535</v>
      </c>
      <c r="N282" s="172" t="s">
        <v>1536</v>
      </c>
      <c r="O282" s="153" t="s">
        <v>1537</v>
      </c>
      <c r="P282" s="154" t="s">
        <v>676</v>
      </c>
      <c r="Q282" s="154">
        <v>1983</v>
      </c>
      <c r="R282" s="155">
        <v>5</v>
      </c>
      <c r="S282" s="168"/>
      <c r="T282" s="168"/>
      <c r="U282" s="146"/>
      <c r="V282" s="146"/>
      <c r="W282" s="146"/>
      <c r="X282" s="156">
        <v>0</v>
      </c>
      <c r="Y282" s="156">
        <v>0</v>
      </c>
      <c r="Z282" s="157" t="s">
        <v>1454</v>
      </c>
      <c r="AA282" s="158">
        <v>2021</v>
      </c>
      <c r="AB282" s="158">
        <v>7</v>
      </c>
      <c r="AC282" s="158">
        <v>23</v>
      </c>
      <c r="AD282" s="122" t="b">
        <f>IF(ISBLANK(GroupMember[[#This Row],[1. Identifiant interne d’exploitation agricole*]]),"",IF(ISERROR(MATCH(GroupMember[[#This Row],[1. Identifiant interne d’exploitation agricole*]],CertifiedCrop[1. Identifiant interne d’exploitation agricole*],0)),FALSE,TRUE))</f>
        <v>1</v>
      </c>
      <c r="AE282" s="122" t="b">
        <f>IF(ISBLANK(GroupMember[[#This Row],[1. Identifiant interne d’exploitation agricole*]]),"",IF(ISERROR(MATCH(GroupMember[[#This Row],[1. Identifiant interne d’exploitation agricole*]],FarmUnit[1. Identifiant interne d’exploitation agricole*],0)),FALSE,TRUE))</f>
        <v>1</v>
      </c>
      <c r="AF282" s="9" t="str">
        <f t="shared" si="12"/>
        <v>SEWA LUDOVIC</v>
      </c>
      <c r="AG282" s="243" t="str">
        <f t="shared" si="13"/>
        <v>23/7/2021</v>
      </c>
      <c r="AH282" s="51">
        <f>COUNTIFS(Z:Z,Z282,AG:AG,AG282)</f>
        <v>5</v>
      </c>
      <c r="AI282" s="49">
        <f t="shared" si="14"/>
        <v>0</v>
      </c>
    </row>
    <row r="283" spans="1:35" ht="15" x14ac:dyDescent="0.2">
      <c r="A283" s="150" t="s">
        <v>1538</v>
      </c>
      <c r="B283" s="146" t="s">
        <v>668</v>
      </c>
      <c r="C283" s="150" t="s">
        <v>1538</v>
      </c>
      <c r="D283" s="184" t="s">
        <v>1501</v>
      </c>
      <c r="E283" s="146" t="s">
        <v>670</v>
      </c>
      <c r="F283" s="146" t="s">
        <v>671</v>
      </c>
      <c r="G283" s="146" t="s">
        <v>672</v>
      </c>
      <c r="H283" s="148">
        <v>1.21</v>
      </c>
      <c r="I283" s="146" t="s">
        <v>673</v>
      </c>
      <c r="J283" s="149">
        <v>1</v>
      </c>
      <c r="K283" s="150">
        <v>2021</v>
      </c>
      <c r="L283" s="151" t="s">
        <v>1539</v>
      </c>
      <c r="M283" s="151" t="s">
        <v>1540</v>
      </c>
      <c r="N283" s="152"/>
      <c r="O283" s="153"/>
      <c r="P283" s="154" t="s">
        <v>676</v>
      </c>
      <c r="Q283" s="154"/>
      <c r="R283" s="155">
        <v>8</v>
      </c>
      <c r="S283" s="168"/>
      <c r="T283" s="168"/>
      <c r="U283" s="146"/>
      <c r="V283" s="146"/>
      <c r="W283" s="146"/>
      <c r="X283" s="156">
        <v>0</v>
      </c>
      <c r="Y283" s="156">
        <v>0</v>
      </c>
      <c r="Z283" s="157" t="s">
        <v>1454</v>
      </c>
      <c r="AA283" s="158">
        <v>2021</v>
      </c>
      <c r="AB283" s="158">
        <v>7</v>
      </c>
      <c r="AC283" s="158">
        <v>21</v>
      </c>
      <c r="AD283" s="122" t="b">
        <f>IF(ISBLANK(GroupMember[[#This Row],[1. Identifiant interne d’exploitation agricole*]]),"",IF(ISERROR(MATCH(GroupMember[[#This Row],[1. Identifiant interne d’exploitation agricole*]],CertifiedCrop[1. Identifiant interne d’exploitation agricole*],0)),FALSE,TRUE))</f>
        <v>1</v>
      </c>
      <c r="AE283" s="122" t="b">
        <f>IF(ISBLANK(GroupMember[[#This Row],[1. Identifiant interne d’exploitation agricole*]]),"",IF(ISERROR(MATCH(GroupMember[[#This Row],[1. Identifiant interne d’exploitation agricole*]],FarmUnit[1. Identifiant interne d’exploitation agricole*],0)),FALSE,TRUE))</f>
        <v>1</v>
      </c>
      <c r="AF283" s="9" t="str">
        <f t="shared" si="12"/>
        <v>KEIBA  ALFRED</v>
      </c>
      <c r="AG283" s="243" t="str">
        <f t="shared" si="13"/>
        <v>21/7/2021</v>
      </c>
      <c r="AH283" s="51">
        <f>COUNTIFS(Z:Z,Z283,AG:AG,AG283)</f>
        <v>5</v>
      </c>
      <c r="AI283" s="49">
        <f t="shared" si="14"/>
        <v>0</v>
      </c>
    </row>
    <row r="284" spans="1:35" ht="15" x14ac:dyDescent="0.2">
      <c r="A284" s="150" t="s">
        <v>1541</v>
      </c>
      <c r="B284" s="146" t="s">
        <v>668</v>
      </c>
      <c r="C284" s="150" t="s">
        <v>1541</v>
      </c>
      <c r="D284" s="184" t="s">
        <v>1501</v>
      </c>
      <c r="E284" s="146" t="s">
        <v>670</v>
      </c>
      <c r="F284" s="146" t="s">
        <v>671</v>
      </c>
      <c r="G284" s="146" t="s">
        <v>672</v>
      </c>
      <c r="H284" s="148">
        <v>0.93</v>
      </c>
      <c r="I284" s="146" t="s">
        <v>673</v>
      </c>
      <c r="J284" s="149">
        <v>1</v>
      </c>
      <c r="K284" s="150">
        <v>2021</v>
      </c>
      <c r="L284" s="151" t="s">
        <v>1542</v>
      </c>
      <c r="M284" s="151" t="s">
        <v>1543</v>
      </c>
      <c r="N284" s="152" t="s">
        <v>1544</v>
      </c>
      <c r="O284" s="153" t="s">
        <v>1545</v>
      </c>
      <c r="P284" s="154" t="s">
        <v>676</v>
      </c>
      <c r="Q284" s="154">
        <v>1976</v>
      </c>
      <c r="R284" s="155">
        <v>7</v>
      </c>
      <c r="S284" s="168"/>
      <c r="T284" s="168"/>
      <c r="U284" s="146"/>
      <c r="V284" s="146"/>
      <c r="W284" s="146"/>
      <c r="X284" s="156">
        <v>0</v>
      </c>
      <c r="Y284" s="156">
        <v>0</v>
      </c>
      <c r="Z284" s="157" t="s">
        <v>1454</v>
      </c>
      <c r="AA284" s="158">
        <v>2021</v>
      </c>
      <c r="AB284" s="158">
        <v>7</v>
      </c>
      <c r="AC284" s="158">
        <v>3</v>
      </c>
      <c r="AD284" s="122" t="b">
        <f>IF(ISBLANK(GroupMember[[#This Row],[1. Identifiant interne d’exploitation agricole*]]),"",IF(ISERROR(MATCH(GroupMember[[#This Row],[1. Identifiant interne d’exploitation agricole*]],CertifiedCrop[1. Identifiant interne d’exploitation agricole*],0)),FALSE,TRUE))</f>
        <v>1</v>
      </c>
      <c r="AE284" s="122" t="b">
        <f>IF(ISBLANK(GroupMember[[#This Row],[1. Identifiant interne d’exploitation agricole*]]),"",IF(ISERROR(MATCH(GroupMember[[#This Row],[1. Identifiant interne d’exploitation agricole*]],FarmUnit[1. Identifiant interne d’exploitation agricole*],0)),FALSE,TRUE))</f>
        <v>1</v>
      </c>
      <c r="AF284" s="9" t="str">
        <f t="shared" si="12"/>
        <v>BEH ROGER</v>
      </c>
      <c r="AG284" s="243" t="str">
        <f t="shared" si="13"/>
        <v>3/7/2021</v>
      </c>
      <c r="AH284" s="51">
        <f>COUNTIFS(Z:Z,Z284,AG:AG,AG284)</f>
        <v>4</v>
      </c>
      <c r="AI284" s="49">
        <f t="shared" si="14"/>
        <v>0</v>
      </c>
    </row>
    <row r="285" spans="1:35" ht="15" x14ac:dyDescent="0.2">
      <c r="A285" s="150" t="s">
        <v>1546</v>
      </c>
      <c r="B285" s="146" t="s">
        <v>668</v>
      </c>
      <c r="C285" s="150" t="s">
        <v>1546</v>
      </c>
      <c r="D285" s="184" t="s">
        <v>1501</v>
      </c>
      <c r="E285" s="146" t="s">
        <v>670</v>
      </c>
      <c r="F285" s="146" t="s">
        <v>671</v>
      </c>
      <c r="G285" s="146" t="s">
        <v>672</v>
      </c>
      <c r="H285" s="148">
        <v>0.79</v>
      </c>
      <c r="I285" s="146" t="s">
        <v>673</v>
      </c>
      <c r="J285" s="149">
        <v>1</v>
      </c>
      <c r="K285" s="150">
        <v>2021</v>
      </c>
      <c r="L285" s="151" t="s">
        <v>1542</v>
      </c>
      <c r="M285" s="151" t="s">
        <v>1547</v>
      </c>
      <c r="N285" s="172" t="s">
        <v>1548</v>
      </c>
      <c r="O285" s="153" t="s">
        <v>1549</v>
      </c>
      <c r="P285" s="154" t="s">
        <v>676</v>
      </c>
      <c r="Q285" s="154">
        <v>1990</v>
      </c>
      <c r="R285" s="155">
        <v>8</v>
      </c>
      <c r="S285" s="168"/>
      <c r="T285" s="168"/>
      <c r="U285" s="146"/>
      <c r="V285" s="146"/>
      <c r="W285" s="146"/>
      <c r="X285" s="156">
        <v>0</v>
      </c>
      <c r="Y285" s="156">
        <v>0</v>
      </c>
      <c r="Z285" s="157" t="s">
        <v>1454</v>
      </c>
      <c r="AA285" s="158">
        <v>2021</v>
      </c>
      <c r="AB285" s="158">
        <v>7</v>
      </c>
      <c r="AC285" s="158">
        <v>12</v>
      </c>
      <c r="AD285" s="122" t="b">
        <f>IF(ISBLANK(GroupMember[[#This Row],[1. Identifiant interne d’exploitation agricole*]]),"",IF(ISERROR(MATCH(GroupMember[[#This Row],[1. Identifiant interne d’exploitation agricole*]],CertifiedCrop[1. Identifiant interne d’exploitation agricole*],0)),FALSE,TRUE))</f>
        <v>1</v>
      </c>
      <c r="AE285" s="122" t="b">
        <f>IF(ISBLANK(GroupMember[[#This Row],[1. Identifiant interne d’exploitation agricole*]]),"",IF(ISERROR(MATCH(GroupMember[[#This Row],[1. Identifiant interne d’exploitation agricole*]],FarmUnit[1. Identifiant interne d’exploitation agricole*],0)),FALSE,TRUE))</f>
        <v>1</v>
      </c>
      <c r="AF285" s="9" t="str">
        <f t="shared" si="12"/>
        <v>BEH BONI</v>
      </c>
      <c r="AG285" s="243" t="str">
        <f t="shared" si="13"/>
        <v>12/7/2021</v>
      </c>
      <c r="AH285" s="51">
        <f>COUNTIFS(Z:Z,Z285,AG:AG,AG285)</f>
        <v>3</v>
      </c>
      <c r="AI285" s="49">
        <f t="shared" si="14"/>
        <v>0</v>
      </c>
    </row>
    <row r="286" spans="1:35" ht="15" x14ac:dyDescent="0.2">
      <c r="A286" s="150" t="s">
        <v>1550</v>
      </c>
      <c r="B286" s="146" t="s">
        <v>668</v>
      </c>
      <c r="C286" s="150" t="s">
        <v>1550</v>
      </c>
      <c r="D286" s="184" t="s">
        <v>1501</v>
      </c>
      <c r="E286" s="146" t="s">
        <v>670</v>
      </c>
      <c r="F286" s="146" t="s">
        <v>671</v>
      </c>
      <c r="G286" s="146" t="s">
        <v>672</v>
      </c>
      <c r="H286" s="148">
        <v>1.69</v>
      </c>
      <c r="I286" s="146" t="s">
        <v>673</v>
      </c>
      <c r="J286" s="149">
        <v>1</v>
      </c>
      <c r="K286" s="150">
        <v>2021</v>
      </c>
      <c r="L286" s="151" t="s">
        <v>1551</v>
      </c>
      <c r="M286" s="151" t="s">
        <v>1552</v>
      </c>
      <c r="N286" s="172"/>
      <c r="O286" s="153"/>
      <c r="P286" s="154" t="s">
        <v>676</v>
      </c>
      <c r="Q286" s="154"/>
      <c r="R286" s="155">
        <v>6</v>
      </c>
      <c r="S286" s="168"/>
      <c r="T286" s="168"/>
      <c r="U286" s="146"/>
      <c r="V286" s="146"/>
      <c r="W286" s="146"/>
      <c r="X286" s="156">
        <v>0</v>
      </c>
      <c r="Y286" s="156">
        <v>0</v>
      </c>
      <c r="Z286" s="157" t="s">
        <v>1454</v>
      </c>
      <c r="AA286" s="158">
        <v>2021</v>
      </c>
      <c r="AB286" s="158">
        <v>7</v>
      </c>
      <c r="AC286" s="158">
        <v>22</v>
      </c>
      <c r="AD286" s="122" t="b">
        <f>IF(ISBLANK(GroupMember[[#This Row],[1. Identifiant interne d’exploitation agricole*]]),"",IF(ISERROR(MATCH(GroupMember[[#This Row],[1. Identifiant interne d’exploitation agricole*]],CertifiedCrop[1. Identifiant interne d’exploitation agricole*],0)),FALSE,TRUE))</f>
        <v>1</v>
      </c>
      <c r="AE286" s="122" t="b">
        <f>IF(ISBLANK(GroupMember[[#This Row],[1. Identifiant interne d’exploitation agricole*]]),"",IF(ISERROR(MATCH(GroupMember[[#This Row],[1. Identifiant interne d’exploitation agricole*]],FarmUnit[1. Identifiant interne d’exploitation agricole*],0)),FALSE,TRUE))</f>
        <v>1</v>
      </c>
      <c r="AF286" s="9" t="str">
        <f t="shared" si="12"/>
        <v>ZRAN  PHILIPPE</v>
      </c>
      <c r="AG286" s="243" t="str">
        <f t="shared" si="13"/>
        <v>22/7/2021</v>
      </c>
      <c r="AH286" s="51">
        <f>COUNTIFS(Z:Z,Z286,AG:AG,AG286)</f>
        <v>3</v>
      </c>
      <c r="AI286" s="49">
        <f t="shared" si="14"/>
        <v>0</v>
      </c>
    </row>
    <row r="287" spans="1:35" ht="15" x14ac:dyDescent="0.2">
      <c r="A287" s="150" t="s">
        <v>1553</v>
      </c>
      <c r="B287" s="146" t="s">
        <v>668</v>
      </c>
      <c r="C287" s="150" t="s">
        <v>1553</v>
      </c>
      <c r="D287" s="184" t="s">
        <v>1501</v>
      </c>
      <c r="E287" s="146" t="s">
        <v>670</v>
      </c>
      <c r="F287" s="146" t="s">
        <v>671</v>
      </c>
      <c r="G287" s="146" t="s">
        <v>672</v>
      </c>
      <c r="H287" s="148">
        <v>1.72</v>
      </c>
      <c r="I287" s="146" t="s">
        <v>673</v>
      </c>
      <c r="J287" s="149">
        <v>1</v>
      </c>
      <c r="K287" s="150">
        <v>2021</v>
      </c>
      <c r="L287" s="151" t="s">
        <v>1554</v>
      </c>
      <c r="M287" s="151" t="s">
        <v>1295</v>
      </c>
      <c r="N287" s="172"/>
      <c r="O287" s="153"/>
      <c r="P287" s="154" t="s">
        <v>676</v>
      </c>
      <c r="Q287" s="154"/>
      <c r="R287" s="155">
        <v>10</v>
      </c>
      <c r="S287" s="168"/>
      <c r="T287" s="168"/>
      <c r="U287" s="146"/>
      <c r="V287" s="146"/>
      <c r="W287" s="146"/>
      <c r="X287" s="156">
        <v>0</v>
      </c>
      <c r="Y287" s="156">
        <v>0</v>
      </c>
      <c r="Z287" s="157" t="s">
        <v>1454</v>
      </c>
      <c r="AA287" s="158">
        <v>2021</v>
      </c>
      <c r="AB287" s="158">
        <v>7</v>
      </c>
      <c r="AC287" s="158">
        <v>28</v>
      </c>
      <c r="AD287" s="122" t="b">
        <f>IF(ISBLANK(GroupMember[[#This Row],[1. Identifiant interne d’exploitation agricole*]]),"",IF(ISERROR(MATCH(GroupMember[[#This Row],[1. Identifiant interne d’exploitation agricole*]],CertifiedCrop[1. Identifiant interne d’exploitation agricole*],0)),FALSE,TRUE))</f>
        <v>1</v>
      </c>
      <c r="AE287" s="122" t="b">
        <f>IF(ISBLANK(GroupMember[[#This Row],[1. Identifiant interne d’exploitation agricole*]]),"",IF(ISERROR(MATCH(GroupMember[[#This Row],[1. Identifiant interne d’exploitation agricole*]],FarmUnit[1. Identifiant interne d’exploitation agricole*],0)),FALSE,TRUE))</f>
        <v>1</v>
      </c>
      <c r="AF287" s="9" t="str">
        <f t="shared" si="12"/>
        <v>GBOLA  ANDRE</v>
      </c>
      <c r="AG287" s="243" t="str">
        <f t="shared" si="13"/>
        <v>28/7/2021</v>
      </c>
      <c r="AH287" s="51">
        <f>COUNTIFS(Z:Z,Z287,AG:AG,AG287)</f>
        <v>4</v>
      </c>
      <c r="AI287" s="49">
        <f t="shared" si="14"/>
        <v>0</v>
      </c>
    </row>
    <row r="288" spans="1:35" ht="15" x14ac:dyDescent="0.2">
      <c r="A288" s="150" t="s">
        <v>1555</v>
      </c>
      <c r="B288" s="146" t="s">
        <v>668</v>
      </c>
      <c r="C288" s="150" t="s">
        <v>1555</v>
      </c>
      <c r="D288" s="184" t="s">
        <v>1501</v>
      </c>
      <c r="E288" s="146" t="s">
        <v>670</v>
      </c>
      <c r="F288" s="146" t="s">
        <v>671</v>
      </c>
      <c r="G288" s="146" t="s">
        <v>672</v>
      </c>
      <c r="H288" s="148">
        <v>3</v>
      </c>
      <c r="I288" s="146" t="s">
        <v>673</v>
      </c>
      <c r="J288" s="149">
        <v>1</v>
      </c>
      <c r="K288" s="150">
        <v>2021</v>
      </c>
      <c r="L288" s="151" t="s">
        <v>1556</v>
      </c>
      <c r="M288" s="151" t="s">
        <v>1557</v>
      </c>
      <c r="N288" s="152"/>
      <c r="O288" s="153"/>
      <c r="P288" s="154" t="s">
        <v>676</v>
      </c>
      <c r="Q288" s="154"/>
      <c r="R288" s="155">
        <v>8</v>
      </c>
      <c r="S288" s="168"/>
      <c r="T288" s="168"/>
      <c r="U288" s="146"/>
      <c r="V288" s="146"/>
      <c r="W288" s="146"/>
      <c r="X288" s="156">
        <v>0</v>
      </c>
      <c r="Y288" s="156">
        <v>0</v>
      </c>
      <c r="Z288" s="157" t="s">
        <v>1454</v>
      </c>
      <c r="AA288" s="158">
        <v>2021</v>
      </c>
      <c r="AB288" s="158">
        <v>7</v>
      </c>
      <c r="AC288" s="158">
        <v>26</v>
      </c>
      <c r="AD288" s="122" t="b">
        <f>IF(ISBLANK(GroupMember[[#This Row],[1. Identifiant interne d’exploitation agricole*]]),"",IF(ISERROR(MATCH(GroupMember[[#This Row],[1. Identifiant interne d’exploitation agricole*]],CertifiedCrop[1. Identifiant interne d’exploitation agricole*],0)),FALSE,TRUE))</f>
        <v>1</v>
      </c>
      <c r="AE288" s="122" t="b">
        <f>IF(ISBLANK(GroupMember[[#This Row],[1. Identifiant interne d’exploitation agricole*]]),"",IF(ISERROR(MATCH(GroupMember[[#This Row],[1. Identifiant interne d’exploitation agricole*]],FarmUnit[1. Identifiant interne d’exploitation agricole*],0)),FALSE,TRUE))</f>
        <v>1</v>
      </c>
      <c r="AF288" s="9" t="str">
        <f t="shared" si="12"/>
        <v>TONHON  CASIMIR</v>
      </c>
      <c r="AG288" s="243" t="str">
        <f t="shared" si="13"/>
        <v>26/7/2021</v>
      </c>
      <c r="AH288" s="51">
        <f>COUNTIFS(Z:Z,Z288,AG:AG,AG288)</f>
        <v>4</v>
      </c>
      <c r="AI288" s="49">
        <f t="shared" si="14"/>
        <v>0</v>
      </c>
    </row>
    <row r="289" spans="1:35" ht="15" x14ac:dyDescent="0.2">
      <c r="A289" s="150" t="s">
        <v>1558</v>
      </c>
      <c r="B289" s="146" t="s">
        <v>668</v>
      </c>
      <c r="C289" s="150" t="s">
        <v>1558</v>
      </c>
      <c r="D289" s="184" t="s">
        <v>1501</v>
      </c>
      <c r="E289" s="146" t="s">
        <v>670</v>
      </c>
      <c r="F289" s="146" t="s">
        <v>671</v>
      </c>
      <c r="G289" s="146" t="s">
        <v>672</v>
      </c>
      <c r="H289" s="148">
        <v>0.71</v>
      </c>
      <c r="I289" s="146" t="s">
        <v>673</v>
      </c>
      <c r="J289" s="149">
        <v>1</v>
      </c>
      <c r="K289" s="150">
        <v>2021</v>
      </c>
      <c r="L289" s="151" t="s">
        <v>776</v>
      </c>
      <c r="M289" s="151" t="s">
        <v>1559</v>
      </c>
      <c r="N289" s="152"/>
      <c r="O289" s="153"/>
      <c r="P289" s="154" t="s">
        <v>676</v>
      </c>
      <c r="Q289" s="154"/>
      <c r="R289" s="155">
        <v>6</v>
      </c>
      <c r="S289" s="168"/>
      <c r="T289" s="168"/>
      <c r="U289" s="146"/>
      <c r="V289" s="146"/>
      <c r="W289" s="146"/>
      <c r="X289" s="156">
        <v>0</v>
      </c>
      <c r="Y289" s="156">
        <v>0</v>
      </c>
      <c r="Z289" s="157" t="s">
        <v>1454</v>
      </c>
      <c r="AA289" s="158">
        <v>2021</v>
      </c>
      <c r="AB289" s="158">
        <v>7</v>
      </c>
      <c r="AC289" s="158">
        <v>28</v>
      </c>
      <c r="AD289" s="122" t="b">
        <f>IF(ISBLANK(GroupMember[[#This Row],[1. Identifiant interne d’exploitation agricole*]]),"",IF(ISERROR(MATCH(GroupMember[[#This Row],[1. Identifiant interne d’exploitation agricole*]],CertifiedCrop[1. Identifiant interne d’exploitation agricole*],0)),FALSE,TRUE))</f>
        <v>1</v>
      </c>
      <c r="AE289" s="122" t="b">
        <f>IF(ISBLANK(GroupMember[[#This Row],[1. Identifiant interne d’exploitation agricole*]]),"",IF(ISERROR(MATCH(GroupMember[[#This Row],[1. Identifiant interne d’exploitation agricole*]],FarmUnit[1. Identifiant interne d’exploitation agricole*],0)),FALSE,TRUE))</f>
        <v>1</v>
      </c>
      <c r="AF289" s="9" t="str">
        <f t="shared" si="12"/>
        <v>SAMA SYLVAIN</v>
      </c>
      <c r="AG289" s="243" t="str">
        <f t="shared" si="13"/>
        <v>28/7/2021</v>
      </c>
      <c r="AH289" s="51">
        <f>COUNTIFS(Z:Z,Z289,AG:AG,AG289)</f>
        <v>4</v>
      </c>
      <c r="AI289" s="49">
        <f t="shared" si="14"/>
        <v>0</v>
      </c>
    </row>
    <row r="290" spans="1:35" ht="15" x14ac:dyDescent="0.2">
      <c r="A290" s="150" t="s">
        <v>1560</v>
      </c>
      <c r="B290" s="146" t="s">
        <v>668</v>
      </c>
      <c r="C290" s="150" t="s">
        <v>1560</v>
      </c>
      <c r="D290" s="184" t="s">
        <v>1501</v>
      </c>
      <c r="E290" s="146" t="s">
        <v>670</v>
      </c>
      <c r="F290" s="146" t="s">
        <v>671</v>
      </c>
      <c r="G290" s="146" t="s">
        <v>672</v>
      </c>
      <c r="H290" s="148">
        <v>2.66</v>
      </c>
      <c r="I290" s="146" t="s">
        <v>673</v>
      </c>
      <c r="J290" s="149">
        <v>1</v>
      </c>
      <c r="K290" s="150">
        <v>2021</v>
      </c>
      <c r="L290" s="151" t="s">
        <v>1446</v>
      </c>
      <c r="M290" s="151" t="s">
        <v>1552</v>
      </c>
      <c r="N290" s="172"/>
      <c r="O290" s="153"/>
      <c r="P290" s="154" t="s">
        <v>676</v>
      </c>
      <c r="Q290" s="154"/>
      <c r="R290" s="155">
        <v>8</v>
      </c>
      <c r="S290" s="168"/>
      <c r="T290" s="168"/>
      <c r="U290" s="146"/>
      <c r="V290" s="146"/>
      <c r="W290" s="146"/>
      <c r="X290" s="156">
        <v>0</v>
      </c>
      <c r="Y290" s="156">
        <v>0</v>
      </c>
      <c r="Z290" s="157" t="s">
        <v>1454</v>
      </c>
      <c r="AA290" s="158">
        <v>2021</v>
      </c>
      <c r="AB290" s="158">
        <v>7</v>
      </c>
      <c r="AC290" s="158">
        <v>26</v>
      </c>
      <c r="AD290" s="122" t="b">
        <f>IF(ISBLANK(GroupMember[[#This Row],[1. Identifiant interne d’exploitation agricole*]]),"",IF(ISERROR(MATCH(GroupMember[[#This Row],[1. Identifiant interne d’exploitation agricole*]],CertifiedCrop[1. Identifiant interne d’exploitation agricole*],0)),FALSE,TRUE))</f>
        <v>1</v>
      </c>
      <c r="AE290" s="122" t="b">
        <f>IF(ISBLANK(GroupMember[[#This Row],[1. Identifiant interne d’exploitation agricole*]]),"",IF(ISERROR(MATCH(GroupMember[[#This Row],[1. Identifiant interne d’exploitation agricole*]],FarmUnit[1. Identifiant interne d’exploitation agricole*],0)),FALSE,TRUE))</f>
        <v>1</v>
      </c>
      <c r="AF290" s="9" t="str">
        <f t="shared" si="12"/>
        <v>SIMPORE  PHILIPPE</v>
      </c>
      <c r="AG290" s="243" t="str">
        <f t="shared" si="13"/>
        <v>26/7/2021</v>
      </c>
      <c r="AH290" s="51">
        <f>COUNTIFS(Z:Z,Z290,AG:AG,AG290)</f>
        <v>4</v>
      </c>
      <c r="AI290" s="49">
        <f t="shared" si="14"/>
        <v>0</v>
      </c>
    </row>
    <row r="291" spans="1:35" ht="15" x14ac:dyDescent="0.2">
      <c r="A291" s="150" t="s">
        <v>1561</v>
      </c>
      <c r="B291" s="146" t="s">
        <v>668</v>
      </c>
      <c r="C291" s="150" t="s">
        <v>1561</v>
      </c>
      <c r="D291" s="184" t="s">
        <v>1501</v>
      </c>
      <c r="E291" s="146" t="s">
        <v>670</v>
      </c>
      <c r="F291" s="146" t="s">
        <v>671</v>
      </c>
      <c r="G291" s="146" t="s">
        <v>672</v>
      </c>
      <c r="H291" s="148">
        <v>1.61</v>
      </c>
      <c r="I291" s="146" t="s">
        <v>673</v>
      </c>
      <c r="J291" s="149">
        <v>1</v>
      </c>
      <c r="K291" s="150">
        <v>2021</v>
      </c>
      <c r="L291" s="151" t="s">
        <v>1562</v>
      </c>
      <c r="M291" s="151" t="s">
        <v>1563</v>
      </c>
      <c r="N291" s="172" t="s">
        <v>1564</v>
      </c>
      <c r="O291" s="153" t="s">
        <v>1565</v>
      </c>
      <c r="P291" s="154" t="s">
        <v>676</v>
      </c>
      <c r="Q291" s="154">
        <v>1977</v>
      </c>
      <c r="R291" s="155">
        <v>11</v>
      </c>
      <c r="S291" s="168"/>
      <c r="T291" s="168"/>
      <c r="U291" s="146"/>
      <c r="V291" s="146"/>
      <c r="W291" s="146"/>
      <c r="X291" s="156">
        <v>0</v>
      </c>
      <c r="Y291" s="156">
        <v>0</v>
      </c>
      <c r="Z291" s="157" t="s">
        <v>1454</v>
      </c>
      <c r="AA291" s="158">
        <v>2021</v>
      </c>
      <c r="AB291" s="158">
        <v>7</v>
      </c>
      <c r="AC291" s="158">
        <v>2</v>
      </c>
      <c r="AD291" s="122" t="b">
        <f>IF(ISBLANK(GroupMember[[#This Row],[1. Identifiant interne d’exploitation agricole*]]),"",IF(ISERROR(MATCH(GroupMember[[#This Row],[1. Identifiant interne d’exploitation agricole*]],CertifiedCrop[1. Identifiant interne d’exploitation agricole*],0)),FALSE,TRUE))</f>
        <v>1</v>
      </c>
      <c r="AE291" s="122" t="b">
        <f>IF(ISBLANK(GroupMember[[#This Row],[1. Identifiant interne d’exploitation agricole*]]),"",IF(ISERROR(MATCH(GroupMember[[#This Row],[1. Identifiant interne d’exploitation agricole*]],FarmUnit[1. Identifiant interne d’exploitation agricole*],0)),FALSE,TRUE))</f>
        <v>1</v>
      </c>
      <c r="AF291" s="9" t="str">
        <f t="shared" si="12"/>
        <v>NAKELSE  PAUL</v>
      </c>
      <c r="AG291" s="243" t="str">
        <f t="shared" si="13"/>
        <v>2/7/2021</v>
      </c>
      <c r="AH291" s="51">
        <f>COUNTIFS(Z:Z,Z291,AG:AG,AG291)</f>
        <v>4</v>
      </c>
      <c r="AI291" s="49">
        <f t="shared" si="14"/>
        <v>0</v>
      </c>
    </row>
    <row r="292" spans="1:35" ht="15" x14ac:dyDescent="0.2">
      <c r="A292" s="150" t="s">
        <v>1566</v>
      </c>
      <c r="B292" s="146" t="s">
        <v>668</v>
      </c>
      <c r="C292" s="150" t="s">
        <v>1566</v>
      </c>
      <c r="D292" s="184" t="s">
        <v>1501</v>
      </c>
      <c r="E292" s="146" t="s">
        <v>670</v>
      </c>
      <c r="F292" s="146" t="s">
        <v>671</v>
      </c>
      <c r="G292" s="146" t="s">
        <v>672</v>
      </c>
      <c r="H292" s="148">
        <v>4.3</v>
      </c>
      <c r="I292" s="146" t="s">
        <v>673</v>
      </c>
      <c r="J292" s="149">
        <v>1</v>
      </c>
      <c r="K292" s="150">
        <v>2021</v>
      </c>
      <c r="L292" s="151" t="s">
        <v>1562</v>
      </c>
      <c r="M292" s="151" t="s">
        <v>1567</v>
      </c>
      <c r="N292" s="172" t="s">
        <v>1568</v>
      </c>
      <c r="O292" s="285" t="s">
        <v>3306</v>
      </c>
      <c r="P292" s="154" t="s">
        <v>676</v>
      </c>
      <c r="Q292" s="154">
        <v>1979</v>
      </c>
      <c r="R292" s="155">
        <v>4</v>
      </c>
      <c r="S292" s="168"/>
      <c r="T292" s="168"/>
      <c r="U292" s="146"/>
      <c r="V292" s="146"/>
      <c r="W292" s="146"/>
      <c r="X292" s="156">
        <v>0</v>
      </c>
      <c r="Y292" s="156">
        <v>0</v>
      </c>
      <c r="Z292" s="157" t="s">
        <v>1454</v>
      </c>
      <c r="AA292" s="158">
        <v>2021</v>
      </c>
      <c r="AB292" s="158">
        <v>7</v>
      </c>
      <c r="AC292" s="158">
        <v>23</v>
      </c>
      <c r="AD292" s="122" t="b">
        <f>IF(ISBLANK(GroupMember[[#This Row],[1. Identifiant interne d’exploitation agricole*]]),"",IF(ISERROR(MATCH(GroupMember[[#This Row],[1. Identifiant interne d’exploitation agricole*]],CertifiedCrop[1. Identifiant interne d’exploitation agricole*],0)),FALSE,TRUE))</f>
        <v>1</v>
      </c>
      <c r="AE292" s="122" t="b">
        <f>IF(ISBLANK(GroupMember[[#This Row],[1. Identifiant interne d’exploitation agricole*]]),"",IF(ISERROR(MATCH(GroupMember[[#This Row],[1. Identifiant interne d’exploitation agricole*]],FarmUnit[1. Identifiant interne d’exploitation agricole*],0)),FALSE,TRUE))</f>
        <v>1</v>
      </c>
      <c r="AF292" s="9" t="str">
        <f t="shared" si="12"/>
        <v>NAKELSE  POUSGA</v>
      </c>
      <c r="AG292" s="243" t="str">
        <f t="shared" si="13"/>
        <v>23/7/2021</v>
      </c>
      <c r="AH292" s="51">
        <f>COUNTIFS(Z:Z,Z292,AG:AG,AG292)</f>
        <v>5</v>
      </c>
      <c r="AI292" s="49">
        <f t="shared" si="14"/>
        <v>0</v>
      </c>
    </row>
    <row r="293" spans="1:35" ht="15" customHeight="1" x14ac:dyDescent="0.2">
      <c r="A293" s="150" t="s">
        <v>1569</v>
      </c>
      <c r="B293" s="146" t="s">
        <v>668</v>
      </c>
      <c r="C293" s="150" t="s">
        <v>1569</v>
      </c>
      <c r="D293" s="184" t="s">
        <v>1501</v>
      </c>
      <c r="E293" s="146" t="s">
        <v>670</v>
      </c>
      <c r="F293" s="146" t="s">
        <v>671</v>
      </c>
      <c r="G293" s="146" t="s">
        <v>672</v>
      </c>
      <c r="H293" s="148">
        <v>1.67</v>
      </c>
      <c r="I293" s="146" t="s">
        <v>673</v>
      </c>
      <c r="J293" s="149">
        <v>1</v>
      </c>
      <c r="K293" s="150">
        <v>2021</v>
      </c>
      <c r="L293" s="151" t="s">
        <v>1446</v>
      </c>
      <c r="M293" s="151" t="s">
        <v>1570</v>
      </c>
      <c r="N293" s="172" t="s">
        <v>1571</v>
      </c>
      <c r="O293" s="286"/>
      <c r="P293" s="154" t="s">
        <v>676</v>
      </c>
      <c r="Q293" s="154"/>
      <c r="R293" s="155">
        <v>8</v>
      </c>
      <c r="S293" s="168"/>
      <c r="T293" s="168"/>
      <c r="U293" s="146"/>
      <c r="V293" s="146"/>
      <c r="W293" s="146"/>
      <c r="X293" s="156">
        <v>0</v>
      </c>
      <c r="Y293" s="156">
        <v>0</v>
      </c>
      <c r="Z293" s="157" t="s">
        <v>1454</v>
      </c>
      <c r="AA293" s="158">
        <v>2021</v>
      </c>
      <c r="AB293" s="158">
        <v>7</v>
      </c>
      <c r="AC293" s="158">
        <v>13</v>
      </c>
      <c r="AD293" s="122" t="b">
        <f>IF(ISBLANK(GroupMember[[#This Row],[1. Identifiant interne d’exploitation agricole*]]),"",IF(ISERROR(MATCH(GroupMember[[#This Row],[1. Identifiant interne d’exploitation agricole*]],CertifiedCrop[1. Identifiant interne d’exploitation agricole*],0)),FALSE,TRUE))</f>
        <v>1</v>
      </c>
      <c r="AE293" s="122" t="b">
        <f>IF(ISBLANK(GroupMember[[#This Row],[1. Identifiant interne d’exploitation agricole*]]),"",IF(ISERROR(MATCH(GroupMember[[#This Row],[1. Identifiant interne d’exploitation agricole*]],FarmUnit[1. Identifiant interne d’exploitation agricole*],0)),FALSE,TRUE))</f>
        <v>1</v>
      </c>
      <c r="AF293" s="9" t="str">
        <f t="shared" si="12"/>
        <v>SIMPORE  ALPHONSE</v>
      </c>
      <c r="AG293" s="243" t="str">
        <f t="shared" si="13"/>
        <v>13/7/2021</v>
      </c>
      <c r="AH293" s="51">
        <f>COUNTIFS(Z:Z,Z293,AG:AG,AG293)</f>
        <v>4</v>
      </c>
      <c r="AI293" s="49">
        <f t="shared" si="14"/>
        <v>0</v>
      </c>
    </row>
    <row r="294" spans="1:35" ht="15" x14ac:dyDescent="0.2">
      <c r="A294" s="150" t="s">
        <v>1572</v>
      </c>
      <c r="B294" s="146" t="s">
        <v>668</v>
      </c>
      <c r="C294" s="150" t="s">
        <v>1572</v>
      </c>
      <c r="D294" s="184" t="s">
        <v>1501</v>
      </c>
      <c r="E294" s="146" t="s">
        <v>670</v>
      </c>
      <c r="F294" s="146" t="s">
        <v>671</v>
      </c>
      <c r="G294" s="146" t="s">
        <v>672</v>
      </c>
      <c r="H294" s="148">
        <v>3.42</v>
      </c>
      <c r="I294" s="146" t="s">
        <v>673</v>
      </c>
      <c r="J294" s="149">
        <v>1</v>
      </c>
      <c r="K294" s="150">
        <v>2021</v>
      </c>
      <c r="L294" s="151" t="s">
        <v>1446</v>
      </c>
      <c r="M294" s="151" t="s">
        <v>1573</v>
      </c>
      <c r="N294" s="152" t="s">
        <v>1574</v>
      </c>
      <c r="O294" s="153"/>
      <c r="P294" s="154" t="s">
        <v>676</v>
      </c>
      <c r="Q294" s="154"/>
      <c r="R294" s="155">
        <v>6</v>
      </c>
      <c r="S294" s="168"/>
      <c r="T294" s="168"/>
      <c r="U294" s="146"/>
      <c r="V294" s="146"/>
      <c r="W294" s="146"/>
      <c r="X294" s="156">
        <v>0</v>
      </c>
      <c r="Y294" s="156">
        <v>0</v>
      </c>
      <c r="Z294" s="157" t="s">
        <v>1454</v>
      </c>
      <c r="AA294" s="158">
        <v>2021</v>
      </c>
      <c r="AB294" s="158">
        <v>7</v>
      </c>
      <c r="AC294" s="158">
        <v>28</v>
      </c>
      <c r="AD294" s="122" t="b">
        <f>IF(ISBLANK(GroupMember[[#This Row],[1. Identifiant interne d’exploitation agricole*]]),"",IF(ISERROR(MATCH(GroupMember[[#This Row],[1. Identifiant interne d’exploitation agricole*]],CertifiedCrop[1. Identifiant interne d’exploitation agricole*],0)),FALSE,TRUE))</f>
        <v>1</v>
      </c>
      <c r="AE294" s="122" t="b">
        <f>IF(ISBLANK(GroupMember[[#This Row],[1. Identifiant interne d’exploitation agricole*]]),"",IF(ISERROR(MATCH(GroupMember[[#This Row],[1. Identifiant interne d’exploitation agricole*]],FarmUnit[1. Identifiant interne d’exploitation agricole*],0)),FALSE,TRUE))</f>
        <v>1</v>
      </c>
      <c r="AF294" s="9" t="str">
        <f t="shared" si="12"/>
        <v>SIMPORE  PAUL I</v>
      </c>
      <c r="AG294" s="243" t="str">
        <f t="shared" si="13"/>
        <v>28/7/2021</v>
      </c>
      <c r="AH294" s="51">
        <f>COUNTIFS(Z:Z,Z294,AG:AG,AG294)</f>
        <v>4</v>
      </c>
      <c r="AI294" s="49">
        <f t="shared" si="14"/>
        <v>0</v>
      </c>
    </row>
    <row r="295" spans="1:35" ht="15" x14ac:dyDescent="0.2">
      <c r="A295" s="150" t="s">
        <v>1575</v>
      </c>
      <c r="B295" s="146" t="s">
        <v>668</v>
      </c>
      <c r="C295" s="150" t="s">
        <v>1575</v>
      </c>
      <c r="D295" s="184" t="s">
        <v>1501</v>
      </c>
      <c r="E295" s="146" t="s">
        <v>670</v>
      </c>
      <c r="F295" s="146" t="s">
        <v>671</v>
      </c>
      <c r="G295" s="146" t="s">
        <v>672</v>
      </c>
      <c r="H295" s="148">
        <v>6.51</v>
      </c>
      <c r="I295" s="146" t="s">
        <v>673</v>
      </c>
      <c r="J295" s="149">
        <v>1</v>
      </c>
      <c r="K295" s="150">
        <v>2021</v>
      </c>
      <c r="L295" s="151" t="s">
        <v>776</v>
      </c>
      <c r="M295" s="151" t="s">
        <v>1129</v>
      </c>
      <c r="N295" s="152"/>
      <c r="O295" s="153"/>
      <c r="P295" s="154" t="s">
        <v>676</v>
      </c>
      <c r="Q295" s="154"/>
      <c r="R295" s="155">
        <v>8</v>
      </c>
      <c r="S295" s="168"/>
      <c r="T295" s="168"/>
      <c r="U295" s="146"/>
      <c r="V295" s="146"/>
      <c r="W295" s="146"/>
      <c r="X295" s="156">
        <v>0</v>
      </c>
      <c r="Y295" s="156">
        <v>0</v>
      </c>
      <c r="Z295" s="157" t="s">
        <v>1454</v>
      </c>
      <c r="AA295" s="158">
        <v>2021</v>
      </c>
      <c r="AB295" s="158">
        <v>7</v>
      </c>
      <c r="AC295" s="158">
        <v>26</v>
      </c>
      <c r="AD295" s="122" t="b">
        <f>IF(ISBLANK(GroupMember[[#This Row],[1. Identifiant interne d’exploitation agricole*]]),"",IF(ISERROR(MATCH(GroupMember[[#This Row],[1. Identifiant interne d’exploitation agricole*]],CertifiedCrop[1. Identifiant interne d’exploitation agricole*],0)),FALSE,TRUE))</f>
        <v>1</v>
      </c>
      <c r="AE295" s="122" t="b">
        <f>IF(ISBLANK(GroupMember[[#This Row],[1. Identifiant interne d’exploitation agricole*]]),"",IF(ISERROR(MATCH(GroupMember[[#This Row],[1. Identifiant interne d’exploitation agricole*]],FarmUnit[1. Identifiant interne d’exploitation agricole*],0)),FALSE,TRUE))</f>
        <v>1</v>
      </c>
      <c r="AF295" s="9" t="str">
        <f t="shared" si="12"/>
        <v>SAMA  OUSMANE</v>
      </c>
      <c r="AG295" s="243" t="str">
        <f t="shared" si="13"/>
        <v>26/7/2021</v>
      </c>
      <c r="AH295" s="51">
        <f>COUNTIFS(Z:Z,Z295,AG:AG,AG295)</f>
        <v>4</v>
      </c>
      <c r="AI295" s="49">
        <f t="shared" si="14"/>
        <v>0</v>
      </c>
    </row>
    <row r="296" spans="1:35" ht="15" x14ac:dyDescent="0.2">
      <c r="A296" s="150" t="s">
        <v>1576</v>
      </c>
      <c r="B296" s="146" t="s">
        <v>668</v>
      </c>
      <c r="C296" s="150" t="s">
        <v>1576</v>
      </c>
      <c r="D296" s="184" t="s">
        <v>1501</v>
      </c>
      <c r="E296" s="146" t="s">
        <v>670</v>
      </c>
      <c r="F296" s="146" t="s">
        <v>671</v>
      </c>
      <c r="G296" s="146" t="s">
        <v>672</v>
      </c>
      <c r="H296" s="148">
        <v>2.81</v>
      </c>
      <c r="I296" s="146" t="s">
        <v>673</v>
      </c>
      <c r="J296" s="149">
        <v>1</v>
      </c>
      <c r="K296" s="150">
        <v>2021</v>
      </c>
      <c r="L296" s="151" t="s">
        <v>776</v>
      </c>
      <c r="M296" s="151" t="s">
        <v>1577</v>
      </c>
      <c r="N296" s="172" t="s">
        <v>1578</v>
      </c>
      <c r="O296" s="153"/>
      <c r="P296" s="154" t="s">
        <v>676</v>
      </c>
      <c r="Q296" s="154"/>
      <c r="R296" s="155">
        <v>7</v>
      </c>
      <c r="S296" s="168"/>
      <c r="T296" s="168"/>
      <c r="U296" s="146"/>
      <c r="V296" s="146"/>
      <c r="W296" s="146"/>
      <c r="X296" s="156">
        <v>0</v>
      </c>
      <c r="Y296" s="156">
        <v>0</v>
      </c>
      <c r="Z296" s="157" t="s">
        <v>1454</v>
      </c>
      <c r="AA296" s="158">
        <v>2021</v>
      </c>
      <c r="AB296" s="158">
        <v>7</v>
      </c>
      <c r="AC296" s="158">
        <v>30</v>
      </c>
      <c r="AD296" s="122" t="b">
        <f>IF(ISBLANK(GroupMember[[#This Row],[1. Identifiant interne d’exploitation agricole*]]),"",IF(ISERROR(MATCH(GroupMember[[#This Row],[1. Identifiant interne d’exploitation agricole*]],CertifiedCrop[1. Identifiant interne d’exploitation agricole*],0)),FALSE,TRUE))</f>
        <v>1</v>
      </c>
      <c r="AE296" s="122" t="b">
        <f>IF(ISBLANK(GroupMember[[#This Row],[1. Identifiant interne d’exploitation agricole*]]),"",IF(ISERROR(MATCH(GroupMember[[#This Row],[1. Identifiant interne d’exploitation agricole*]],FarmUnit[1. Identifiant interne d’exploitation agricole*],0)),FALSE,TRUE))</f>
        <v>1</v>
      </c>
      <c r="AF296" s="9" t="str">
        <f t="shared" si="12"/>
        <v>SAMA  SENI</v>
      </c>
      <c r="AG296" s="243" t="str">
        <f t="shared" si="13"/>
        <v>30/7/2021</v>
      </c>
      <c r="AH296" s="51">
        <f>COUNTIFS(Z:Z,Z296,AG:AG,AG296)</f>
        <v>4</v>
      </c>
      <c r="AI296" s="49">
        <f t="shared" si="14"/>
        <v>0</v>
      </c>
    </row>
    <row r="297" spans="1:35" ht="15" x14ac:dyDescent="0.2">
      <c r="A297" s="150" t="s">
        <v>1579</v>
      </c>
      <c r="B297" s="146" t="s">
        <v>668</v>
      </c>
      <c r="C297" s="150" t="s">
        <v>1579</v>
      </c>
      <c r="D297" s="184" t="s">
        <v>1501</v>
      </c>
      <c r="E297" s="146" t="s">
        <v>670</v>
      </c>
      <c r="F297" s="146" t="s">
        <v>671</v>
      </c>
      <c r="G297" s="146" t="s">
        <v>672</v>
      </c>
      <c r="H297" s="148">
        <v>1.92</v>
      </c>
      <c r="I297" s="146" t="s">
        <v>673</v>
      </c>
      <c r="J297" s="149">
        <v>1</v>
      </c>
      <c r="K297" s="150">
        <v>2021</v>
      </c>
      <c r="L297" s="151" t="s">
        <v>1580</v>
      </c>
      <c r="M297" s="151" t="s">
        <v>1581</v>
      </c>
      <c r="N297" s="172"/>
      <c r="O297" s="153" t="s">
        <v>1582</v>
      </c>
      <c r="P297" s="154" t="s">
        <v>676</v>
      </c>
      <c r="Q297" s="154">
        <v>1961</v>
      </c>
      <c r="R297" s="155">
        <v>5</v>
      </c>
      <c r="S297" s="168"/>
      <c r="T297" s="168"/>
      <c r="U297" s="146"/>
      <c r="V297" s="146"/>
      <c r="W297" s="146"/>
      <c r="X297" s="156">
        <v>0</v>
      </c>
      <c r="Y297" s="156">
        <v>0</v>
      </c>
      <c r="Z297" s="157" t="s">
        <v>1454</v>
      </c>
      <c r="AA297" s="158">
        <v>2021</v>
      </c>
      <c r="AB297" s="158">
        <v>8</v>
      </c>
      <c r="AC297" s="158">
        <v>3</v>
      </c>
      <c r="AD297" s="122" t="b">
        <f>IF(ISBLANK(GroupMember[[#This Row],[1. Identifiant interne d’exploitation agricole*]]),"",IF(ISERROR(MATCH(GroupMember[[#This Row],[1. Identifiant interne d’exploitation agricole*]],CertifiedCrop[1. Identifiant interne d’exploitation agricole*],0)),FALSE,TRUE))</f>
        <v>1</v>
      </c>
      <c r="AE297" s="122" t="b">
        <f>IF(ISBLANK(GroupMember[[#This Row],[1. Identifiant interne d’exploitation agricole*]]),"",IF(ISERROR(MATCH(GroupMember[[#This Row],[1. Identifiant interne d’exploitation agricole*]],FarmUnit[1. Identifiant interne d’exploitation agricole*],0)),FALSE,TRUE))</f>
        <v>1</v>
      </c>
      <c r="AF297" s="9" t="str">
        <f t="shared" si="12"/>
        <v>GONLA  TOUABA HUBERT</v>
      </c>
      <c r="AG297" s="243" t="str">
        <f t="shared" si="13"/>
        <v>3/8/2021</v>
      </c>
      <c r="AH297" s="51">
        <f>COUNTIFS(Z:Z,Z297,AG:AG,AG297)</f>
        <v>4</v>
      </c>
      <c r="AI297" s="49">
        <f t="shared" si="14"/>
        <v>0</v>
      </c>
    </row>
    <row r="298" spans="1:35" ht="15" x14ac:dyDescent="0.2">
      <c r="A298" s="150" t="s">
        <v>1583</v>
      </c>
      <c r="B298" s="146" t="s">
        <v>668</v>
      </c>
      <c r="C298" s="150" t="s">
        <v>1583</v>
      </c>
      <c r="D298" s="184" t="s">
        <v>1501</v>
      </c>
      <c r="E298" s="146" t="s">
        <v>670</v>
      </c>
      <c r="F298" s="146" t="s">
        <v>671</v>
      </c>
      <c r="G298" s="146" t="s">
        <v>672</v>
      </c>
      <c r="H298" s="148">
        <v>0.66</v>
      </c>
      <c r="I298" s="146" t="s">
        <v>673</v>
      </c>
      <c r="J298" s="149">
        <v>1</v>
      </c>
      <c r="K298" s="150">
        <v>2021</v>
      </c>
      <c r="L298" s="151" t="s">
        <v>1584</v>
      </c>
      <c r="M298" s="151" t="s">
        <v>1585</v>
      </c>
      <c r="N298" s="172"/>
      <c r="O298" s="153"/>
      <c r="P298" s="154" t="s">
        <v>676</v>
      </c>
      <c r="Q298" s="154"/>
      <c r="R298" s="155">
        <v>6</v>
      </c>
      <c r="S298" s="168"/>
      <c r="T298" s="168"/>
      <c r="U298" s="146"/>
      <c r="V298" s="146"/>
      <c r="W298" s="146"/>
      <c r="X298" s="156">
        <v>0</v>
      </c>
      <c r="Y298" s="156">
        <v>0</v>
      </c>
      <c r="Z298" s="157" t="s">
        <v>1454</v>
      </c>
      <c r="AA298" s="158">
        <v>2021</v>
      </c>
      <c r="AB298" s="158">
        <v>7</v>
      </c>
      <c r="AC298" s="158">
        <v>30</v>
      </c>
      <c r="AD298" s="122" t="b">
        <f>IF(ISBLANK(GroupMember[[#This Row],[1. Identifiant interne d’exploitation agricole*]]),"",IF(ISERROR(MATCH(GroupMember[[#This Row],[1. Identifiant interne d’exploitation agricole*]],CertifiedCrop[1. Identifiant interne d’exploitation agricole*],0)),FALSE,TRUE))</f>
        <v>1</v>
      </c>
      <c r="AE298" s="122" t="b">
        <f>IF(ISBLANK(GroupMember[[#This Row],[1. Identifiant interne d’exploitation agricole*]]),"",IF(ISERROR(MATCH(GroupMember[[#This Row],[1. Identifiant interne d’exploitation agricole*]],FarmUnit[1. Identifiant interne d’exploitation agricole*],0)),FALSE,TRUE))</f>
        <v>1</v>
      </c>
      <c r="AF298" s="9" t="str">
        <f t="shared" si="12"/>
        <v>GLOUDAEU  HUBERT</v>
      </c>
      <c r="AG298" s="243" t="str">
        <f t="shared" si="13"/>
        <v>30/7/2021</v>
      </c>
      <c r="AH298" s="51">
        <f>COUNTIFS(Z:Z,Z298,AG:AG,AG298)</f>
        <v>4</v>
      </c>
      <c r="AI298" s="49">
        <f t="shared" si="14"/>
        <v>0</v>
      </c>
    </row>
    <row r="299" spans="1:35" ht="15" x14ac:dyDescent="0.2">
      <c r="A299" s="150" t="s">
        <v>1586</v>
      </c>
      <c r="B299" s="146" t="s">
        <v>668</v>
      </c>
      <c r="C299" s="150" t="s">
        <v>1586</v>
      </c>
      <c r="D299" s="184" t="s">
        <v>1501</v>
      </c>
      <c r="E299" s="146" t="s">
        <v>670</v>
      </c>
      <c r="F299" s="146" t="s">
        <v>671</v>
      </c>
      <c r="G299" s="146" t="s">
        <v>672</v>
      </c>
      <c r="H299" s="148">
        <v>1.32</v>
      </c>
      <c r="I299" s="146" t="s">
        <v>673</v>
      </c>
      <c r="J299" s="149">
        <v>1</v>
      </c>
      <c r="K299" s="150">
        <v>2021</v>
      </c>
      <c r="L299" s="178" t="s">
        <v>1587</v>
      </c>
      <c r="M299" s="178" t="s">
        <v>991</v>
      </c>
      <c r="N299" s="172" t="s">
        <v>1588</v>
      </c>
      <c r="O299" s="153" t="s">
        <v>1589</v>
      </c>
      <c r="P299" s="154" t="s">
        <v>676</v>
      </c>
      <c r="Q299" s="154">
        <v>1987</v>
      </c>
      <c r="R299" s="155">
        <v>8</v>
      </c>
      <c r="S299" s="168"/>
      <c r="T299" s="168"/>
      <c r="U299" s="146"/>
      <c r="V299" s="146"/>
      <c r="W299" s="146"/>
      <c r="X299" s="156">
        <v>0</v>
      </c>
      <c r="Y299" s="156">
        <v>0</v>
      </c>
      <c r="Z299" s="157" t="s">
        <v>1454</v>
      </c>
      <c r="AA299" s="158">
        <v>2021</v>
      </c>
      <c r="AB299" s="158">
        <v>7</v>
      </c>
      <c r="AC299" s="158">
        <v>28</v>
      </c>
      <c r="AD299" s="122" t="b">
        <f>IF(ISBLANK(GroupMember[[#This Row],[1. Identifiant interne d’exploitation agricole*]]),"",IF(ISERROR(MATCH(GroupMember[[#This Row],[1. Identifiant interne d’exploitation agricole*]],CertifiedCrop[1. Identifiant interne d’exploitation agricole*],0)),FALSE,TRUE))</f>
        <v>1</v>
      </c>
      <c r="AE299" s="122" t="b">
        <f>IF(ISBLANK(GroupMember[[#This Row],[1. Identifiant interne d’exploitation agricole*]]),"",IF(ISERROR(MATCH(GroupMember[[#This Row],[1. Identifiant interne d’exploitation agricole*]],FarmUnit[1. Identifiant interne d’exploitation agricole*],0)),FALSE,TRUE))</f>
        <v>1</v>
      </c>
      <c r="AF299" s="9" t="str">
        <f t="shared" si="12"/>
        <v>TONH OLIVIER</v>
      </c>
      <c r="AG299" s="243" t="str">
        <f t="shared" si="13"/>
        <v>28/7/2021</v>
      </c>
      <c r="AH299" s="51">
        <f>COUNTIFS(Z:Z,Z299,AG:AG,AG299)</f>
        <v>4</v>
      </c>
      <c r="AI299" s="49">
        <f t="shared" si="14"/>
        <v>0</v>
      </c>
    </row>
    <row r="300" spans="1:35" ht="15" x14ac:dyDescent="0.2">
      <c r="A300" s="150" t="s">
        <v>1590</v>
      </c>
      <c r="B300" s="146" t="s">
        <v>668</v>
      </c>
      <c r="C300" s="150" t="s">
        <v>1590</v>
      </c>
      <c r="D300" s="184" t="s">
        <v>1501</v>
      </c>
      <c r="E300" s="146" t="s">
        <v>670</v>
      </c>
      <c r="F300" s="146" t="s">
        <v>671</v>
      </c>
      <c r="G300" s="146" t="s">
        <v>672</v>
      </c>
      <c r="H300" s="148">
        <v>1.28</v>
      </c>
      <c r="I300" s="146" t="s">
        <v>673</v>
      </c>
      <c r="J300" s="149">
        <v>1</v>
      </c>
      <c r="K300" s="150">
        <v>2021</v>
      </c>
      <c r="L300" s="151" t="s">
        <v>1587</v>
      </c>
      <c r="M300" s="151" t="s">
        <v>1591</v>
      </c>
      <c r="N300" s="172"/>
      <c r="O300" s="153"/>
      <c r="P300" s="154" t="s">
        <v>676</v>
      </c>
      <c r="Q300" s="154"/>
      <c r="R300" s="155">
        <v>7</v>
      </c>
      <c r="S300" s="168"/>
      <c r="T300" s="168"/>
      <c r="U300" s="146"/>
      <c r="V300" s="146"/>
      <c r="W300" s="146"/>
      <c r="X300" s="156">
        <v>0</v>
      </c>
      <c r="Y300" s="156">
        <v>0</v>
      </c>
      <c r="Z300" s="157" t="s">
        <v>1454</v>
      </c>
      <c r="AA300" s="158">
        <v>2021</v>
      </c>
      <c r="AB300" s="158">
        <v>7</v>
      </c>
      <c r="AC300" s="158">
        <v>6</v>
      </c>
      <c r="AD300" s="122" t="b">
        <f>IF(ISBLANK(GroupMember[[#This Row],[1. Identifiant interne d’exploitation agricole*]]),"",IF(ISERROR(MATCH(GroupMember[[#This Row],[1. Identifiant interne d’exploitation agricole*]],CertifiedCrop[1. Identifiant interne d’exploitation agricole*],0)),FALSE,TRUE))</f>
        <v>1</v>
      </c>
      <c r="AE300" s="122" t="b">
        <f>IF(ISBLANK(GroupMember[[#This Row],[1. Identifiant interne d’exploitation agricole*]]),"",IF(ISERROR(MATCH(GroupMember[[#This Row],[1. Identifiant interne d’exploitation agricole*]],FarmUnit[1. Identifiant interne d’exploitation agricole*],0)),FALSE,TRUE))</f>
        <v>1</v>
      </c>
      <c r="AF300" s="9" t="str">
        <f t="shared" si="12"/>
        <v>TONH CASIMIR</v>
      </c>
      <c r="AG300" s="243" t="str">
        <f t="shared" si="13"/>
        <v>6/7/2021</v>
      </c>
      <c r="AH300" s="51">
        <f>COUNTIFS(Z:Z,Z300,AG:AG,AG300)</f>
        <v>4</v>
      </c>
      <c r="AI300" s="49">
        <f t="shared" si="14"/>
        <v>0</v>
      </c>
    </row>
    <row r="301" spans="1:35" ht="15" x14ac:dyDescent="0.2">
      <c r="A301" s="150" t="s">
        <v>1592</v>
      </c>
      <c r="B301" s="146" t="s">
        <v>668</v>
      </c>
      <c r="C301" s="150" t="s">
        <v>1592</v>
      </c>
      <c r="D301" s="184" t="s">
        <v>1501</v>
      </c>
      <c r="E301" s="146" t="s">
        <v>670</v>
      </c>
      <c r="F301" s="146" t="s">
        <v>671</v>
      </c>
      <c r="G301" s="146" t="s">
        <v>672</v>
      </c>
      <c r="H301" s="148">
        <v>1.02</v>
      </c>
      <c r="I301" s="146" t="s">
        <v>673</v>
      </c>
      <c r="J301" s="149">
        <v>1</v>
      </c>
      <c r="K301" s="150">
        <v>2021</v>
      </c>
      <c r="L301" s="151" t="s">
        <v>786</v>
      </c>
      <c r="M301" s="151" t="s">
        <v>1593</v>
      </c>
      <c r="N301" s="172" t="s">
        <v>1594</v>
      </c>
      <c r="O301" s="153" t="s">
        <v>1595</v>
      </c>
      <c r="P301" s="154" t="s">
        <v>676</v>
      </c>
      <c r="Q301" s="154">
        <v>1983</v>
      </c>
      <c r="R301" s="155">
        <v>6</v>
      </c>
      <c r="S301" s="168"/>
      <c r="T301" s="168"/>
      <c r="U301" s="146"/>
      <c r="V301" s="146"/>
      <c r="W301" s="146"/>
      <c r="X301" s="156">
        <v>0</v>
      </c>
      <c r="Y301" s="156">
        <v>0</v>
      </c>
      <c r="Z301" s="157" t="s">
        <v>1454</v>
      </c>
      <c r="AA301" s="158">
        <v>2021</v>
      </c>
      <c r="AB301" s="158">
        <v>7</v>
      </c>
      <c r="AC301" s="158">
        <v>13</v>
      </c>
      <c r="AD301" s="122" t="b">
        <f>IF(ISBLANK(GroupMember[[#This Row],[1. Identifiant interne d’exploitation agricole*]]),"",IF(ISERROR(MATCH(GroupMember[[#This Row],[1. Identifiant interne d’exploitation agricole*]],CertifiedCrop[1. Identifiant interne d’exploitation agricole*],0)),FALSE,TRUE))</f>
        <v>1</v>
      </c>
      <c r="AE301" s="122" t="b">
        <f>IF(ISBLANK(GroupMember[[#This Row],[1. Identifiant interne d’exploitation agricole*]]),"",IF(ISERROR(MATCH(GroupMember[[#This Row],[1. Identifiant interne d’exploitation agricole*]],FarmUnit[1. Identifiant interne d’exploitation agricole*],0)),FALSE,TRUE))</f>
        <v>1</v>
      </c>
      <c r="AF301" s="9" t="str">
        <f t="shared" si="12"/>
        <v>BIEU  OUNONGUI DIDIOSSE</v>
      </c>
      <c r="AG301" s="243" t="str">
        <f t="shared" si="13"/>
        <v>13/7/2021</v>
      </c>
      <c r="AH301" s="51">
        <f>COUNTIFS(Z:Z,Z301,AG:AG,AG301)</f>
        <v>4</v>
      </c>
      <c r="AI301" s="49">
        <f t="shared" si="14"/>
        <v>0</v>
      </c>
    </row>
    <row r="302" spans="1:35" ht="15" x14ac:dyDescent="0.2">
      <c r="A302" s="150" t="s">
        <v>1596</v>
      </c>
      <c r="B302" s="146" t="s">
        <v>668</v>
      </c>
      <c r="C302" s="150" t="s">
        <v>1596</v>
      </c>
      <c r="D302" s="184" t="s">
        <v>1501</v>
      </c>
      <c r="E302" s="146" t="s">
        <v>670</v>
      </c>
      <c r="F302" s="146" t="s">
        <v>671</v>
      </c>
      <c r="G302" s="146" t="s">
        <v>672</v>
      </c>
      <c r="H302" s="148">
        <v>1.47</v>
      </c>
      <c r="I302" s="146" t="s">
        <v>673</v>
      </c>
      <c r="J302" s="149">
        <v>1</v>
      </c>
      <c r="K302" s="150">
        <v>2021</v>
      </c>
      <c r="L302" s="151" t="s">
        <v>915</v>
      </c>
      <c r="M302" s="151" t="s">
        <v>1597</v>
      </c>
      <c r="N302" s="172" t="s">
        <v>1598</v>
      </c>
      <c r="O302" s="153" t="s">
        <v>1599</v>
      </c>
      <c r="P302" s="154" t="s">
        <v>676</v>
      </c>
      <c r="Q302" s="154">
        <v>1981</v>
      </c>
      <c r="R302" s="155">
        <v>8</v>
      </c>
      <c r="S302" s="168"/>
      <c r="T302" s="168"/>
      <c r="U302" s="146"/>
      <c r="V302" s="146"/>
      <c r="W302" s="146"/>
      <c r="X302" s="156">
        <v>0</v>
      </c>
      <c r="Y302" s="156">
        <v>0</v>
      </c>
      <c r="Z302" s="157" t="s">
        <v>1454</v>
      </c>
      <c r="AA302" s="158">
        <v>2021</v>
      </c>
      <c r="AB302" s="158">
        <v>7</v>
      </c>
      <c r="AC302" s="158">
        <v>27</v>
      </c>
      <c r="AD302" s="122" t="b">
        <f>IF(ISBLANK(GroupMember[[#This Row],[1. Identifiant interne d’exploitation agricole*]]),"",IF(ISERROR(MATCH(GroupMember[[#This Row],[1. Identifiant interne d’exploitation agricole*]],CertifiedCrop[1. Identifiant interne d’exploitation agricole*],0)),FALSE,TRUE))</f>
        <v>1</v>
      </c>
      <c r="AE302" s="122" t="b">
        <f>IF(ISBLANK(GroupMember[[#This Row],[1. Identifiant interne d’exploitation agricole*]]),"",IF(ISERROR(MATCH(GroupMember[[#This Row],[1. Identifiant interne d’exploitation agricole*]],FarmUnit[1. Identifiant interne d’exploitation agricole*],0)),FALSE,TRUE))</f>
        <v>1</v>
      </c>
      <c r="AF302" s="9" t="str">
        <f t="shared" si="12"/>
        <v>MANHAN  VENANCE</v>
      </c>
      <c r="AG302" s="243" t="str">
        <f t="shared" si="13"/>
        <v>27/7/2021</v>
      </c>
      <c r="AH302" s="51">
        <f>COUNTIFS(Z:Z,Z302,AG:AG,AG302)</f>
        <v>5</v>
      </c>
      <c r="AI302" s="49">
        <f t="shared" si="14"/>
        <v>0</v>
      </c>
    </row>
    <row r="303" spans="1:35" ht="15" x14ac:dyDescent="0.2">
      <c r="A303" s="150" t="s">
        <v>1600</v>
      </c>
      <c r="B303" s="146" t="s">
        <v>668</v>
      </c>
      <c r="C303" s="150" t="s">
        <v>1600</v>
      </c>
      <c r="D303" s="184" t="s">
        <v>1501</v>
      </c>
      <c r="E303" s="146" t="s">
        <v>670</v>
      </c>
      <c r="F303" s="146" t="s">
        <v>671</v>
      </c>
      <c r="G303" s="146" t="s">
        <v>672</v>
      </c>
      <c r="H303" s="148">
        <v>1.45</v>
      </c>
      <c r="I303" s="146" t="s">
        <v>673</v>
      </c>
      <c r="J303" s="149">
        <v>1</v>
      </c>
      <c r="K303" s="150">
        <v>2021</v>
      </c>
      <c r="L303" s="151" t="s">
        <v>1539</v>
      </c>
      <c r="M303" s="151" t="s">
        <v>1601</v>
      </c>
      <c r="N303" s="172" t="s">
        <v>1602</v>
      </c>
      <c r="O303" s="153" t="s">
        <v>1603</v>
      </c>
      <c r="P303" s="154" t="s">
        <v>676</v>
      </c>
      <c r="Q303" s="154">
        <v>1966</v>
      </c>
      <c r="R303" s="155">
        <v>7</v>
      </c>
      <c r="S303" s="168"/>
      <c r="T303" s="168"/>
      <c r="U303" s="146"/>
      <c r="V303" s="146"/>
      <c r="W303" s="146"/>
      <c r="X303" s="156">
        <v>0</v>
      </c>
      <c r="Y303" s="156">
        <v>0</v>
      </c>
      <c r="Z303" s="157" t="s">
        <v>1454</v>
      </c>
      <c r="AA303" s="158">
        <v>2021</v>
      </c>
      <c r="AB303" s="158">
        <v>7</v>
      </c>
      <c r="AC303" s="158">
        <v>30</v>
      </c>
      <c r="AD303" s="122" t="b">
        <f>IF(ISBLANK(GroupMember[[#This Row],[1. Identifiant interne d’exploitation agricole*]]),"",IF(ISERROR(MATCH(GroupMember[[#This Row],[1. Identifiant interne d’exploitation agricole*]],CertifiedCrop[1. Identifiant interne d’exploitation agricole*],0)),FALSE,TRUE))</f>
        <v>1</v>
      </c>
      <c r="AE303" s="122" t="b">
        <f>IF(ISBLANK(GroupMember[[#This Row],[1. Identifiant interne d’exploitation agricole*]]),"",IF(ISERROR(MATCH(GroupMember[[#This Row],[1. Identifiant interne d’exploitation agricole*]],FarmUnit[1. Identifiant interne d’exploitation agricole*],0)),FALSE,TRUE))</f>
        <v>1</v>
      </c>
      <c r="AF303" s="9" t="str">
        <f t="shared" si="12"/>
        <v>KEIBA  GOUTAN FELIX</v>
      </c>
      <c r="AG303" s="243" t="str">
        <f t="shared" si="13"/>
        <v>30/7/2021</v>
      </c>
      <c r="AH303" s="51">
        <f>COUNTIFS(Z:Z,Z303,AG:AG,AG303)</f>
        <v>4</v>
      </c>
      <c r="AI303" s="49">
        <f t="shared" si="14"/>
        <v>0</v>
      </c>
    </row>
    <row r="304" spans="1:35" ht="15" x14ac:dyDescent="0.2">
      <c r="A304" s="150" t="s">
        <v>1604</v>
      </c>
      <c r="B304" s="146" t="s">
        <v>668</v>
      </c>
      <c r="C304" s="150" t="s">
        <v>1604</v>
      </c>
      <c r="D304" s="184" t="s">
        <v>1501</v>
      </c>
      <c r="E304" s="146" t="s">
        <v>670</v>
      </c>
      <c r="F304" s="146" t="s">
        <v>671</v>
      </c>
      <c r="G304" s="146" t="s">
        <v>672</v>
      </c>
      <c r="H304" s="148">
        <v>0.94</v>
      </c>
      <c r="I304" s="146" t="s">
        <v>673</v>
      </c>
      <c r="J304" s="149">
        <v>1</v>
      </c>
      <c r="K304" s="150">
        <v>2021</v>
      </c>
      <c r="L304" s="151" t="s">
        <v>1605</v>
      </c>
      <c r="M304" s="151" t="s">
        <v>1606</v>
      </c>
      <c r="N304" s="172" t="s">
        <v>1607</v>
      </c>
      <c r="O304" s="153"/>
      <c r="P304" s="154" t="s">
        <v>676</v>
      </c>
      <c r="Q304" s="154"/>
      <c r="R304" s="155">
        <v>8</v>
      </c>
      <c r="S304" s="168"/>
      <c r="T304" s="168"/>
      <c r="U304" s="146"/>
      <c r="V304" s="146"/>
      <c r="W304" s="146"/>
      <c r="X304" s="156">
        <v>0</v>
      </c>
      <c r="Y304" s="156">
        <v>0</v>
      </c>
      <c r="Z304" s="157" t="s">
        <v>1454</v>
      </c>
      <c r="AA304" s="158">
        <v>2021</v>
      </c>
      <c r="AB304" s="158">
        <v>7</v>
      </c>
      <c r="AC304" s="158">
        <v>27</v>
      </c>
      <c r="AD304" s="122" t="b">
        <f>IF(ISBLANK(GroupMember[[#This Row],[1. Identifiant interne d’exploitation agricole*]]),"",IF(ISERROR(MATCH(GroupMember[[#This Row],[1. Identifiant interne d’exploitation agricole*]],CertifiedCrop[1. Identifiant interne d’exploitation agricole*],0)),FALSE,TRUE))</f>
        <v>1</v>
      </c>
      <c r="AE304" s="122" t="b">
        <f>IF(ISBLANK(GroupMember[[#This Row],[1. Identifiant interne d’exploitation agricole*]]),"",IF(ISERROR(MATCH(GroupMember[[#This Row],[1. Identifiant interne d’exploitation agricole*]],FarmUnit[1. Identifiant interne d’exploitation agricole*],0)),FALSE,TRUE))</f>
        <v>1</v>
      </c>
      <c r="AF304" s="9" t="str">
        <f t="shared" si="12"/>
        <v>BAGUI KOUADJO J.</v>
      </c>
      <c r="AG304" s="243" t="str">
        <f t="shared" si="13"/>
        <v>27/7/2021</v>
      </c>
      <c r="AH304" s="51">
        <f>COUNTIFS(Z:Z,Z304,AG:AG,AG304)</f>
        <v>5</v>
      </c>
      <c r="AI304" s="49">
        <f t="shared" si="14"/>
        <v>0</v>
      </c>
    </row>
    <row r="305" spans="1:35" ht="15" x14ac:dyDescent="0.2">
      <c r="A305" s="150" t="s">
        <v>1608</v>
      </c>
      <c r="B305" s="146" t="s">
        <v>668</v>
      </c>
      <c r="C305" s="150" t="s">
        <v>1608</v>
      </c>
      <c r="D305" s="184" t="s">
        <v>1501</v>
      </c>
      <c r="E305" s="146" t="s">
        <v>670</v>
      </c>
      <c r="F305" s="146" t="s">
        <v>671</v>
      </c>
      <c r="G305" s="146" t="s">
        <v>672</v>
      </c>
      <c r="H305" s="148">
        <v>1.71</v>
      </c>
      <c r="I305" s="146" t="s">
        <v>673</v>
      </c>
      <c r="J305" s="149">
        <v>1</v>
      </c>
      <c r="K305" s="150">
        <v>2021</v>
      </c>
      <c r="L305" s="151" t="s">
        <v>1193</v>
      </c>
      <c r="M305" s="151" t="s">
        <v>1609</v>
      </c>
      <c r="N305" s="152"/>
      <c r="O305" s="153"/>
      <c r="P305" s="154" t="s">
        <v>676</v>
      </c>
      <c r="Q305" s="154"/>
      <c r="R305" s="155">
        <v>9</v>
      </c>
      <c r="S305" s="168"/>
      <c r="T305" s="168"/>
      <c r="U305" s="146"/>
      <c r="V305" s="146"/>
      <c r="W305" s="146"/>
      <c r="X305" s="156">
        <v>0</v>
      </c>
      <c r="Y305" s="156">
        <v>0</v>
      </c>
      <c r="Z305" s="157" t="s">
        <v>1454</v>
      </c>
      <c r="AA305" s="158">
        <v>2021</v>
      </c>
      <c r="AB305" s="158">
        <v>7</v>
      </c>
      <c r="AC305" s="158">
        <v>13</v>
      </c>
      <c r="AD305" s="122" t="b">
        <f>IF(ISBLANK(GroupMember[[#This Row],[1. Identifiant interne d’exploitation agricole*]]),"",IF(ISERROR(MATCH(GroupMember[[#This Row],[1. Identifiant interne d’exploitation agricole*]],CertifiedCrop[1. Identifiant interne d’exploitation agricole*],0)),FALSE,TRUE))</f>
        <v>1</v>
      </c>
      <c r="AE305" s="122" t="b">
        <f>IF(ISBLANK(GroupMember[[#This Row],[1. Identifiant interne d’exploitation agricole*]]),"",IF(ISERROR(MATCH(GroupMember[[#This Row],[1. Identifiant interne d’exploitation agricole*]],FarmUnit[1. Identifiant interne d’exploitation agricole*],0)),FALSE,TRUE))</f>
        <v>1</v>
      </c>
      <c r="AF305" s="9" t="str">
        <f t="shared" si="12"/>
        <v>DIOMANDE  GONDO</v>
      </c>
      <c r="AG305" s="243" t="str">
        <f t="shared" si="13"/>
        <v>13/7/2021</v>
      </c>
      <c r="AH305" s="51">
        <f>COUNTIFS(Z:Z,Z305,AG:AG,AG305)</f>
        <v>4</v>
      </c>
      <c r="AI305" s="49">
        <f t="shared" si="14"/>
        <v>0</v>
      </c>
    </row>
    <row r="306" spans="1:35" ht="15" x14ac:dyDescent="0.2">
      <c r="A306" s="150" t="s">
        <v>1610</v>
      </c>
      <c r="B306" s="146" t="s">
        <v>668</v>
      </c>
      <c r="C306" s="150" t="s">
        <v>1610</v>
      </c>
      <c r="D306" s="184" t="s">
        <v>1501</v>
      </c>
      <c r="E306" s="146" t="s">
        <v>670</v>
      </c>
      <c r="F306" s="146" t="s">
        <v>671</v>
      </c>
      <c r="G306" s="146" t="s">
        <v>672</v>
      </c>
      <c r="H306" s="148">
        <v>0.92</v>
      </c>
      <c r="I306" s="146" t="s">
        <v>673</v>
      </c>
      <c r="J306" s="149">
        <v>1</v>
      </c>
      <c r="K306" s="150">
        <v>2021</v>
      </c>
      <c r="L306" s="151" t="s">
        <v>1193</v>
      </c>
      <c r="M306" s="169" t="s">
        <v>1611</v>
      </c>
      <c r="N306" s="152"/>
      <c r="O306" s="153"/>
      <c r="P306" s="154" t="s">
        <v>676</v>
      </c>
      <c r="Q306" s="154"/>
      <c r="R306" s="155">
        <v>9</v>
      </c>
      <c r="S306" s="168"/>
      <c r="T306" s="168"/>
      <c r="U306" s="146"/>
      <c r="V306" s="146"/>
      <c r="W306" s="146"/>
      <c r="X306" s="156">
        <v>0</v>
      </c>
      <c r="Y306" s="156">
        <v>0</v>
      </c>
      <c r="Z306" s="157" t="s">
        <v>1454</v>
      </c>
      <c r="AA306" s="158">
        <v>2021</v>
      </c>
      <c r="AB306" s="158">
        <v>7</v>
      </c>
      <c r="AC306" s="158">
        <v>3</v>
      </c>
      <c r="AD306" s="122" t="b">
        <f>IF(ISBLANK(GroupMember[[#This Row],[1. Identifiant interne d’exploitation agricole*]]),"",IF(ISERROR(MATCH(GroupMember[[#This Row],[1. Identifiant interne d’exploitation agricole*]],CertifiedCrop[1. Identifiant interne d’exploitation agricole*],0)),FALSE,TRUE))</f>
        <v>1</v>
      </c>
      <c r="AE306" s="122" t="b">
        <f>IF(ISBLANK(GroupMember[[#This Row],[1. Identifiant interne d’exploitation agricole*]]),"",IF(ISERROR(MATCH(GroupMember[[#This Row],[1. Identifiant interne d’exploitation agricole*]],FarmUnit[1. Identifiant interne d’exploitation agricole*],0)),FALSE,TRUE))</f>
        <v>1</v>
      </c>
      <c r="AF306" s="9" t="str">
        <f t="shared" si="12"/>
        <v>DIOMANDE AMED</v>
      </c>
      <c r="AG306" s="243" t="str">
        <f t="shared" si="13"/>
        <v>3/7/2021</v>
      </c>
      <c r="AH306" s="51">
        <f>COUNTIFS(Z:Z,Z306,AG:AG,AG306)</f>
        <v>4</v>
      </c>
      <c r="AI306" s="49">
        <f t="shared" si="14"/>
        <v>0</v>
      </c>
    </row>
    <row r="307" spans="1:35" ht="15" x14ac:dyDescent="0.2">
      <c r="A307" s="150" t="s">
        <v>1612</v>
      </c>
      <c r="B307" s="146" t="s">
        <v>668</v>
      </c>
      <c r="C307" s="150" t="s">
        <v>1612</v>
      </c>
      <c r="D307" s="184" t="s">
        <v>1501</v>
      </c>
      <c r="E307" s="146" t="s">
        <v>670</v>
      </c>
      <c r="F307" s="146" t="s">
        <v>671</v>
      </c>
      <c r="G307" s="146" t="s">
        <v>672</v>
      </c>
      <c r="H307" s="148">
        <v>1.63</v>
      </c>
      <c r="I307" s="146" t="s">
        <v>673</v>
      </c>
      <c r="J307" s="149">
        <v>1</v>
      </c>
      <c r="K307" s="150">
        <v>2021</v>
      </c>
      <c r="L307" s="151" t="s">
        <v>1539</v>
      </c>
      <c r="M307" s="151" t="s">
        <v>1613</v>
      </c>
      <c r="N307" s="172"/>
      <c r="O307" s="153"/>
      <c r="P307" s="154" t="s">
        <v>676</v>
      </c>
      <c r="Q307" s="154"/>
      <c r="R307" s="155">
        <v>8</v>
      </c>
      <c r="S307" s="168"/>
      <c r="T307" s="168"/>
      <c r="U307" s="146"/>
      <c r="V307" s="146"/>
      <c r="W307" s="146"/>
      <c r="X307" s="156">
        <v>0</v>
      </c>
      <c r="Y307" s="156">
        <v>0</v>
      </c>
      <c r="Z307" s="157" t="s">
        <v>1454</v>
      </c>
      <c r="AA307" s="158">
        <v>2021</v>
      </c>
      <c r="AB307" s="158">
        <v>7</v>
      </c>
      <c r="AC307" s="158">
        <v>27</v>
      </c>
      <c r="AD307" s="122" t="b">
        <f>IF(ISBLANK(GroupMember[[#This Row],[1. Identifiant interne d’exploitation agricole*]]),"",IF(ISERROR(MATCH(GroupMember[[#This Row],[1. Identifiant interne d’exploitation agricole*]],CertifiedCrop[1. Identifiant interne d’exploitation agricole*],0)),FALSE,TRUE))</f>
        <v>1</v>
      </c>
      <c r="AE307" s="122" t="b">
        <f>IF(ISBLANK(GroupMember[[#This Row],[1. Identifiant interne d’exploitation agricole*]]),"",IF(ISERROR(MATCH(GroupMember[[#This Row],[1. Identifiant interne d’exploitation agricole*]],FarmUnit[1. Identifiant interne d’exploitation agricole*],0)),FALSE,TRUE))</f>
        <v>1</v>
      </c>
      <c r="AF307" s="9" t="str">
        <f t="shared" ref="AF307:AF370" si="15">IFERROR(CONCATENATE(L307," ",M307),"")</f>
        <v>KEIBA  GOUTAN SERGE</v>
      </c>
      <c r="AG307" s="243" t="str">
        <f t="shared" ref="AG307:AG370" si="16">CONCATENATE(AC307,"/",AB307,"/",AA307)</f>
        <v>27/7/2021</v>
      </c>
      <c r="AH307" s="51">
        <f>COUNTIFS(Z:Z,Z307,AG:AG,AG307)</f>
        <v>5</v>
      </c>
      <c r="AI307" s="49">
        <f t="shared" ref="AI307:AI370" si="17">IF((X307+Y307/12)&lt;0,"",(X307+Y307/12))</f>
        <v>0</v>
      </c>
    </row>
    <row r="308" spans="1:35" ht="15" x14ac:dyDescent="0.2">
      <c r="A308" s="150" t="s">
        <v>1614</v>
      </c>
      <c r="B308" s="146" t="s">
        <v>668</v>
      </c>
      <c r="C308" s="150" t="s">
        <v>1614</v>
      </c>
      <c r="D308" s="184" t="s">
        <v>1501</v>
      </c>
      <c r="E308" s="146" t="s">
        <v>670</v>
      </c>
      <c r="F308" s="146" t="s">
        <v>671</v>
      </c>
      <c r="G308" s="146" t="s">
        <v>672</v>
      </c>
      <c r="H308" s="148">
        <v>1.47</v>
      </c>
      <c r="I308" s="146" t="s">
        <v>673</v>
      </c>
      <c r="J308" s="149">
        <v>1</v>
      </c>
      <c r="K308" s="150">
        <v>2021</v>
      </c>
      <c r="L308" s="151" t="s">
        <v>1081</v>
      </c>
      <c r="M308" s="151" t="s">
        <v>1151</v>
      </c>
      <c r="N308" s="172"/>
      <c r="O308" s="153"/>
      <c r="P308" s="154" t="s">
        <v>676</v>
      </c>
      <c r="Q308" s="154"/>
      <c r="R308" s="155">
        <v>5</v>
      </c>
      <c r="S308" s="168"/>
      <c r="T308" s="168"/>
      <c r="U308" s="146"/>
      <c r="V308" s="146"/>
      <c r="W308" s="146"/>
      <c r="X308" s="156">
        <v>0</v>
      </c>
      <c r="Y308" s="156">
        <v>0</v>
      </c>
      <c r="Z308" s="157" t="s">
        <v>1454</v>
      </c>
      <c r="AA308" s="158">
        <v>2021</v>
      </c>
      <c r="AB308" s="158">
        <v>7</v>
      </c>
      <c r="AC308" s="158">
        <v>6</v>
      </c>
      <c r="AD308" s="122" t="b">
        <f>IF(ISBLANK(GroupMember[[#This Row],[1. Identifiant interne d’exploitation agricole*]]),"",IF(ISERROR(MATCH(GroupMember[[#This Row],[1. Identifiant interne d’exploitation agricole*]],CertifiedCrop[1. Identifiant interne d’exploitation agricole*],0)),FALSE,TRUE))</f>
        <v>1</v>
      </c>
      <c r="AE308" s="122" t="b">
        <f>IF(ISBLANK(GroupMember[[#This Row],[1. Identifiant interne d’exploitation agricole*]]),"",IF(ISERROR(MATCH(GroupMember[[#This Row],[1. Identifiant interne d’exploitation agricole*]],FarmUnit[1. Identifiant interne d’exploitation agricole*],0)),FALSE,TRUE))</f>
        <v>1</v>
      </c>
      <c r="AF308" s="9" t="str">
        <f t="shared" si="15"/>
        <v>KABORE  ETIENNE</v>
      </c>
      <c r="AG308" s="243" t="str">
        <f t="shared" si="16"/>
        <v>6/7/2021</v>
      </c>
      <c r="AH308" s="51">
        <f>COUNTIFS(Z:Z,Z308,AG:AG,AG308)</f>
        <v>4</v>
      </c>
      <c r="AI308" s="49">
        <f t="shared" si="17"/>
        <v>0</v>
      </c>
    </row>
    <row r="309" spans="1:35" ht="15" x14ac:dyDescent="0.2">
      <c r="A309" s="150" t="s">
        <v>1615</v>
      </c>
      <c r="B309" s="146" t="s">
        <v>668</v>
      </c>
      <c r="C309" s="150" t="s">
        <v>1615</v>
      </c>
      <c r="D309" s="184" t="s">
        <v>1501</v>
      </c>
      <c r="E309" s="146" t="s">
        <v>670</v>
      </c>
      <c r="F309" s="146" t="s">
        <v>671</v>
      </c>
      <c r="G309" s="146" t="s">
        <v>672</v>
      </c>
      <c r="H309" s="148">
        <v>1.98</v>
      </c>
      <c r="I309" s="146" t="s">
        <v>673</v>
      </c>
      <c r="J309" s="149">
        <v>1</v>
      </c>
      <c r="K309" s="150">
        <v>2021</v>
      </c>
      <c r="L309" s="151" t="s">
        <v>1063</v>
      </c>
      <c r="M309" s="151" t="s">
        <v>1616</v>
      </c>
      <c r="N309" s="172"/>
      <c r="O309" s="153"/>
      <c r="P309" s="154" t="s">
        <v>676</v>
      </c>
      <c r="Q309" s="154"/>
      <c r="R309" s="155">
        <v>12</v>
      </c>
      <c r="S309" s="168"/>
      <c r="T309" s="168"/>
      <c r="U309" s="146"/>
      <c r="V309" s="146"/>
      <c r="W309" s="146"/>
      <c r="X309" s="156">
        <v>0</v>
      </c>
      <c r="Y309" s="156">
        <v>0</v>
      </c>
      <c r="Z309" s="157" t="s">
        <v>1454</v>
      </c>
      <c r="AA309" s="158">
        <v>2021</v>
      </c>
      <c r="AB309" s="158">
        <v>7</v>
      </c>
      <c r="AC309" s="158">
        <v>27</v>
      </c>
      <c r="AD309" s="122" t="b">
        <f>IF(ISBLANK(GroupMember[[#This Row],[1. Identifiant interne d’exploitation agricole*]]),"",IF(ISERROR(MATCH(GroupMember[[#This Row],[1. Identifiant interne d’exploitation agricole*]],CertifiedCrop[1. Identifiant interne d’exploitation agricole*],0)),FALSE,TRUE))</f>
        <v>1</v>
      </c>
      <c r="AE309" s="122" t="b">
        <f>IF(ISBLANK(GroupMember[[#This Row],[1. Identifiant interne d’exploitation agricole*]]),"",IF(ISERROR(MATCH(GroupMember[[#This Row],[1. Identifiant interne d’exploitation agricole*]],FarmUnit[1. Identifiant interne d’exploitation agricole*],0)),FALSE,TRUE))</f>
        <v>1</v>
      </c>
      <c r="AF309" s="9" t="str">
        <f t="shared" si="15"/>
        <v>ZONGO  ALEXANDRE</v>
      </c>
      <c r="AG309" s="243" t="str">
        <f t="shared" si="16"/>
        <v>27/7/2021</v>
      </c>
      <c r="AH309" s="51">
        <f>COUNTIFS(Z:Z,Z309,AG:AG,AG309)</f>
        <v>5</v>
      </c>
      <c r="AI309" s="49">
        <f t="shared" si="17"/>
        <v>0</v>
      </c>
    </row>
    <row r="310" spans="1:35" ht="15" x14ac:dyDescent="0.2">
      <c r="A310" s="150" t="s">
        <v>1617</v>
      </c>
      <c r="B310" s="146" t="s">
        <v>668</v>
      </c>
      <c r="C310" s="150" t="s">
        <v>1617</v>
      </c>
      <c r="D310" s="184" t="s">
        <v>1501</v>
      </c>
      <c r="E310" s="146" t="s">
        <v>670</v>
      </c>
      <c r="F310" s="146" t="s">
        <v>671</v>
      </c>
      <c r="G310" s="146" t="s">
        <v>672</v>
      </c>
      <c r="H310" s="148">
        <v>3.22</v>
      </c>
      <c r="I310" s="146" t="s">
        <v>673</v>
      </c>
      <c r="J310" s="149">
        <v>1</v>
      </c>
      <c r="K310" s="150">
        <v>2021</v>
      </c>
      <c r="L310" s="151" t="s">
        <v>1081</v>
      </c>
      <c r="M310" s="151" t="s">
        <v>1618</v>
      </c>
      <c r="N310" s="172"/>
      <c r="O310" s="153"/>
      <c r="P310" s="154" t="s">
        <v>676</v>
      </c>
      <c r="Q310" s="154"/>
      <c r="R310" s="155">
        <v>8</v>
      </c>
      <c r="S310" s="168"/>
      <c r="T310" s="168"/>
      <c r="U310" s="146"/>
      <c r="V310" s="146"/>
      <c r="W310" s="146"/>
      <c r="X310" s="156">
        <v>0</v>
      </c>
      <c r="Y310" s="156">
        <v>0</v>
      </c>
      <c r="Z310" s="157" t="s">
        <v>1454</v>
      </c>
      <c r="AA310" s="158">
        <v>2021</v>
      </c>
      <c r="AB310" s="158">
        <v>7</v>
      </c>
      <c r="AC310" s="158">
        <v>30</v>
      </c>
      <c r="AD310" s="122" t="b">
        <f>IF(ISBLANK(GroupMember[[#This Row],[1. Identifiant interne d’exploitation agricole*]]),"",IF(ISERROR(MATCH(GroupMember[[#This Row],[1. Identifiant interne d’exploitation agricole*]],CertifiedCrop[1. Identifiant interne d’exploitation agricole*],0)),FALSE,TRUE))</f>
        <v>1</v>
      </c>
      <c r="AE310" s="122" t="b">
        <f>IF(ISBLANK(GroupMember[[#This Row],[1. Identifiant interne d’exploitation agricole*]]),"",IF(ISERROR(MATCH(GroupMember[[#This Row],[1. Identifiant interne d’exploitation agricole*]],FarmUnit[1. Identifiant interne d’exploitation agricole*],0)),FALSE,TRUE))</f>
        <v>1</v>
      </c>
      <c r="AF310" s="9" t="str">
        <f t="shared" si="15"/>
        <v>KABORE  SOUMAILA</v>
      </c>
      <c r="AG310" s="243" t="str">
        <f t="shared" si="16"/>
        <v>30/7/2021</v>
      </c>
      <c r="AH310" s="51">
        <f>COUNTIFS(Z:Z,Z310,AG:AG,AG310)</f>
        <v>4</v>
      </c>
      <c r="AI310" s="49">
        <f t="shared" si="17"/>
        <v>0</v>
      </c>
    </row>
    <row r="311" spans="1:35" ht="15" x14ac:dyDescent="0.2">
      <c r="A311" s="150" t="s">
        <v>1619</v>
      </c>
      <c r="B311" s="146" t="s">
        <v>668</v>
      </c>
      <c r="C311" s="150" t="s">
        <v>1619</v>
      </c>
      <c r="D311" s="184" t="s">
        <v>1501</v>
      </c>
      <c r="E311" s="146" t="s">
        <v>670</v>
      </c>
      <c r="F311" s="146" t="s">
        <v>671</v>
      </c>
      <c r="G311" s="146" t="s">
        <v>672</v>
      </c>
      <c r="H311" s="148">
        <v>5</v>
      </c>
      <c r="I311" s="146" t="s">
        <v>673</v>
      </c>
      <c r="J311" s="149">
        <v>1</v>
      </c>
      <c r="K311" s="150">
        <v>2021</v>
      </c>
      <c r="L311" s="151" t="s">
        <v>1081</v>
      </c>
      <c r="M311" s="151" t="s">
        <v>1620</v>
      </c>
      <c r="N311" s="152" t="s">
        <v>1621</v>
      </c>
      <c r="O311" s="153" t="s">
        <v>1622</v>
      </c>
      <c r="P311" s="154" t="s">
        <v>676</v>
      </c>
      <c r="Q311" s="154">
        <v>1980</v>
      </c>
      <c r="R311" s="155">
        <v>7</v>
      </c>
      <c r="S311" s="168"/>
      <c r="T311" s="168"/>
      <c r="U311" s="146"/>
      <c r="V311" s="146"/>
      <c r="W311" s="146"/>
      <c r="X311" s="156">
        <v>0</v>
      </c>
      <c r="Y311" s="156">
        <v>0</v>
      </c>
      <c r="Z311" s="157" t="s">
        <v>1454</v>
      </c>
      <c r="AA311" s="158">
        <v>2021</v>
      </c>
      <c r="AB311" s="158">
        <v>7</v>
      </c>
      <c r="AC311" s="158">
        <v>13</v>
      </c>
      <c r="AD311" s="122" t="b">
        <f>IF(ISBLANK(GroupMember[[#This Row],[1. Identifiant interne d’exploitation agricole*]]),"",IF(ISERROR(MATCH(GroupMember[[#This Row],[1. Identifiant interne d’exploitation agricole*]],CertifiedCrop[1. Identifiant interne d’exploitation agricole*],0)),FALSE,TRUE))</f>
        <v>1</v>
      </c>
      <c r="AE311" s="122" t="b">
        <f>IF(ISBLANK(GroupMember[[#This Row],[1. Identifiant interne d’exploitation agricole*]]),"",IF(ISERROR(MATCH(GroupMember[[#This Row],[1. Identifiant interne d’exploitation agricole*]],FarmUnit[1. Identifiant interne d’exploitation agricole*],0)),FALSE,TRUE))</f>
        <v>1</v>
      </c>
      <c r="AF311" s="9" t="str">
        <f t="shared" si="15"/>
        <v>KABORE  ZAKARIA</v>
      </c>
      <c r="AG311" s="243" t="str">
        <f t="shared" si="16"/>
        <v>13/7/2021</v>
      </c>
      <c r="AH311" s="51">
        <f>COUNTIFS(Z:Z,Z311,AG:AG,AG311)</f>
        <v>4</v>
      </c>
      <c r="AI311" s="49">
        <f t="shared" si="17"/>
        <v>0</v>
      </c>
    </row>
    <row r="312" spans="1:35" ht="15" x14ac:dyDescent="0.2">
      <c r="A312" s="150" t="s">
        <v>1623</v>
      </c>
      <c r="B312" s="146" t="s">
        <v>668</v>
      </c>
      <c r="C312" s="150" t="s">
        <v>1623</v>
      </c>
      <c r="D312" s="184" t="s">
        <v>1501</v>
      </c>
      <c r="E312" s="146" t="s">
        <v>670</v>
      </c>
      <c r="F312" s="146" t="s">
        <v>671</v>
      </c>
      <c r="G312" s="146" t="s">
        <v>672</v>
      </c>
      <c r="H312" s="148">
        <v>1.42</v>
      </c>
      <c r="I312" s="146" t="s">
        <v>673</v>
      </c>
      <c r="J312" s="149">
        <v>1</v>
      </c>
      <c r="K312" s="150">
        <v>2021</v>
      </c>
      <c r="L312" s="151" t="s">
        <v>1063</v>
      </c>
      <c r="M312" s="151" t="s">
        <v>1624</v>
      </c>
      <c r="N312" s="152"/>
      <c r="O312" s="153"/>
      <c r="P312" s="154" t="s">
        <v>676</v>
      </c>
      <c r="Q312" s="154"/>
      <c r="R312" s="155">
        <v>5</v>
      </c>
      <c r="S312" s="168"/>
      <c r="T312" s="168"/>
      <c r="U312" s="146"/>
      <c r="V312" s="146"/>
      <c r="W312" s="146"/>
      <c r="X312" s="156">
        <v>0</v>
      </c>
      <c r="Y312" s="156">
        <v>0</v>
      </c>
      <c r="Z312" s="157" t="s">
        <v>1454</v>
      </c>
      <c r="AA312" s="158">
        <v>2021</v>
      </c>
      <c r="AB312" s="158">
        <v>7</v>
      </c>
      <c r="AC312" s="158">
        <v>7</v>
      </c>
      <c r="AD312" s="122" t="b">
        <f>IF(ISBLANK(GroupMember[[#This Row],[1. Identifiant interne d’exploitation agricole*]]),"",IF(ISERROR(MATCH(GroupMember[[#This Row],[1. Identifiant interne d’exploitation agricole*]],CertifiedCrop[1. Identifiant interne d’exploitation agricole*],0)),FALSE,TRUE))</f>
        <v>1</v>
      </c>
      <c r="AE312" s="122" t="b">
        <f>IF(ISBLANK(GroupMember[[#This Row],[1. Identifiant interne d’exploitation agricole*]]),"",IF(ISERROR(MATCH(GroupMember[[#This Row],[1. Identifiant interne d’exploitation agricole*]],FarmUnit[1. Identifiant interne d’exploitation agricole*],0)),FALSE,TRUE))</f>
        <v>1</v>
      </c>
      <c r="AF312" s="9" t="str">
        <f t="shared" si="15"/>
        <v>ZONGO SOULEYMANE</v>
      </c>
      <c r="AG312" s="243" t="str">
        <f t="shared" si="16"/>
        <v>7/7/2021</v>
      </c>
      <c r="AH312" s="51">
        <f>COUNTIFS(Z:Z,Z312,AG:AG,AG312)</f>
        <v>4</v>
      </c>
      <c r="AI312" s="49">
        <f t="shared" si="17"/>
        <v>0</v>
      </c>
    </row>
    <row r="313" spans="1:35" ht="15" x14ac:dyDescent="0.2">
      <c r="A313" s="150" t="s">
        <v>1625</v>
      </c>
      <c r="B313" s="146" t="s">
        <v>668</v>
      </c>
      <c r="C313" s="150" t="s">
        <v>1625</v>
      </c>
      <c r="D313" s="184" t="s">
        <v>1501</v>
      </c>
      <c r="E313" s="146" t="s">
        <v>670</v>
      </c>
      <c r="F313" s="146" t="s">
        <v>671</v>
      </c>
      <c r="G313" s="146" t="s">
        <v>672</v>
      </c>
      <c r="H313" s="148">
        <v>2</v>
      </c>
      <c r="I313" s="146" t="s">
        <v>673</v>
      </c>
      <c r="J313" s="149">
        <v>1</v>
      </c>
      <c r="K313" s="150">
        <v>2021</v>
      </c>
      <c r="L313" s="151" t="s">
        <v>1626</v>
      </c>
      <c r="M313" s="151" t="s">
        <v>1627</v>
      </c>
      <c r="N313" s="152"/>
      <c r="O313" s="153"/>
      <c r="P313" s="154" t="s">
        <v>676</v>
      </c>
      <c r="Q313" s="154"/>
      <c r="R313" s="155">
        <v>8</v>
      </c>
      <c r="S313" s="168"/>
      <c r="T313" s="168"/>
      <c r="U313" s="146"/>
      <c r="V313" s="146"/>
      <c r="W313" s="146"/>
      <c r="X313" s="156">
        <v>0</v>
      </c>
      <c r="Y313" s="156">
        <v>0</v>
      </c>
      <c r="Z313" s="157" t="s">
        <v>1454</v>
      </c>
      <c r="AA313" s="158">
        <v>2021</v>
      </c>
      <c r="AB313" s="158">
        <v>7</v>
      </c>
      <c r="AC313" s="158">
        <v>5</v>
      </c>
      <c r="AD313" s="122" t="b">
        <f>IF(ISBLANK(GroupMember[[#This Row],[1. Identifiant interne d’exploitation agricole*]]),"",IF(ISERROR(MATCH(GroupMember[[#This Row],[1. Identifiant interne d’exploitation agricole*]],CertifiedCrop[1. Identifiant interne d’exploitation agricole*],0)),FALSE,TRUE))</f>
        <v>1</v>
      </c>
      <c r="AE313" s="122" t="b">
        <f>IF(ISBLANK(GroupMember[[#This Row],[1. Identifiant interne d’exploitation agricole*]]),"",IF(ISERROR(MATCH(GroupMember[[#This Row],[1. Identifiant interne d’exploitation agricole*]],FarmUnit[1. Identifiant interne d’exploitation agricole*],0)),FALSE,TRUE))</f>
        <v>1</v>
      </c>
      <c r="AF313" s="9" t="str">
        <f t="shared" si="15"/>
        <v>GOEU  THIEDOR</v>
      </c>
      <c r="AG313" s="243" t="str">
        <f t="shared" si="16"/>
        <v>5/7/2021</v>
      </c>
      <c r="AH313" s="51">
        <f>COUNTIFS(Z:Z,Z313,AG:AG,AG313)</f>
        <v>4</v>
      </c>
      <c r="AI313" s="49">
        <f t="shared" si="17"/>
        <v>0</v>
      </c>
    </row>
    <row r="314" spans="1:35" ht="15" x14ac:dyDescent="0.2">
      <c r="A314" s="150" t="s">
        <v>1628</v>
      </c>
      <c r="B314" s="146" t="s">
        <v>668</v>
      </c>
      <c r="C314" s="150" t="s">
        <v>1628</v>
      </c>
      <c r="D314" s="184" t="s">
        <v>1501</v>
      </c>
      <c r="E314" s="146" t="s">
        <v>670</v>
      </c>
      <c r="F314" s="146" t="s">
        <v>671</v>
      </c>
      <c r="G314" s="146" t="s">
        <v>672</v>
      </c>
      <c r="H314" s="148">
        <v>2.12</v>
      </c>
      <c r="I314" s="146" t="s">
        <v>673</v>
      </c>
      <c r="J314" s="149">
        <v>1</v>
      </c>
      <c r="K314" s="150">
        <v>2021</v>
      </c>
      <c r="L314" s="151" t="s">
        <v>1629</v>
      </c>
      <c r="M314" s="151" t="s">
        <v>1227</v>
      </c>
      <c r="N314" s="152" t="s">
        <v>1630</v>
      </c>
      <c r="O314" s="153"/>
      <c r="P314" s="154" t="s">
        <v>676</v>
      </c>
      <c r="Q314" s="154"/>
      <c r="R314" s="155">
        <v>7</v>
      </c>
      <c r="S314" s="168"/>
      <c r="T314" s="168"/>
      <c r="U314" s="146"/>
      <c r="V314" s="146"/>
      <c r="W314" s="146"/>
      <c r="X314" s="156">
        <v>0</v>
      </c>
      <c r="Y314" s="156">
        <v>0</v>
      </c>
      <c r="Z314" s="157" t="s">
        <v>1454</v>
      </c>
      <c r="AA314" s="158">
        <v>2021</v>
      </c>
      <c r="AB314" s="158">
        <v>7</v>
      </c>
      <c r="AC314" s="158">
        <v>2</v>
      </c>
      <c r="AD314" s="122" t="b">
        <f>IF(ISBLANK(GroupMember[[#This Row],[1. Identifiant interne d’exploitation agricole*]]),"",IF(ISERROR(MATCH(GroupMember[[#This Row],[1. Identifiant interne d’exploitation agricole*]],CertifiedCrop[1. Identifiant interne d’exploitation agricole*],0)),FALSE,TRUE))</f>
        <v>1</v>
      </c>
      <c r="AE314" s="122" t="b">
        <f>IF(ISBLANK(GroupMember[[#This Row],[1. Identifiant interne d’exploitation agricole*]]),"",IF(ISERROR(MATCH(GroupMember[[#This Row],[1. Identifiant interne d’exploitation agricole*]],FarmUnit[1. Identifiant interne d’exploitation agricole*],0)),FALSE,TRUE))</f>
        <v>1</v>
      </c>
      <c r="AF314" s="9" t="str">
        <f t="shared" si="15"/>
        <v>DAGUI  CHARLES</v>
      </c>
      <c r="AG314" s="243" t="str">
        <f t="shared" si="16"/>
        <v>2/7/2021</v>
      </c>
      <c r="AH314" s="51">
        <f>COUNTIFS(Z:Z,Z314,AG:AG,AG314)</f>
        <v>4</v>
      </c>
      <c r="AI314" s="49">
        <f t="shared" si="17"/>
        <v>0</v>
      </c>
    </row>
    <row r="315" spans="1:35" ht="15" x14ac:dyDescent="0.2">
      <c r="A315" s="179" t="s">
        <v>1631</v>
      </c>
      <c r="B315" s="146" t="s">
        <v>668</v>
      </c>
      <c r="C315" s="179" t="s">
        <v>1631</v>
      </c>
      <c r="D315" s="184" t="s">
        <v>1501</v>
      </c>
      <c r="E315" s="146" t="s">
        <v>670</v>
      </c>
      <c r="F315" s="146" t="s">
        <v>671</v>
      </c>
      <c r="G315" s="146" t="s">
        <v>672</v>
      </c>
      <c r="H315" s="148">
        <v>1.1399999999999999</v>
      </c>
      <c r="I315" s="146" t="s">
        <v>673</v>
      </c>
      <c r="J315" s="149">
        <v>1</v>
      </c>
      <c r="K315" s="150">
        <v>2021</v>
      </c>
      <c r="L315" s="151" t="s">
        <v>1632</v>
      </c>
      <c r="M315" s="151" t="s">
        <v>1633</v>
      </c>
      <c r="N315" s="172" t="s">
        <v>1634</v>
      </c>
      <c r="O315" s="153"/>
      <c r="P315" s="154" t="s">
        <v>676</v>
      </c>
      <c r="Q315" s="154"/>
      <c r="R315" s="155">
        <v>9</v>
      </c>
      <c r="S315" s="168"/>
      <c r="T315" s="168"/>
      <c r="U315" s="146"/>
      <c r="V315" s="146"/>
      <c r="W315" s="146"/>
      <c r="X315" s="156">
        <v>0</v>
      </c>
      <c r="Y315" s="156">
        <v>0</v>
      </c>
      <c r="Z315" s="157" t="s">
        <v>1454</v>
      </c>
      <c r="AA315" s="158">
        <v>2021</v>
      </c>
      <c r="AB315" s="158">
        <v>7</v>
      </c>
      <c r="AC315" s="158">
        <v>14</v>
      </c>
      <c r="AD315" s="122" t="b">
        <f>IF(ISBLANK(GroupMember[[#This Row],[1. Identifiant interne d’exploitation agricole*]]),"",IF(ISERROR(MATCH(GroupMember[[#This Row],[1. Identifiant interne d’exploitation agricole*]],CertifiedCrop[1. Identifiant interne d’exploitation agricole*],0)),FALSE,TRUE))</f>
        <v>1</v>
      </c>
      <c r="AE315" s="122" t="b">
        <f>IF(ISBLANK(GroupMember[[#This Row],[1. Identifiant interne d’exploitation agricole*]]),"",IF(ISERROR(MATCH(GroupMember[[#This Row],[1. Identifiant interne d’exploitation agricole*]],FarmUnit[1. Identifiant interne d’exploitation agricole*],0)),FALSE,TRUE))</f>
        <v>1</v>
      </c>
      <c r="AF315" s="9" t="str">
        <f t="shared" si="15"/>
        <v>GONZOUE  DORGELEST</v>
      </c>
      <c r="AG315" s="243" t="str">
        <f t="shared" si="16"/>
        <v>14/7/2021</v>
      </c>
      <c r="AH315" s="51">
        <f>COUNTIFS(Z:Z,Z315,AG:AG,AG315)</f>
        <v>3</v>
      </c>
      <c r="AI315" s="49">
        <f t="shared" si="17"/>
        <v>0</v>
      </c>
    </row>
    <row r="316" spans="1:35" ht="15" x14ac:dyDescent="0.2">
      <c r="A316" s="150" t="s">
        <v>1635</v>
      </c>
      <c r="B316" s="146" t="s">
        <v>668</v>
      </c>
      <c r="C316" s="150" t="s">
        <v>1635</v>
      </c>
      <c r="D316" s="184" t="s">
        <v>1501</v>
      </c>
      <c r="E316" s="146" t="s">
        <v>670</v>
      </c>
      <c r="F316" s="146" t="s">
        <v>671</v>
      </c>
      <c r="G316" s="146" t="s">
        <v>672</v>
      </c>
      <c r="H316" s="148">
        <v>0.76</v>
      </c>
      <c r="I316" s="146" t="s">
        <v>673</v>
      </c>
      <c r="J316" s="149">
        <v>1</v>
      </c>
      <c r="K316" s="150">
        <v>2021</v>
      </c>
      <c r="L316" s="151" t="s">
        <v>1632</v>
      </c>
      <c r="M316" s="151" t="s">
        <v>1636</v>
      </c>
      <c r="N316" s="152"/>
      <c r="O316" s="153"/>
      <c r="P316" s="154" t="s">
        <v>676</v>
      </c>
      <c r="Q316" s="154"/>
      <c r="R316" s="155">
        <v>8</v>
      </c>
      <c r="S316" s="168"/>
      <c r="T316" s="168"/>
      <c r="U316" s="146"/>
      <c r="V316" s="146"/>
      <c r="W316" s="146"/>
      <c r="X316" s="156">
        <v>0</v>
      </c>
      <c r="Y316" s="156">
        <v>0</v>
      </c>
      <c r="Z316" s="157" t="s">
        <v>1454</v>
      </c>
      <c r="AA316" s="158">
        <v>2021</v>
      </c>
      <c r="AB316" s="158">
        <v>7</v>
      </c>
      <c r="AC316" s="158">
        <v>27</v>
      </c>
      <c r="AD316" s="122" t="b">
        <f>IF(ISBLANK(GroupMember[[#This Row],[1. Identifiant interne d’exploitation agricole*]]),"",IF(ISERROR(MATCH(GroupMember[[#This Row],[1. Identifiant interne d’exploitation agricole*]],CertifiedCrop[1. Identifiant interne d’exploitation agricole*],0)),FALSE,TRUE))</f>
        <v>1</v>
      </c>
      <c r="AE316" s="122" t="b">
        <f>IF(ISBLANK(GroupMember[[#This Row],[1. Identifiant interne d’exploitation agricole*]]),"",IF(ISERROR(MATCH(GroupMember[[#This Row],[1. Identifiant interne d’exploitation agricole*]],FarmUnit[1. Identifiant interne d’exploitation agricole*],0)),FALSE,TRUE))</f>
        <v>1</v>
      </c>
      <c r="AF316" s="9" t="str">
        <f t="shared" si="15"/>
        <v>GONZOUE  JEAN</v>
      </c>
      <c r="AG316" s="243" t="str">
        <f t="shared" si="16"/>
        <v>27/7/2021</v>
      </c>
      <c r="AH316" s="51">
        <f>COUNTIFS(Z:Z,Z316,AG:AG,AG316)</f>
        <v>5</v>
      </c>
      <c r="AI316" s="49">
        <f t="shared" si="17"/>
        <v>0</v>
      </c>
    </row>
    <row r="317" spans="1:35" ht="15" x14ac:dyDescent="0.2">
      <c r="A317" s="150" t="s">
        <v>1637</v>
      </c>
      <c r="B317" s="146" t="s">
        <v>668</v>
      </c>
      <c r="C317" s="150" t="s">
        <v>1637</v>
      </c>
      <c r="D317" s="184" t="s">
        <v>1501</v>
      </c>
      <c r="E317" s="146" t="s">
        <v>670</v>
      </c>
      <c r="F317" s="146" t="s">
        <v>671</v>
      </c>
      <c r="G317" s="146" t="s">
        <v>672</v>
      </c>
      <c r="H317" s="148">
        <v>2.37</v>
      </c>
      <c r="I317" s="146" t="s">
        <v>673</v>
      </c>
      <c r="J317" s="149">
        <v>1</v>
      </c>
      <c r="K317" s="150">
        <v>2021</v>
      </c>
      <c r="L317" s="178" t="s">
        <v>1638</v>
      </c>
      <c r="M317" s="178" t="s">
        <v>1639</v>
      </c>
      <c r="N317" s="152"/>
      <c r="O317" s="153"/>
      <c r="P317" s="154" t="s">
        <v>676</v>
      </c>
      <c r="Q317" s="154"/>
      <c r="R317" s="155">
        <v>7</v>
      </c>
      <c r="S317" s="168"/>
      <c r="T317" s="168"/>
      <c r="U317" s="146"/>
      <c r="V317" s="146"/>
      <c r="W317" s="146"/>
      <c r="X317" s="156">
        <v>0</v>
      </c>
      <c r="Y317" s="156">
        <v>0</v>
      </c>
      <c r="Z317" s="157" t="s">
        <v>1454</v>
      </c>
      <c r="AA317" s="158">
        <v>2021</v>
      </c>
      <c r="AB317" s="158">
        <v>7</v>
      </c>
      <c r="AC317" s="158">
        <v>29</v>
      </c>
      <c r="AD317" s="122" t="b">
        <f>IF(ISBLANK(GroupMember[[#This Row],[1. Identifiant interne d’exploitation agricole*]]),"",IF(ISERROR(MATCH(GroupMember[[#This Row],[1. Identifiant interne d’exploitation agricole*]],CertifiedCrop[1. Identifiant interne d’exploitation agricole*],0)),FALSE,TRUE))</f>
        <v>1</v>
      </c>
      <c r="AE317" s="122" t="b">
        <f>IF(ISBLANK(GroupMember[[#This Row],[1. Identifiant interne d’exploitation agricole*]]),"",IF(ISERROR(MATCH(GroupMember[[#This Row],[1. Identifiant interne d’exploitation agricole*]],FarmUnit[1. Identifiant interne d’exploitation agricole*],0)),FALSE,TRUE))</f>
        <v>1</v>
      </c>
      <c r="AF317" s="9" t="str">
        <f t="shared" si="15"/>
        <v>BOYA SIMPLICE</v>
      </c>
      <c r="AG317" s="243" t="str">
        <f t="shared" si="16"/>
        <v>29/7/2021</v>
      </c>
      <c r="AH317" s="51">
        <f>COUNTIFS(Z:Z,Z317,AG:AG,AG317)</f>
        <v>2</v>
      </c>
      <c r="AI317" s="49">
        <f t="shared" si="17"/>
        <v>0</v>
      </c>
    </row>
    <row r="318" spans="1:35" ht="15" x14ac:dyDescent="0.2">
      <c r="A318" s="150" t="s">
        <v>1640</v>
      </c>
      <c r="B318" s="146" t="s">
        <v>668</v>
      </c>
      <c r="C318" s="150" t="s">
        <v>1640</v>
      </c>
      <c r="D318" s="184" t="s">
        <v>1501</v>
      </c>
      <c r="E318" s="146" t="s">
        <v>670</v>
      </c>
      <c r="F318" s="146" t="s">
        <v>671</v>
      </c>
      <c r="G318" s="146" t="s">
        <v>672</v>
      </c>
      <c r="H318" s="148">
        <v>2</v>
      </c>
      <c r="I318" s="146" t="s">
        <v>673</v>
      </c>
      <c r="J318" s="149">
        <v>1</v>
      </c>
      <c r="K318" s="150">
        <v>2021</v>
      </c>
      <c r="L318" s="151" t="s">
        <v>915</v>
      </c>
      <c r="M318" s="151" t="s">
        <v>1641</v>
      </c>
      <c r="N318" s="172"/>
      <c r="O318" s="153"/>
      <c r="P318" s="154" t="s">
        <v>676</v>
      </c>
      <c r="Q318" s="154"/>
      <c r="R318" s="155">
        <v>10</v>
      </c>
      <c r="S318" s="168"/>
      <c r="T318" s="168"/>
      <c r="U318" s="146"/>
      <c r="V318" s="146"/>
      <c r="W318" s="146"/>
      <c r="X318" s="156">
        <v>0</v>
      </c>
      <c r="Y318" s="156">
        <v>0</v>
      </c>
      <c r="Z318" s="157" t="s">
        <v>1454</v>
      </c>
      <c r="AA318" s="158">
        <v>2021</v>
      </c>
      <c r="AB318" s="158">
        <v>8</v>
      </c>
      <c r="AC318" s="158">
        <v>3</v>
      </c>
      <c r="AD318" s="122" t="b">
        <f>IF(ISBLANK(GroupMember[[#This Row],[1. Identifiant interne d’exploitation agricole*]]),"",IF(ISERROR(MATCH(GroupMember[[#This Row],[1. Identifiant interne d’exploitation agricole*]],CertifiedCrop[1. Identifiant interne d’exploitation agricole*],0)),FALSE,TRUE))</f>
        <v>1</v>
      </c>
      <c r="AE318" s="122" t="b">
        <f>IF(ISBLANK(GroupMember[[#This Row],[1. Identifiant interne d’exploitation agricole*]]),"",IF(ISERROR(MATCH(GroupMember[[#This Row],[1. Identifiant interne d’exploitation agricole*]],FarmUnit[1. Identifiant interne d’exploitation agricole*],0)),FALSE,TRUE))</f>
        <v>1</v>
      </c>
      <c r="AF318" s="9" t="str">
        <f t="shared" si="15"/>
        <v>MANHAN  EBERNEZER</v>
      </c>
      <c r="AG318" s="243" t="str">
        <f t="shared" si="16"/>
        <v>3/8/2021</v>
      </c>
      <c r="AH318" s="51">
        <f>COUNTIFS(Z:Z,Z318,AG:AG,AG318)</f>
        <v>4</v>
      </c>
      <c r="AI318" s="49">
        <f t="shared" si="17"/>
        <v>0</v>
      </c>
    </row>
    <row r="319" spans="1:35" ht="15" x14ac:dyDescent="0.2">
      <c r="A319" s="150" t="s">
        <v>1642</v>
      </c>
      <c r="B319" s="146" t="s">
        <v>668</v>
      </c>
      <c r="C319" s="150" t="s">
        <v>1642</v>
      </c>
      <c r="D319" s="184" t="s">
        <v>1501</v>
      </c>
      <c r="E319" s="146" t="s">
        <v>670</v>
      </c>
      <c r="F319" s="146" t="s">
        <v>671</v>
      </c>
      <c r="G319" s="146" t="s">
        <v>672</v>
      </c>
      <c r="H319" s="148">
        <v>2</v>
      </c>
      <c r="I319" s="146" t="s">
        <v>673</v>
      </c>
      <c r="J319" s="149">
        <v>1</v>
      </c>
      <c r="K319" s="150">
        <v>2021</v>
      </c>
      <c r="L319" s="151" t="s">
        <v>1632</v>
      </c>
      <c r="M319" s="151" t="s">
        <v>1220</v>
      </c>
      <c r="N319" s="172"/>
      <c r="O319" s="153" t="s">
        <v>1643</v>
      </c>
      <c r="P319" s="154" t="s">
        <v>676</v>
      </c>
      <c r="Q319" s="154">
        <v>1948</v>
      </c>
      <c r="R319" s="155">
        <v>6</v>
      </c>
      <c r="S319" s="168"/>
      <c r="T319" s="168"/>
      <c r="U319" s="146"/>
      <c r="V319" s="146"/>
      <c r="W319" s="146"/>
      <c r="X319" s="156">
        <v>0</v>
      </c>
      <c r="Y319" s="156">
        <v>0</v>
      </c>
      <c r="Z319" s="157" t="s">
        <v>1454</v>
      </c>
      <c r="AA319" s="158">
        <v>2021</v>
      </c>
      <c r="AB319" s="158">
        <v>8</v>
      </c>
      <c r="AC319" s="158">
        <v>3</v>
      </c>
      <c r="AD319" s="122" t="b">
        <f>IF(ISBLANK(GroupMember[[#This Row],[1. Identifiant interne d’exploitation agricole*]]),"",IF(ISERROR(MATCH(GroupMember[[#This Row],[1. Identifiant interne d’exploitation agricole*]],CertifiedCrop[1. Identifiant interne d’exploitation agricole*],0)),FALSE,TRUE))</f>
        <v>1</v>
      </c>
      <c r="AE319" s="122" t="b">
        <f>IF(ISBLANK(GroupMember[[#This Row],[1. Identifiant interne d’exploitation agricole*]]),"",IF(ISERROR(MATCH(GroupMember[[#This Row],[1. Identifiant interne d’exploitation agricole*]],FarmUnit[1. Identifiant interne d’exploitation agricole*],0)),FALSE,TRUE))</f>
        <v>1</v>
      </c>
      <c r="AF319" s="9" t="str">
        <f t="shared" si="15"/>
        <v>GONZOUE  EMMANUEL</v>
      </c>
      <c r="AG319" s="243" t="str">
        <f t="shared" si="16"/>
        <v>3/8/2021</v>
      </c>
      <c r="AH319" s="51">
        <f>COUNTIFS(Z:Z,Z319,AG:AG,AG319)</f>
        <v>4</v>
      </c>
      <c r="AI319" s="49">
        <f t="shared" si="17"/>
        <v>0</v>
      </c>
    </row>
    <row r="320" spans="1:35" ht="15" x14ac:dyDescent="0.2">
      <c r="A320" s="150" t="s">
        <v>1644</v>
      </c>
      <c r="B320" s="146" t="s">
        <v>668</v>
      </c>
      <c r="C320" s="150" t="s">
        <v>1644</v>
      </c>
      <c r="D320" s="184" t="s">
        <v>1501</v>
      </c>
      <c r="E320" s="146" t="s">
        <v>670</v>
      </c>
      <c r="F320" s="146" t="s">
        <v>671</v>
      </c>
      <c r="G320" s="146" t="s">
        <v>672</v>
      </c>
      <c r="H320" s="148">
        <v>3</v>
      </c>
      <c r="I320" s="146" t="s">
        <v>673</v>
      </c>
      <c r="J320" s="149">
        <v>1</v>
      </c>
      <c r="K320" s="150">
        <v>2021</v>
      </c>
      <c r="L320" s="151" t="s">
        <v>1638</v>
      </c>
      <c r="M320" s="151" t="s">
        <v>1645</v>
      </c>
      <c r="N320" s="152"/>
      <c r="O320" s="153"/>
      <c r="P320" s="154" t="s">
        <v>676</v>
      </c>
      <c r="Q320" s="154"/>
      <c r="R320" s="155">
        <v>5</v>
      </c>
      <c r="S320" s="168"/>
      <c r="T320" s="168"/>
      <c r="U320" s="146"/>
      <c r="V320" s="146"/>
      <c r="W320" s="146"/>
      <c r="X320" s="156">
        <v>0</v>
      </c>
      <c r="Y320" s="156">
        <v>0</v>
      </c>
      <c r="Z320" s="157" t="s">
        <v>1454</v>
      </c>
      <c r="AA320" s="158">
        <v>2021</v>
      </c>
      <c r="AB320" s="158">
        <v>7</v>
      </c>
      <c r="AC320" s="158">
        <v>29</v>
      </c>
      <c r="AD320" s="122" t="b">
        <f>IF(ISBLANK(GroupMember[[#This Row],[1. Identifiant interne d’exploitation agricole*]]),"",IF(ISERROR(MATCH(GroupMember[[#This Row],[1. Identifiant interne d’exploitation agricole*]],CertifiedCrop[1. Identifiant interne d’exploitation agricole*],0)),FALSE,TRUE))</f>
        <v>1</v>
      </c>
      <c r="AE320" s="122" t="b">
        <f>IF(ISBLANK(GroupMember[[#This Row],[1. Identifiant interne d’exploitation agricole*]]),"",IF(ISERROR(MATCH(GroupMember[[#This Row],[1. Identifiant interne d’exploitation agricole*]],FarmUnit[1. Identifiant interne d’exploitation agricole*],0)),FALSE,TRUE))</f>
        <v>1</v>
      </c>
      <c r="AF320" s="9" t="str">
        <f t="shared" si="15"/>
        <v>BOYA FRANCK</v>
      </c>
      <c r="AG320" s="243" t="str">
        <f t="shared" si="16"/>
        <v>29/7/2021</v>
      </c>
      <c r="AH320" s="51">
        <f>COUNTIFS(Z:Z,Z320,AG:AG,AG320)</f>
        <v>2</v>
      </c>
      <c r="AI320" s="49">
        <f t="shared" si="17"/>
        <v>0</v>
      </c>
    </row>
    <row r="321" spans="1:35" ht="15" x14ac:dyDescent="0.2">
      <c r="A321" s="150" t="s">
        <v>1646</v>
      </c>
      <c r="B321" s="146" t="s">
        <v>668</v>
      </c>
      <c r="C321" s="150" t="s">
        <v>1646</v>
      </c>
      <c r="D321" s="184" t="s">
        <v>1501</v>
      </c>
      <c r="E321" s="146" t="s">
        <v>670</v>
      </c>
      <c r="F321" s="146" t="s">
        <v>671</v>
      </c>
      <c r="G321" s="146" t="s">
        <v>672</v>
      </c>
      <c r="H321" s="148">
        <v>2</v>
      </c>
      <c r="I321" s="146" t="s">
        <v>673</v>
      </c>
      <c r="J321" s="149">
        <v>1</v>
      </c>
      <c r="K321" s="150">
        <v>2021</v>
      </c>
      <c r="L321" s="151" t="s">
        <v>1647</v>
      </c>
      <c r="M321" s="151" t="s">
        <v>1648</v>
      </c>
      <c r="N321" s="172"/>
      <c r="O321" s="153"/>
      <c r="P321" s="154" t="s">
        <v>676</v>
      </c>
      <c r="Q321" s="154"/>
      <c r="R321" s="155">
        <v>5</v>
      </c>
      <c r="S321" s="168"/>
      <c r="T321" s="168"/>
      <c r="U321" s="146"/>
      <c r="V321" s="146"/>
      <c r="W321" s="146"/>
      <c r="X321" s="156">
        <v>0</v>
      </c>
      <c r="Y321" s="156">
        <v>0</v>
      </c>
      <c r="Z321" s="157" t="s">
        <v>1454</v>
      </c>
      <c r="AA321" s="158">
        <v>2021</v>
      </c>
      <c r="AB321" s="158">
        <v>7</v>
      </c>
      <c r="AC321" s="158">
        <v>14</v>
      </c>
      <c r="AD321" s="122" t="b">
        <f>IF(ISBLANK(GroupMember[[#This Row],[1. Identifiant interne d’exploitation agricole*]]),"",IF(ISERROR(MATCH(GroupMember[[#This Row],[1. Identifiant interne d’exploitation agricole*]],CertifiedCrop[1. Identifiant interne d’exploitation agricole*],0)),FALSE,TRUE))</f>
        <v>1</v>
      </c>
      <c r="AE321" s="122" t="b">
        <f>IF(ISBLANK(GroupMember[[#This Row],[1. Identifiant interne d’exploitation agricole*]]),"",IF(ISERROR(MATCH(GroupMember[[#This Row],[1. Identifiant interne d’exploitation agricole*]],FarmUnit[1. Identifiant interne d’exploitation agricole*],0)),FALSE,TRUE))</f>
        <v>1</v>
      </c>
      <c r="AF321" s="9" t="str">
        <f t="shared" si="15"/>
        <v>GBATO  KOGA SYLVAIN</v>
      </c>
      <c r="AG321" s="243" t="str">
        <f t="shared" si="16"/>
        <v>14/7/2021</v>
      </c>
      <c r="AH321" s="51">
        <f>COUNTIFS(Z:Z,Z321,AG:AG,AG321)</f>
        <v>3</v>
      </c>
      <c r="AI321" s="49">
        <f t="shared" si="17"/>
        <v>0</v>
      </c>
    </row>
    <row r="322" spans="1:35" ht="15" x14ac:dyDescent="0.2">
      <c r="A322" s="150" t="s">
        <v>1649</v>
      </c>
      <c r="B322" s="146" t="s">
        <v>668</v>
      </c>
      <c r="C322" s="150" t="s">
        <v>1649</v>
      </c>
      <c r="D322" s="184" t="s">
        <v>1501</v>
      </c>
      <c r="E322" s="146" t="s">
        <v>670</v>
      </c>
      <c r="F322" s="146" t="s">
        <v>671</v>
      </c>
      <c r="G322" s="146" t="s">
        <v>672</v>
      </c>
      <c r="H322" s="148">
        <v>2.1800000000000002</v>
      </c>
      <c r="I322" s="146" t="s">
        <v>673</v>
      </c>
      <c r="J322" s="149">
        <v>1</v>
      </c>
      <c r="K322" s="150">
        <v>2021</v>
      </c>
      <c r="L322" s="151" t="s">
        <v>1650</v>
      </c>
      <c r="M322" s="151" t="s">
        <v>1651</v>
      </c>
      <c r="N322" s="172"/>
      <c r="O322" s="153"/>
      <c r="P322" s="154" t="s">
        <v>676</v>
      </c>
      <c r="Q322" s="154"/>
      <c r="R322" s="155">
        <v>8</v>
      </c>
      <c r="S322" s="168"/>
      <c r="T322" s="168"/>
      <c r="U322" s="146"/>
      <c r="V322" s="146"/>
      <c r="W322" s="146"/>
      <c r="X322" s="156">
        <v>0</v>
      </c>
      <c r="Y322" s="156">
        <v>0</v>
      </c>
      <c r="Z322" s="157" t="s">
        <v>1454</v>
      </c>
      <c r="AA322" s="158">
        <v>2021</v>
      </c>
      <c r="AB322" s="158">
        <v>8</v>
      </c>
      <c r="AC322" s="158">
        <v>3</v>
      </c>
      <c r="AD322" s="122" t="b">
        <f>IF(ISBLANK(GroupMember[[#This Row],[1. Identifiant interne d’exploitation agricole*]]),"",IF(ISERROR(MATCH(GroupMember[[#This Row],[1. Identifiant interne d’exploitation agricole*]],CertifiedCrop[1. Identifiant interne d’exploitation agricole*],0)),FALSE,TRUE))</f>
        <v>1</v>
      </c>
      <c r="AE322" s="122" t="b">
        <f>IF(ISBLANK(GroupMember[[#This Row],[1. Identifiant interne d’exploitation agricole*]]),"",IF(ISERROR(MATCH(GroupMember[[#This Row],[1. Identifiant interne d’exploitation agricole*]],FarmUnit[1. Identifiant interne d’exploitation agricole*],0)),FALSE,TRUE))</f>
        <v>1</v>
      </c>
      <c r="AF322" s="9" t="str">
        <f t="shared" si="15"/>
        <v>ZEHA GOMI MICHEL</v>
      </c>
      <c r="AG322" s="243" t="str">
        <f t="shared" si="16"/>
        <v>3/8/2021</v>
      </c>
      <c r="AH322" s="51">
        <f>COUNTIFS(Z:Z,Z322,AG:AG,AG322)</f>
        <v>4</v>
      </c>
      <c r="AI322" s="49">
        <f t="shared" si="17"/>
        <v>0</v>
      </c>
    </row>
    <row r="323" spans="1:35" ht="15" x14ac:dyDescent="0.2">
      <c r="A323" s="150" t="s">
        <v>1652</v>
      </c>
      <c r="B323" s="146" t="s">
        <v>668</v>
      </c>
      <c r="C323" s="150" t="s">
        <v>1652</v>
      </c>
      <c r="D323" s="184" t="s">
        <v>1501</v>
      </c>
      <c r="E323" s="146" t="s">
        <v>670</v>
      </c>
      <c r="F323" s="146" t="s">
        <v>671</v>
      </c>
      <c r="G323" s="146" t="s">
        <v>672</v>
      </c>
      <c r="H323" s="148">
        <v>1.37</v>
      </c>
      <c r="I323" s="146" t="s">
        <v>673</v>
      </c>
      <c r="J323" s="149">
        <v>1</v>
      </c>
      <c r="K323" s="150">
        <v>2021</v>
      </c>
      <c r="L323" s="151" t="s">
        <v>1256</v>
      </c>
      <c r="M323" s="151" t="s">
        <v>1653</v>
      </c>
      <c r="N323" s="172" t="s">
        <v>1654</v>
      </c>
      <c r="O323" s="153" t="s">
        <v>3292</v>
      </c>
      <c r="P323" s="154" t="s">
        <v>676</v>
      </c>
      <c r="Q323" s="154">
        <v>1975</v>
      </c>
      <c r="R323" s="155">
        <v>10</v>
      </c>
      <c r="S323" s="168"/>
      <c r="T323" s="168"/>
      <c r="U323" s="146"/>
      <c r="V323" s="146"/>
      <c r="W323" s="146"/>
      <c r="X323" s="156">
        <v>0</v>
      </c>
      <c r="Y323" s="156">
        <v>0</v>
      </c>
      <c r="Z323" s="157" t="s">
        <v>1454</v>
      </c>
      <c r="AA323" s="158">
        <v>2021</v>
      </c>
      <c r="AB323" s="158">
        <v>7</v>
      </c>
      <c r="AC323" s="158">
        <v>31</v>
      </c>
      <c r="AD323" s="122" t="b">
        <f>IF(ISBLANK(GroupMember[[#This Row],[1. Identifiant interne d’exploitation agricole*]]),"",IF(ISERROR(MATCH(GroupMember[[#This Row],[1. Identifiant interne d’exploitation agricole*]],CertifiedCrop[1. Identifiant interne d’exploitation agricole*],0)),FALSE,TRUE))</f>
        <v>1</v>
      </c>
      <c r="AE323" s="122" t="b">
        <f>IF(ISBLANK(GroupMember[[#This Row],[1. Identifiant interne d’exploitation agricole*]]),"",IF(ISERROR(MATCH(GroupMember[[#This Row],[1. Identifiant interne d’exploitation agricole*]],FarmUnit[1. Identifiant interne d’exploitation agricole*],0)),FALSE,TRUE))</f>
        <v>1</v>
      </c>
      <c r="AF323" s="9" t="str">
        <f t="shared" si="15"/>
        <v>ZOYA  TOIME AUGUSTIN</v>
      </c>
      <c r="AG323" s="243" t="str">
        <f t="shared" si="16"/>
        <v>31/7/2021</v>
      </c>
      <c r="AH323" s="51">
        <f>COUNTIFS(Z:Z,Z323,AG:AG,AG323)</f>
        <v>5</v>
      </c>
      <c r="AI323" s="49">
        <f t="shared" si="17"/>
        <v>0</v>
      </c>
    </row>
    <row r="324" spans="1:35" ht="15" x14ac:dyDescent="0.2">
      <c r="A324" s="150" t="s">
        <v>1655</v>
      </c>
      <c r="B324" s="146" t="s">
        <v>668</v>
      </c>
      <c r="C324" s="150" t="s">
        <v>1655</v>
      </c>
      <c r="D324" s="184" t="s">
        <v>1501</v>
      </c>
      <c r="E324" s="146" t="s">
        <v>670</v>
      </c>
      <c r="F324" s="146" t="s">
        <v>671</v>
      </c>
      <c r="G324" s="146" t="s">
        <v>672</v>
      </c>
      <c r="H324" s="148">
        <v>1.44</v>
      </c>
      <c r="I324" s="146" t="s">
        <v>673</v>
      </c>
      <c r="J324" s="149">
        <v>1</v>
      </c>
      <c r="K324" s="150">
        <v>2021</v>
      </c>
      <c r="L324" s="159" t="s">
        <v>1605</v>
      </c>
      <c r="M324" s="159" t="s">
        <v>1656</v>
      </c>
      <c r="N324" s="177" t="s">
        <v>1657</v>
      </c>
      <c r="O324" s="153"/>
      <c r="P324" s="154" t="s">
        <v>676</v>
      </c>
      <c r="Q324" s="154"/>
      <c r="R324" s="155">
        <v>7</v>
      </c>
      <c r="S324" s="168"/>
      <c r="T324" s="168"/>
      <c r="U324" s="146"/>
      <c r="V324" s="146"/>
      <c r="W324" s="146"/>
      <c r="X324" s="156">
        <v>0</v>
      </c>
      <c r="Y324" s="156">
        <v>0</v>
      </c>
      <c r="Z324" s="157" t="s">
        <v>1454</v>
      </c>
      <c r="AA324" s="158">
        <v>2021</v>
      </c>
      <c r="AB324" s="158">
        <v>8</v>
      </c>
      <c r="AC324" s="158">
        <v>4</v>
      </c>
      <c r="AD324" s="122" t="b">
        <f>IF(ISBLANK(GroupMember[[#This Row],[1. Identifiant interne d’exploitation agricole*]]),"",IF(ISERROR(MATCH(GroupMember[[#This Row],[1. Identifiant interne d’exploitation agricole*]],CertifiedCrop[1. Identifiant interne d’exploitation agricole*],0)),FALSE,TRUE))</f>
        <v>1</v>
      </c>
      <c r="AE324" s="122" t="b">
        <f>IF(ISBLANK(GroupMember[[#This Row],[1. Identifiant interne d’exploitation agricole*]]),"",IF(ISERROR(MATCH(GroupMember[[#This Row],[1. Identifiant interne d’exploitation agricole*]],FarmUnit[1. Identifiant interne d’exploitation agricole*],0)),FALSE,TRUE))</f>
        <v>1</v>
      </c>
      <c r="AF324" s="9" t="str">
        <f t="shared" si="15"/>
        <v>BAGUI ZOKAGON KEVIN</v>
      </c>
      <c r="AG324" s="243" t="str">
        <f t="shared" si="16"/>
        <v>4/8/2021</v>
      </c>
      <c r="AH324" s="51">
        <f>COUNTIFS(Z:Z,Z324,AG:AG,AG324)</f>
        <v>4</v>
      </c>
      <c r="AI324" s="49">
        <f t="shared" si="17"/>
        <v>0</v>
      </c>
    </row>
    <row r="325" spans="1:35" ht="15" x14ac:dyDescent="0.2">
      <c r="A325" s="150" t="s">
        <v>1658</v>
      </c>
      <c r="B325" s="146" t="s">
        <v>668</v>
      </c>
      <c r="C325" s="150" t="s">
        <v>1658</v>
      </c>
      <c r="D325" s="184" t="s">
        <v>1501</v>
      </c>
      <c r="E325" s="146" t="s">
        <v>670</v>
      </c>
      <c r="F325" s="146" t="s">
        <v>671</v>
      </c>
      <c r="G325" s="146" t="s">
        <v>672</v>
      </c>
      <c r="H325" s="148">
        <v>1.42</v>
      </c>
      <c r="I325" s="146" t="s">
        <v>673</v>
      </c>
      <c r="J325" s="149">
        <v>1</v>
      </c>
      <c r="K325" s="150">
        <v>2021</v>
      </c>
      <c r="L325" s="151" t="s">
        <v>1450</v>
      </c>
      <c r="M325" s="151" t="s">
        <v>1659</v>
      </c>
      <c r="N325" s="172" t="s">
        <v>1660</v>
      </c>
      <c r="O325" s="153" t="s">
        <v>1661</v>
      </c>
      <c r="P325" s="154" t="s">
        <v>676</v>
      </c>
      <c r="Q325" s="154">
        <v>1973</v>
      </c>
      <c r="R325" s="155">
        <v>8</v>
      </c>
      <c r="S325" s="168"/>
      <c r="T325" s="168"/>
      <c r="U325" s="146"/>
      <c r="V325" s="146"/>
      <c r="W325" s="146"/>
      <c r="X325" s="156">
        <v>0</v>
      </c>
      <c r="Y325" s="156">
        <v>0</v>
      </c>
      <c r="Z325" s="157" t="s">
        <v>1454</v>
      </c>
      <c r="AA325" s="158">
        <v>2021</v>
      </c>
      <c r="AB325" s="158">
        <v>8</v>
      </c>
      <c r="AC325" s="158">
        <v>4</v>
      </c>
      <c r="AD325" s="122" t="b">
        <f>IF(ISBLANK(GroupMember[[#This Row],[1. Identifiant interne d’exploitation agricole*]]),"",IF(ISERROR(MATCH(GroupMember[[#This Row],[1. Identifiant interne d’exploitation agricole*]],CertifiedCrop[1. Identifiant interne d’exploitation agricole*],0)),FALSE,TRUE))</f>
        <v>1</v>
      </c>
      <c r="AE325" s="122" t="b">
        <f>IF(ISBLANK(GroupMember[[#This Row],[1. Identifiant interne d’exploitation agricole*]]),"",IF(ISERROR(MATCH(GroupMember[[#This Row],[1. Identifiant interne d’exploitation agricole*]],FarmUnit[1. Identifiant interne d’exploitation agricole*],0)),FALSE,TRUE))</f>
        <v>1</v>
      </c>
      <c r="AF325" s="9" t="str">
        <f t="shared" si="15"/>
        <v>TONESSIA  POUELO BLAISE</v>
      </c>
      <c r="AG325" s="243" t="str">
        <f t="shared" si="16"/>
        <v>4/8/2021</v>
      </c>
      <c r="AH325" s="51">
        <f>COUNTIFS(Z:Z,Z325,AG:AG,AG325)</f>
        <v>4</v>
      </c>
      <c r="AI325" s="49">
        <f t="shared" si="17"/>
        <v>0</v>
      </c>
    </row>
    <row r="326" spans="1:35" ht="15" x14ac:dyDescent="0.2">
      <c r="A326" s="150" t="s">
        <v>1662</v>
      </c>
      <c r="B326" s="146" t="s">
        <v>668</v>
      </c>
      <c r="C326" s="150" t="s">
        <v>1662</v>
      </c>
      <c r="D326" s="184" t="s">
        <v>1501</v>
      </c>
      <c r="E326" s="146" t="s">
        <v>670</v>
      </c>
      <c r="F326" s="146" t="s">
        <v>671</v>
      </c>
      <c r="G326" s="146" t="s">
        <v>672</v>
      </c>
      <c r="H326" s="148">
        <v>3.86</v>
      </c>
      <c r="I326" s="146" t="s">
        <v>673</v>
      </c>
      <c r="J326" s="149">
        <v>1</v>
      </c>
      <c r="K326" s="150">
        <v>2021</v>
      </c>
      <c r="L326" s="151" t="s">
        <v>1450</v>
      </c>
      <c r="M326" s="151" t="s">
        <v>1663</v>
      </c>
      <c r="N326" s="172" t="s">
        <v>1664</v>
      </c>
      <c r="O326" s="153"/>
      <c r="P326" s="154" t="s">
        <v>676</v>
      </c>
      <c r="Q326" s="154"/>
      <c r="R326" s="155">
        <v>5</v>
      </c>
      <c r="S326" s="168"/>
      <c r="T326" s="168"/>
      <c r="U326" s="146"/>
      <c r="V326" s="146"/>
      <c r="W326" s="146"/>
      <c r="X326" s="156">
        <v>0</v>
      </c>
      <c r="Y326" s="156">
        <v>0</v>
      </c>
      <c r="Z326" s="157" t="s">
        <v>1454</v>
      </c>
      <c r="AA326" s="158">
        <v>2021</v>
      </c>
      <c r="AB326" s="158">
        <v>7</v>
      </c>
      <c r="AC326" s="158">
        <v>31</v>
      </c>
      <c r="AD326" s="122" t="b">
        <f>IF(ISBLANK(GroupMember[[#This Row],[1. Identifiant interne d’exploitation agricole*]]),"",IF(ISERROR(MATCH(GroupMember[[#This Row],[1. Identifiant interne d’exploitation agricole*]],CertifiedCrop[1. Identifiant interne d’exploitation agricole*],0)),FALSE,TRUE))</f>
        <v>1</v>
      </c>
      <c r="AE326" s="122" t="b">
        <f>IF(ISBLANK(GroupMember[[#This Row],[1. Identifiant interne d’exploitation agricole*]]),"",IF(ISERROR(MATCH(GroupMember[[#This Row],[1. Identifiant interne d’exploitation agricole*]],FarmUnit[1. Identifiant interne d’exploitation agricole*],0)),FALSE,TRUE))</f>
        <v>1</v>
      </c>
      <c r="AF326" s="9" t="str">
        <f t="shared" si="15"/>
        <v>TONESSIA  INNOCENT</v>
      </c>
      <c r="AG326" s="243" t="str">
        <f t="shared" si="16"/>
        <v>31/7/2021</v>
      </c>
      <c r="AH326" s="51">
        <f>COUNTIFS(Z:Z,Z326,AG:AG,AG326)</f>
        <v>5</v>
      </c>
      <c r="AI326" s="49">
        <f t="shared" si="17"/>
        <v>0</v>
      </c>
    </row>
    <row r="327" spans="1:35" ht="15" x14ac:dyDescent="0.2">
      <c r="A327" s="150" t="s">
        <v>1665</v>
      </c>
      <c r="B327" s="146" t="s">
        <v>668</v>
      </c>
      <c r="C327" s="150" t="s">
        <v>1665</v>
      </c>
      <c r="D327" s="184" t="s">
        <v>1501</v>
      </c>
      <c r="E327" s="146" t="s">
        <v>670</v>
      </c>
      <c r="F327" s="146" t="s">
        <v>671</v>
      </c>
      <c r="G327" s="146" t="s">
        <v>672</v>
      </c>
      <c r="H327" s="148">
        <v>0.92</v>
      </c>
      <c r="I327" s="146" t="s">
        <v>673</v>
      </c>
      <c r="J327" s="149">
        <v>1</v>
      </c>
      <c r="K327" s="150">
        <v>2021</v>
      </c>
      <c r="L327" s="151" t="s">
        <v>1450</v>
      </c>
      <c r="M327" s="151" t="s">
        <v>1666</v>
      </c>
      <c r="N327" s="172" t="s">
        <v>1667</v>
      </c>
      <c r="O327" s="153" t="s">
        <v>1668</v>
      </c>
      <c r="P327" s="154" t="s">
        <v>676</v>
      </c>
      <c r="Q327" s="154">
        <v>1960</v>
      </c>
      <c r="R327" s="155">
        <v>7</v>
      </c>
      <c r="S327" s="168"/>
      <c r="T327" s="168"/>
      <c r="U327" s="146"/>
      <c r="V327" s="146"/>
      <c r="W327" s="146"/>
      <c r="X327" s="156">
        <v>0</v>
      </c>
      <c r="Y327" s="156">
        <v>0</v>
      </c>
      <c r="Z327" s="157" t="s">
        <v>1454</v>
      </c>
      <c r="AA327" s="158">
        <v>2021</v>
      </c>
      <c r="AB327" s="158">
        <v>7</v>
      </c>
      <c r="AC327" s="158">
        <v>14</v>
      </c>
      <c r="AD327" s="122" t="b">
        <f>IF(ISBLANK(GroupMember[[#This Row],[1. Identifiant interne d’exploitation agricole*]]),"",IF(ISERROR(MATCH(GroupMember[[#This Row],[1. Identifiant interne d’exploitation agricole*]],CertifiedCrop[1. Identifiant interne d’exploitation agricole*],0)),FALSE,TRUE))</f>
        <v>1</v>
      </c>
      <c r="AE327" s="122" t="b">
        <f>IF(ISBLANK(GroupMember[[#This Row],[1. Identifiant interne d’exploitation agricole*]]),"",IF(ISERROR(MATCH(GroupMember[[#This Row],[1. Identifiant interne d’exploitation agricole*]],FarmUnit[1. Identifiant interne d’exploitation agricole*],0)),FALSE,TRUE))</f>
        <v>1</v>
      </c>
      <c r="AF327" s="9" t="str">
        <f t="shared" si="15"/>
        <v>TONESSIA  GUILLAUME</v>
      </c>
      <c r="AG327" s="243" t="str">
        <f t="shared" si="16"/>
        <v>14/7/2021</v>
      </c>
      <c r="AH327" s="51">
        <f>COUNTIFS(Z:Z,Z327,AG:AG,AG327)</f>
        <v>3</v>
      </c>
      <c r="AI327" s="49">
        <f t="shared" si="17"/>
        <v>0</v>
      </c>
    </row>
    <row r="328" spans="1:35" ht="15" x14ac:dyDescent="0.2">
      <c r="A328" s="150" t="s">
        <v>1669</v>
      </c>
      <c r="B328" s="146" t="s">
        <v>668</v>
      </c>
      <c r="C328" s="150" t="s">
        <v>1669</v>
      </c>
      <c r="D328" s="184" t="s">
        <v>1501</v>
      </c>
      <c r="E328" s="146" t="s">
        <v>670</v>
      </c>
      <c r="F328" s="146" t="s">
        <v>671</v>
      </c>
      <c r="G328" s="146" t="s">
        <v>672</v>
      </c>
      <c r="H328" s="148">
        <v>1.39</v>
      </c>
      <c r="I328" s="146" t="s">
        <v>673</v>
      </c>
      <c r="J328" s="149">
        <v>1</v>
      </c>
      <c r="K328" s="150">
        <v>2021</v>
      </c>
      <c r="L328" s="151" t="s">
        <v>1670</v>
      </c>
      <c r="M328" s="151" t="s">
        <v>1671</v>
      </c>
      <c r="N328" s="172"/>
      <c r="O328" s="153"/>
      <c r="P328" s="154" t="s">
        <v>676</v>
      </c>
      <c r="Q328" s="154"/>
      <c r="R328" s="155">
        <v>7</v>
      </c>
      <c r="S328" s="168"/>
      <c r="T328" s="168"/>
      <c r="U328" s="146"/>
      <c r="V328" s="146"/>
      <c r="W328" s="146"/>
      <c r="X328" s="156">
        <v>0</v>
      </c>
      <c r="Y328" s="156">
        <v>0</v>
      </c>
      <c r="Z328" s="157" t="s">
        <v>1454</v>
      </c>
      <c r="AA328" s="158">
        <v>2021</v>
      </c>
      <c r="AB328" s="158">
        <v>7</v>
      </c>
      <c r="AC328" s="158">
        <v>24</v>
      </c>
      <c r="AD328" s="122" t="b">
        <f>IF(ISBLANK(GroupMember[[#This Row],[1. Identifiant interne d’exploitation agricole*]]),"",IF(ISERROR(MATCH(GroupMember[[#This Row],[1. Identifiant interne d’exploitation agricole*]],CertifiedCrop[1. Identifiant interne d’exploitation agricole*],0)),FALSE,TRUE))</f>
        <v>1</v>
      </c>
      <c r="AE328" s="122" t="b">
        <f>IF(ISBLANK(GroupMember[[#This Row],[1. Identifiant interne d’exploitation agricole*]]),"",IF(ISERROR(MATCH(GroupMember[[#This Row],[1. Identifiant interne d’exploitation agricole*]],FarmUnit[1. Identifiant interne d’exploitation agricole*],0)),FALSE,TRUE))</f>
        <v>1</v>
      </c>
      <c r="AF328" s="9" t="str">
        <f t="shared" si="15"/>
        <v>YAO  KOSOMOU</v>
      </c>
      <c r="AG328" s="243" t="str">
        <f t="shared" si="16"/>
        <v>24/7/2021</v>
      </c>
      <c r="AH328" s="51">
        <f>COUNTIFS(Z:Z,Z328,AG:AG,AG328)</f>
        <v>4</v>
      </c>
      <c r="AI328" s="49">
        <f t="shared" si="17"/>
        <v>0</v>
      </c>
    </row>
    <row r="329" spans="1:35" ht="15" x14ac:dyDescent="0.2">
      <c r="A329" s="150" t="s">
        <v>1672</v>
      </c>
      <c r="B329" s="146" t="s">
        <v>668</v>
      </c>
      <c r="C329" s="150" t="s">
        <v>1672</v>
      </c>
      <c r="D329" s="184" t="s">
        <v>1501</v>
      </c>
      <c r="E329" s="146" t="s">
        <v>670</v>
      </c>
      <c r="F329" s="146" t="s">
        <v>671</v>
      </c>
      <c r="G329" s="146" t="s">
        <v>672</v>
      </c>
      <c r="H329" s="148">
        <v>2</v>
      </c>
      <c r="I329" s="146" t="s">
        <v>673</v>
      </c>
      <c r="J329" s="149">
        <v>1</v>
      </c>
      <c r="K329" s="150">
        <v>2021</v>
      </c>
      <c r="L329" s="151" t="s">
        <v>1502</v>
      </c>
      <c r="M329" s="151" t="s">
        <v>1673</v>
      </c>
      <c r="N329" s="172"/>
      <c r="O329" s="153"/>
      <c r="P329" s="154" t="s">
        <v>676</v>
      </c>
      <c r="Q329" s="154"/>
      <c r="R329" s="155">
        <v>5</v>
      </c>
      <c r="S329" s="168"/>
      <c r="T329" s="168"/>
      <c r="U329" s="146"/>
      <c r="V329" s="146"/>
      <c r="W329" s="146"/>
      <c r="X329" s="156">
        <v>0</v>
      </c>
      <c r="Y329" s="156">
        <v>0</v>
      </c>
      <c r="Z329" s="157" t="s">
        <v>1454</v>
      </c>
      <c r="AA329" s="158">
        <v>2021</v>
      </c>
      <c r="AB329" s="158">
        <v>7</v>
      </c>
      <c r="AC329" s="158">
        <v>5</v>
      </c>
      <c r="AD329" s="122" t="b">
        <f>IF(ISBLANK(GroupMember[[#This Row],[1. Identifiant interne d’exploitation agricole*]]),"",IF(ISERROR(MATCH(GroupMember[[#This Row],[1. Identifiant interne d’exploitation agricole*]],CertifiedCrop[1. Identifiant interne d’exploitation agricole*],0)),FALSE,TRUE))</f>
        <v>1</v>
      </c>
      <c r="AE329" s="122" t="b">
        <f>IF(ISBLANK(GroupMember[[#This Row],[1. Identifiant interne d’exploitation agricole*]]),"",IF(ISERROR(MATCH(GroupMember[[#This Row],[1. Identifiant interne d’exploitation agricole*]],FarmUnit[1. Identifiant interne d’exploitation agricole*],0)),FALSE,TRUE))</f>
        <v>1</v>
      </c>
      <c r="AF329" s="9" t="str">
        <f t="shared" si="15"/>
        <v>KOUAME  KORMA</v>
      </c>
      <c r="AG329" s="243" t="str">
        <f t="shared" si="16"/>
        <v>5/7/2021</v>
      </c>
      <c r="AH329" s="51">
        <f>COUNTIFS(Z:Z,Z329,AG:AG,AG329)</f>
        <v>4</v>
      </c>
      <c r="AI329" s="49">
        <f t="shared" si="17"/>
        <v>0</v>
      </c>
    </row>
    <row r="330" spans="1:35" ht="15" x14ac:dyDescent="0.2">
      <c r="A330" s="150" t="s">
        <v>1674</v>
      </c>
      <c r="B330" s="146" t="s">
        <v>668</v>
      </c>
      <c r="C330" s="150" t="s">
        <v>1674</v>
      </c>
      <c r="D330" s="184" t="s">
        <v>1501</v>
      </c>
      <c r="E330" s="146" t="s">
        <v>670</v>
      </c>
      <c r="F330" s="146" t="s">
        <v>671</v>
      </c>
      <c r="G330" s="146" t="s">
        <v>672</v>
      </c>
      <c r="H330" s="148">
        <v>1.51</v>
      </c>
      <c r="I330" s="146" t="s">
        <v>673</v>
      </c>
      <c r="J330" s="149">
        <v>1</v>
      </c>
      <c r="K330" s="150">
        <v>2021</v>
      </c>
      <c r="L330" s="151" t="s">
        <v>1675</v>
      </c>
      <c r="M330" s="151" t="s">
        <v>1676</v>
      </c>
      <c r="N330" s="172" t="s">
        <v>1677</v>
      </c>
      <c r="O330" s="153" t="s">
        <v>1678</v>
      </c>
      <c r="P330" s="154" t="s">
        <v>676</v>
      </c>
      <c r="Q330" s="154">
        <v>1988</v>
      </c>
      <c r="R330" s="155">
        <v>4</v>
      </c>
      <c r="S330" s="168"/>
      <c r="T330" s="168"/>
      <c r="U330" s="146"/>
      <c r="V330" s="146"/>
      <c r="W330" s="146"/>
      <c r="X330" s="156">
        <v>0</v>
      </c>
      <c r="Y330" s="156">
        <v>0</v>
      </c>
      <c r="Z330" s="157" t="s">
        <v>1454</v>
      </c>
      <c r="AA330" s="158">
        <v>2021</v>
      </c>
      <c r="AB330" s="158">
        <v>7</v>
      </c>
      <c r="AC330" s="158">
        <v>31</v>
      </c>
      <c r="AD330" s="122" t="b">
        <f>IF(ISBLANK(GroupMember[[#This Row],[1. Identifiant interne d’exploitation agricole*]]),"",IF(ISERROR(MATCH(GroupMember[[#This Row],[1. Identifiant interne d’exploitation agricole*]],CertifiedCrop[1. Identifiant interne d’exploitation agricole*],0)),FALSE,TRUE))</f>
        <v>1</v>
      </c>
      <c r="AE330" s="122" t="b">
        <f>IF(ISBLANK(GroupMember[[#This Row],[1. Identifiant interne d’exploitation agricole*]]),"",IF(ISERROR(MATCH(GroupMember[[#This Row],[1. Identifiant interne d’exploitation agricole*]],FarmUnit[1. Identifiant interne d’exploitation agricole*],0)),FALSE,TRUE))</f>
        <v>1</v>
      </c>
      <c r="AF330" s="9" t="str">
        <f t="shared" si="15"/>
        <v>BAIH  ANICET</v>
      </c>
      <c r="AG330" s="243" t="str">
        <f t="shared" si="16"/>
        <v>31/7/2021</v>
      </c>
      <c r="AH330" s="51">
        <f>COUNTIFS(Z:Z,Z330,AG:AG,AG330)</f>
        <v>5</v>
      </c>
      <c r="AI330" s="49">
        <f t="shared" si="17"/>
        <v>0</v>
      </c>
    </row>
    <row r="331" spans="1:35" ht="15" x14ac:dyDescent="0.2">
      <c r="A331" s="150" t="s">
        <v>1679</v>
      </c>
      <c r="B331" s="146" t="s">
        <v>668</v>
      </c>
      <c r="C331" s="150" t="s">
        <v>1679</v>
      </c>
      <c r="D331" s="184" t="s">
        <v>1501</v>
      </c>
      <c r="E331" s="146" t="s">
        <v>670</v>
      </c>
      <c r="F331" s="146" t="s">
        <v>671</v>
      </c>
      <c r="G331" s="146" t="s">
        <v>672</v>
      </c>
      <c r="H331" s="148">
        <v>1.27</v>
      </c>
      <c r="I331" s="146" t="s">
        <v>673</v>
      </c>
      <c r="J331" s="149">
        <v>1</v>
      </c>
      <c r="K331" s="150">
        <v>2021</v>
      </c>
      <c r="L331" s="151" t="s">
        <v>1680</v>
      </c>
      <c r="M331" s="151" t="s">
        <v>1681</v>
      </c>
      <c r="N331" s="172"/>
      <c r="O331" s="153"/>
      <c r="P331" s="154" t="s">
        <v>676</v>
      </c>
      <c r="Q331" s="154"/>
      <c r="R331" s="155">
        <v>6</v>
      </c>
      <c r="S331" s="168"/>
      <c r="T331" s="168"/>
      <c r="U331" s="146"/>
      <c r="V331" s="146"/>
      <c r="W331" s="146"/>
      <c r="X331" s="156">
        <v>0</v>
      </c>
      <c r="Y331" s="156">
        <v>0</v>
      </c>
      <c r="Z331" s="157" t="s">
        <v>1454</v>
      </c>
      <c r="AA331" s="158">
        <v>2021</v>
      </c>
      <c r="AB331" s="158">
        <v>8</v>
      </c>
      <c r="AC331" s="158">
        <v>4</v>
      </c>
      <c r="AD331" s="122" t="b">
        <f>IF(ISBLANK(GroupMember[[#This Row],[1. Identifiant interne d’exploitation agricole*]]),"",IF(ISERROR(MATCH(GroupMember[[#This Row],[1. Identifiant interne d’exploitation agricole*]],CertifiedCrop[1. Identifiant interne d’exploitation agricole*],0)),FALSE,TRUE))</f>
        <v>1</v>
      </c>
      <c r="AE331" s="122" t="b">
        <f>IF(ISBLANK(GroupMember[[#This Row],[1. Identifiant interne d’exploitation agricole*]]),"",IF(ISERROR(MATCH(GroupMember[[#This Row],[1. Identifiant interne d’exploitation agricole*]],FarmUnit[1. Identifiant interne d’exploitation agricole*],0)),FALSE,TRUE))</f>
        <v>1</v>
      </c>
      <c r="AF331" s="9" t="str">
        <f t="shared" si="15"/>
        <v>DROH  DANIEL</v>
      </c>
      <c r="AG331" s="243" t="str">
        <f t="shared" si="16"/>
        <v>4/8/2021</v>
      </c>
      <c r="AH331" s="51">
        <f>COUNTIFS(Z:Z,Z331,AG:AG,AG331)</f>
        <v>4</v>
      </c>
      <c r="AI331" s="49">
        <f t="shared" si="17"/>
        <v>0</v>
      </c>
    </row>
    <row r="332" spans="1:35" ht="15" x14ac:dyDescent="0.2">
      <c r="A332" s="150" t="s">
        <v>1682</v>
      </c>
      <c r="B332" s="146" t="s">
        <v>668</v>
      </c>
      <c r="C332" s="150" t="s">
        <v>1682</v>
      </c>
      <c r="D332" s="184" t="s">
        <v>1501</v>
      </c>
      <c r="E332" s="146" t="s">
        <v>670</v>
      </c>
      <c r="F332" s="146" t="s">
        <v>671</v>
      </c>
      <c r="G332" s="146" t="s">
        <v>672</v>
      </c>
      <c r="H332" s="148">
        <v>1.23</v>
      </c>
      <c r="I332" s="146" t="s">
        <v>673</v>
      </c>
      <c r="J332" s="149">
        <v>1</v>
      </c>
      <c r="K332" s="150">
        <v>2021</v>
      </c>
      <c r="L332" s="151" t="s">
        <v>1010</v>
      </c>
      <c r="M332" s="151" t="s">
        <v>1683</v>
      </c>
      <c r="N332" s="172" t="s">
        <v>1684</v>
      </c>
      <c r="O332" s="153"/>
      <c r="P332" s="154" t="s">
        <v>676</v>
      </c>
      <c r="Q332" s="154"/>
      <c r="R332" s="155">
        <v>8</v>
      </c>
      <c r="S332" s="168"/>
      <c r="T332" s="168"/>
      <c r="U332" s="146"/>
      <c r="V332" s="146"/>
      <c r="W332" s="146"/>
      <c r="X332" s="156">
        <v>0</v>
      </c>
      <c r="Y332" s="156">
        <v>0</v>
      </c>
      <c r="Z332" s="157" t="s">
        <v>1454</v>
      </c>
      <c r="AA332" s="158">
        <v>2021</v>
      </c>
      <c r="AB332" s="158">
        <v>8</v>
      </c>
      <c r="AC332" s="158">
        <v>6</v>
      </c>
      <c r="AD332" s="122" t="b">
        <f>IF(ISBLANK(GroupMember[[#This Row],[1. Identifiant interne d’exploitation agricole*]]),"",IF(ISERROR(MATCH(GroupMember[[#This Row],[1. Identifiant interne d’exploitation agricole*]],CertifiedCrop[1. Identifiant interne d’exploitation agricole*],0)),FALSE,TRUE))</f>
        <v>1</v>
      </c>
      <c r="AE332" s="122" t="b">
        <f>IF(ISBLANK(GroupMember[[#This Row],[1. Identifiant interne d’exploitation agricole*]]),"",IF(ISERROR(MATCH(GroupMember[[#This Row],[1. Identifiant interne d’exploitation agricole*]],FarmUnit[1. Identifiant interne d’exploitation agricole*],0)),FALSE,TRUE))</f>
        <v>1</v>
      </c>
      <c r="AF332" s="9" t="str">
        <f t="shared" si="15"/>
        <v>BAMBA  ARMED</v>
      </c>
      <c r="AG332" s="243" t="str">
        <f t="shared" si="16"/>
        <v>6/8/2021</v>
      </c>
      <c r="AH332" s="51">
        <f>COUNTIFS(Z:Z,Z332,AG:AG,AG332)</f>
        <v>4</v>
      </c>
      <c r="AI332" s="49">
        <f t="shared" si="17"/>
        <v>0</v>
      </c>
    </row>
    <row r="333" spans="1:35" ht="15" x14ac:dyDescent="0.2">
      <c r="A333" s="150" t="s">
        <v>1685</v>
      </c>
      <c r="B333" s="146" t="s">
        <v>668</v>
      </c>
      <c r="C333" s="150" t="s">
        <v>1685</v>
      </c>
      <c r="D333" s="184" t="s">
        <v>1501</v>
      </c>
      <c r="E333" s="146" t="s">
        <v>670</v>
      </c>
      <c r="F333" s="146" t="s">
        <v>671</v>
      </c>
      <c r="G333" s="146" t="s">
        <v>672</v>
      </c>
      <c r="H333" s="148">
        <v>1.54</v>
      </c>
      <c r="I333" s="146" t="s">
        <v>673</v>
      </c>
      <c r="J333" s="149">
        <v>1</v>
      </c>
      <c r="K333" s="150">
        <v>2021</v>
      </c>
      <c r="L333" s="151" t="s">
        <v>1587</v>
      </c>
      <c r="M333" s="151" t="s">
        <v>1686</v>
      </c>
      <c r="N333" s="172"/>
      <c r="O333" s="153"/>
      <c r="P333" s="154" t="s">
        <v>676</v>
      </c>
      <c r="Q333" s="154"/>
      <c r="R333" s="155">
        <v>5</v>
      </c>
      <c r="S333" s="168"/>
      <c r="T333" s="168"/>
      <c r="U333" s="146"/>
      <c r="V333" s="146"/>
      <c r="W333" s="146"/>
      <c r="X333" s="156">
        <v>0</v>
      </c>
      <c r="Y333" s="156">
        <v>0</v>
      </c>
      <c r="Z333" s="157" t="s">
        <v>1454</v>
      </c>
      <c r="AA333" s="158">
        <v>2021</v>
      </c>
      <c r="AB333" s="158">
        <v>7</v>
      </c>
      <c r="AC333" s="158">
        <v>31</v>
      </c>
      <c r="AD333" s="122" t="b">
        <f>IF(ISBLANK(GroupMember[[#This Row],[1. Identifiant interne d’exploitation agricole*]]),"",IF(ISERROR(MATCH(GroupMember[[#This Row],[1. Identifiant interne d’exploitation agricole*]],CertifiedCrop[1. Identifiant interne d’exploitation agricole*],0)),FALSE,TRUE))</f>
        <v>1</v>
      </c>
      <c r="AE333" s="122" t="b">
        <f>IF(ISBLANK(GroupMember[[#This Row],[1. Identifiant interne d’exploitation agricole*]]),"",IF(ISERROR(MATCH(GroupMember[[#This Row],[1. Identifiant interne d’exploitation agricole*]],FarmUnit[1. Identifiant interne d’exploitation agricole*],0)),FALSE,TRUE))</f>
        <v>1</v>
      </c>
      <c r="AF333" s="9" t="str">
        <f t="shared" si="15"/>
        <v>TONH PACOME</v>
      </c>
      <c r="AG333" s="243" t="str">
        <f t="shared" si="16"/>
        <v>31/7/2021</v>
      </c>
      <c r="AH333" s="51">
        <f>COUNTIFS(Z:Z,Z333,AG:AG,AG333)</f>
        <v>5</v>
      </c>
      <c r="AI333" s="49">
        <f t="shared" si="17"/>
        <v>0</v>
      </c>
    </row>
    <row r="334" spans="1:35" ht="15" x14ac:dyDescent="0.2">
      <c r="A334" s="150" t="s">
        <v>1687</v>
      </c>
      <c r="B334" s="146" t="s">
        <v>668</v>
      </c>
      <c r="C334" s="150" t="s">
        <v>1687</v>
      </c>
      <c r="D334" s="184" t="s">
        <v>1501</v>
      </c>
      <c r="E334" s="146" t="s">
        <v>670</v>
      </c>
      <c r="F334" s="146" t="s">
        <v>671</v>
      </c>
      <c r="G334" s="146" t="s">
        <v>672</v>
      </c>
      <c r="H334" s="148">
        <v>2.52</v>
      </c>
      <c r="I334" s="146" t="s">
        <v>673</v>
      </c>
      <c r="J334" s="149">
        <v>1</v>
      </c>
      <c r="K334" s="150">
        <v>2021</v>
      </c>
      <c r="L334" s="151" t="s">
        <v>1688</v>
      </c>
      <c r="M334" s="151" t="s">
        <v>1689</v>
      </c>
      <c r="N334" s="172" t="s">
        <v>1690</v>
      </c>
      <c r="O334" s="153" t="s">
        <v>1691</v>
      </c>
      <c r="P334" s="154" t="s">
        <v>676</v>
      </c>
      <c r="Q334" s="154">
        <v>1971</v>
      </c>
      <c r="R334" s="155">
        <v>7</v>
      </c>
      <c r="S334" s="168"/>
      <c r="T334" s="168"/>
      <c r="U334" s="146"/>
      <c r="V334" s="146"/>
      <c r="W334" s="146"/>
      <c r="X334" s="156">
        <v>0</v>
      </c>
      <c r="Y334" s="156">
        <v>0</v>
      </c>
      <c r="Z334" s="157" t="s">
        <v>1454</v>
      </c>
      <c r="AA334" s="158">
        <v>2021</v>
      </c>
      <c r="AB334" s="158">
        <v>8</v>
      </c>
      <c r="AC334" s="158">
        <v>4</v>
      </c>
      <c r="AD334" s="122" t="b">
        <f>IF(ISBLANK(GroupMember[[#This Row],[1. Identifiant interne d’exploitation agricole*]]),"",IF(ISERROR(MATCH(GroupMember[[#This Row],[1. Identifiant interne d’exploitation agricole*]],CertifiedCrop[1. Identifiant interne d’exploitation agricole*],0)),FALSE,TRUE))</f>
        <v>1</v>
      </c>
      <c r="AE334" s="122" t="b">
        <f>IF(ISBLANK(GroupMember[[#This Row],[1. Identifiant interne d’exploitation agricole*]]),"",IF(ISERROR(MATCH(GroupMember[[#This Row],[1. Identifiant interne d’exploitation agricole*]],FarmUnit[1. Identifiant interne d’exploitation agricole*],0)),FALSE,TRUE))</f>
        <v>1</v>
      </c>
      <c r="AF334" s="9" t="str">
        <f t="shared" si="15"/>
        <v>ZEA  GOUANDA C.</v>
      </c>
      <c r="AG334" s="243" t="str">
        <f t="shared" si="16"/>
        <v>4/8/2021</v>
      </c>
      <c r="AH334" s="51">
        <f>COUNTIFS(Z:Z,Z334,AG:AG,AG334)</f>
        <v>4</v>
      </c>
      <c r="AI334" s="49">
        <f t="shared" si="17"/>
        <v>0</v>
      </c>
    </row>
    <row r="335" spans="1:35" ht="15" x14ac:dyDescent="0.2">
      <c r="A335" s="150" t="s">
        <v>1692</v>
      </c>
      <c r="B335" s="146" t="s">
        <v>668</v>
      </c>
      <c r="C335" s="150" t="s">
        <v>1692</v>
      </c>
      <c r="D335" s="184" t="s">
        <v>1501</v>
      </c>
      <c r="E335" s="146" t="s">
        <v>670</v>
      </c>
      <c r="F335" s="146" t="s">
        <v>671</v>
      </c>
      <c r="G335" s="146" t="s">
        <v>672</v>
      </c>
      <c r="H335" s="148">
        <v>0.81</v>
      </c>
      <c r="I335" s="146" t="s">
        <v>673</v>
      </c>
      <c r="J335" s="149">
        <v>1</v>
      </c>
      <c r="K335" s="150">
        <v>2021</v>
      </c>
      <c r="L335" s="151" t="s">
        <v>1688</v>
      </c>
      <c r="M335" s="151" t="s">
        <v>1693</v>
      </c>
      <c r="N335" s="152" t="s">
        <v>1694</v>
      </c>
      <c r="O335" s="153" t="s">
        <v>1695</v>
      </c>
      <c r="P335" s="154" t="s">
        <v>676</v>
      </c>
      <c r="Q335" s="154">
        <v>1980</v>
      </c>
      <c r="R335" s="155">
        <v>5</v>
      </c>
      <c r="S335" s="168"/>
      <c r="T335" s="168"/>
      <c r="U335" s="146"/>
      <c r="V335" s="146"/>
      <c r="W335" s="146"/>
      <c r="X335" s="156">
        <v>0</v>
      </c>
      <c r="Y335" s="156">
        <v>0</v>
      </c>
      <c r="Z335" s="157" t="s">
        <v>1454</v>
      </c>
      <c r="AA335" s="158">
        <v>2021</v>
      </c>
      <c r="AB335" s="158">
        <v>8</v>
      </c>
      <c r="AC335" s="158">
        <v>6</v>
      </c>
      <c r="AD335" s="122" t="b">
        <f>IF(ISBLANK(GroupMember[[#This Row],[1. Identifiant interne d’exploitation agricole*]]),"",IF(ISERROR(MATCH(GroupMember[[#This Row],[1. Identifiant interne d’exploitation agricole*]],CertifiedCrop[1. Identifiant interne d’exploitation agricole*],0)),FALSE,TRUE))</f>
        <v>1</v>
      </c>
      <c r="AE335" s="122" t="b">
        <f>IF(ISBLANK(GroupMember[[#This Row],[1. Identifiant interne d’exploitation agricole*]]),"",IF(ISERROR(MATCH(GroupMember[[#This Row],[1. Identifiant interne d’exploitation agricole*]],FarmUnit[1. Identifiant interne d’exploitation agricole*],0)),FALSE,TRUE))</f>
        <v>1</v>
      </c>
      <c r="AF335" s="9" t="str">
        <f t="shared" si="15"/>
        <v>ZEA  KEVIN</v>
      </c>
      <c r="AG335" s="243" t="str">
        <f t="shared" si="16"/>
        <v>6/8/2021</v>
      </c>
      <c r="AH335" s="51">
        <f>COUNTIFS(Z:Z,Z335,AG:AG,AG335)</f>
        <v>4</v>
      </c>
      <c r="AI335" s="49">
        <f t="shared" si="17"/>
        <v>0</v>
      </c>
    </row>
    <row r="336" spans="1:35" ht="15" x14ac:dyDescent="0.2">
      <c r="A336" s="150" t="s">
        <v>1696</v>
      </c>
      <c r="B336" s="146" t="s">
        <v>668</v>
      </c>
      <c r="C336" s="150" t="s">
        <v>1696</v>
      </c>
      <c r="D336" s="184" t="s">
        <v>1501</v>
      </c>
      <c r="E336" s="146" t="s">
        <v>670</v>
      </c>
      <c r="F336" s="146" t="s">
        <v>671</v>
      </c>
      <c r="G336" s="146" t="s">
        <v>672</v>
      </c>
      <c r="H336" s="148">
        <v>1.4</v>
      </c>
      <c r="I336" s="146" t="s">
        <v>673</v>
      </c>
      <c r="J336" s="149">
        <v>1</v>
      </c>
      <c r="K336" s="150">
        <v>2021</v>
      </c>
      <c r="L336" s="151" t="s">
        <v>1697</v>
      </c>
      <c r="M336" s="151" t="s">
        <v>1698</v>
      </c>
      <c r="N336" s="172"/>
      <c r="O336" s="153"/>
      <c r="P336" s="154" t="s">
        <v>676</v>
      </c>
      <c r="Q336" s="154"/>
      <c r="R336" s="155">
        <v>4</v>
      </c>
      <c r="S336" s="168"/>
      <c r="T336" s="168"/>
      <c r="U336" s="146"/>
      <c r="V336" s="146"/>
      <c r="W336" s="146"/>
      <c r="X336" s="156">
        <v>0</v>
      </c>
      <c r="Y336" s="156">
        <v>0</v>
      </c>
      <c r="Z336" s="157" t="s">
        <v>1454</v>
      </c>
      <c r="AA336" s="158">
        <v>2021</v>
      </c>
      <c r="AB336" s="158">
        <v>7</v>
      </c>
      <c r="AC336" s="158">
        <v>31</v>
      </c>
      <c r="AD336" s="122" t="b">
        <f>IF(ISBLANK(GroupMember[[#This Row],[1. Identifiant interne d’exploitation agricole*]]),"",IF(ISERROR(MATCH(GroupMember[[#This Row],[1. Identifiant interne d’exploitation agricole*]],CertifiedCrop[1. Identifiant interne d’exploitation agricole*],0)),FALSE,TRUE))</f>
        <v>1</v>
      </c>
      <c r="AE336" s="122" t="b">
        <f>IF(ISBLANK(GroupMember[[#This Row],[1. Identifiant interne d’exploitation agricole*]]),"",IF(ISERROR(MATCH(GroupMember[[#This Row],[1. Identifiant interne d’exploitation agricole*]],FarmUnit[1. Identifiant interne d’exploitation agricole*],0)),FALSE,TRUE))</f>
        <v>1</v>
      </c>
      <c r="AF336" s="9" t="str">
        <f t="shared" si="15"/>
        <v>IBOUDO  MORO</v>
      </c>
      <c r="AG336" s="243" t="str">
        <f t="shared" si="16"/>
        <v>31/7/2021</v>
      </c>
      <c r="AH336" s="51">
        <f>COUNTIFS(Z:Z,Z336,AG:AG,AG336)</f>
        <v>5</v>
      </c>
      <c r="AI336" s="49">
        <f t="shared" si="17"/>
        <v>0</v>
      </c>
    </row>
    <row r="337" spans="1:35" ht="15" x14ac:dyDescent="0.2">
      <c r="A337" s="150" t="s">
        <v>1699</v>
      </c>
      <c r="B337" s="146" t="s">
        <v>668</v>
      </c>
      <c r="C337" s="150" t="s">
        <v>1699</v>
      </c>
      <c r="D337" s="184" t="s">
        <v>1501</v>
      </c>
      <c r="E337" s="146" t="s">
        <v>670</v>
      </c>
      <c r="F337" s="146" t="s">
        <v>671</v>
      </c>
      <c r="G337" s="146" t="s">
        <v>672</v>
      </c>
      <c r="H337" s="148">
        <v>1.69</v>
      </c>
      <c r="I337" s="146" t="s">
        <v>673</v>
      </c>
      <c r="J337" s="149">
        <v>1</v>
      </c>
      <c r="K337" s="150">
        <v>2021</v>
      </c>
      <c r="L337" s="151" t="s">
        <v>1700</v>
      </c>
      <c r="M337" s="151" t="s">
        <v>1701</v>
      </c>
      <c r="N337" s="172"/>
      <c r="O337" s="153"/>
      <c r="P337" s="154" t="s">
        <v>676</v>
      </c>
      <c r="Q337" s="154"/>
      <c r="R337" s="155">
        <v>6</v>
      </c>
      <c r="S337" s="168"/>
      <c r="T337" s="168"/>
      <c r="U337" s="146"/>
      <c r="V337" s="146"/>
      <c r="W337" s="146"/>
      <c r="X337" s="156">
        <v>0</v>
      </c>
      <c r="Y337" s="156">
        <v>0</v>
      </c>
      <c r="Z337" s="157" t="s">
        <v>1454</v>
      </c>
      <c r="AA337" s="158">
        <v>2021</v>
      </c>
      <c r="AB337" s="158">
        <v>7</v>
      </c>
      <c r="AC337" s="158">
        <v>5</v>
      </c>
      <c r="AD337" s="122" t="b">
        <f>IF(ISBLANK(GroupMember[[#This Row],[1. Identifiant interne d’exploitation agricole*]]),"",IF(ISERROR(MATCH(GroupMember[[#This Row],[1. Identifiant interne d’exploitation agricole*]],CertifiedCrop[1. Identifiant interne d’exploitation agricole*],0)),FALSE,TRUE))</f>
        <v>1</v>
      </c>
      <c r="AE337" s="122" t="b">
        <f>IF(ISBLANK(GroupMember[[#This Row],[1. Identifiant interne d’exploitation agricole*]]),"",IF(ISERROR(MATCH(GroupMember[[#This Row],[1. Identifiant interne d’exploitation agricole*]],FarmUnit[1. Identifiant interne d’exploitation agricole*],0)),FALSE,TRUE))</f>
        <v>1</v>
      </c>
      <c r="AF337" s="9" t="str">
        <f t="shared" si="15"/>
        <v>NANA  VICTOR</v>
      </c>
      <c r="AG337" s="243" t="str">
        <f t="shared" si="16"/>
        <v>5/7/2021</v>
      </c>
      <c r="AH337" s="51">
        <f>COUNTIFS(Z:Z,Z337,AG:AG,AG337)</f>
        <v>4</v>
      </c>
      <c r="AI337" s="49">
        <f t="shared" si="17"/>
        <v>0</v>
      </c>
    </row>
    <row r="338" spans="1:35" ht="15" x14ac:dyDescent="0.2">
      <c r="A338" s="150" t="s">
        <v>1702</v>
      </c>
      <c r="B338" s="146" t="s">
        <v>668</v>
      </c>
      <c r="C338" s="150" t="s">
        <v>1702</v>
      </c>
      <c r="D338" s="184" t="s">
        <v>1501</v>
      </c>
      <c r="E338" s="146" t="s">
        <v>670</v>
      </c>
      <c r="F338" s="146" t="s">
        <v>671</v>
      </c>
      <c r="G338" s="146" t="s">
        <v>672</v>
      </c>
      <c r="H338" s="148">
        <v>0.97</v>
      </c>
      <c r="I338" s="146" t="s">
        <v>673</v>
      </c>
      <c r="J338" s="149">
        <v>1</v>
      </c>
      <c r="K338" s="150">
        <v>2021</v>
      </c>
      <c r="L338" s="151" t="s">
        <v>1446</v>
      </c>
      <c r="M338" s="151" t="s">
        <v>1703</v>
      </c>
      <c r="N338" s="172" t="s">
        <v>1704</v>
      </c>
      <c r="O338" s="153"/>
      <c r="P338" s="154" t="s">
        <v>676</v>
      </c>
      <c r="Q338" s="154"/>
      <c r="R338" s="155">
        <v>5</v>
      </c>
      <c r="S338" s="168"/>
      <c r="T338" s="168"/>
      <c r="U338" s="146"/>
      <c r="V338" s="146"/>
      <c r="W338" s="146"/>
      <c r="X338" s="156">
        <v>0</v>
      </c>
      <c r="Y338" s="156">
        <v>0</v>
      </c>
      <c r="Z338" s="157" t="s">
        <v>1454</v>
      </c>
      <c r="AA338" s="158">
        <v>2021</v>
      </c>
      <c r="AB338" s="158">
        <v>7</v>
      </c>
      <c r="AC338" s="158">
        <v>2</v>
      </c>
      <c r="AD338" s="122" t="b">
        <f>IF(ISBLANK(GroupMember[[#This Row],[1. Identifiant interne d’exploitation agricole*]]),"",IF(ISERROR(MATCH(GroupMember[[#This Row],[1. Identifiant interne d’exploitation agricole*]],CertifiedCrop[1. Identifiant interne d’exploitation agricole*],0)),FALSE,TRUE))</f>
        <v>1</v>
      </c>
      <c r="AE338" s="122" t="b">
        <f>IF(ISBLANK(GroupMember[[#This Row],[1. Identifiant interne d’exploitation agricole*]]),"",IF(ISERROR(MATCH(GroupMember[[#This Row],[1. Identifiant interne d’exploitation agricole*]],FarmUnit[1. Identifiant interne d’exploitation agricole*],0)),FALSE,TRUE))</f>
        <v>1</v>
      </c>
      <c r="AF338" s="9" t="str">
        <f t="shared" si="15"/>
        <v>SIMPORE  PAUL II</v>
      </c>
      <c r="AG338" s="243" t="str">
        <f t="shared" si="16"/>
        <v>2/7/2021</v>
      </c>
      <c r="AH338" s="51">
        <f>COUNTIFS(Z:Z,Z338,AG:AG,AG338)</f>
        <v>4</v>
      </c>
      <c r="AI338" s="49">
        <f t="shared" si="17"/>
        <v>0</v>
      </c>
    </row>
    <row r="339" spans="1:35" ht="15" x14ac:dyDescent="0.2">
      <c r="A339" s="150" t="s">
        <v>1705</v>
      </c>
      <c r="B339" s="146" t="s">
        <v>668</v>
      </c>
      <c r="C339" s="150" t="s">
        <v>1705</v>
      </c>
      <c r="D339" s="184" t="s">
        <v>1501</v>
      </c>
      <c r="E339" s="146" t="s">
        <v>670</v>
      </c>
      <c r="F339" s="146" t="s">
        <v>671</v>
      </c>
      <c r="G339" s="146" t="s">
        <v>672</v>
      </c>
      <c r="H339" s="148">
        <v>2.66</v>
      </c>
      <c r="I339" s="146" t="s">
        <v>673</v>
      </c>
      <c r="J339" s="149">
        <v>1</v>
      </c>
      <c r="K339" s="150">
        <v>2021</v>
      </c>
      <c r="L339" s="151" t="s">
        <v>1446</v>
      </c>
      <c r="M339" s="151" t="s">
        <v>1151</v>
      </c>
      <c r="N339" s="172" t="s">
        <v>1706</v>
      </c>
      <c r="O339" s="153"/>
      <c r="P339" s="154" t="s">
        <v>676</v>
      </c>
      <c r="Q339" s="154"/>
      <c r="R339" s="171">
        <v>7</v>
      </c>
      <c r="S339" s="168"/>
      <c r="T339" s="168"/>
      <c r="U339" s="146"/>
      <c r="V339" s="146"/>
      <c r="W339" s="146"/>
      <c r="X339" s="156">
        <v>0</v>
      </c>
      <c r="Y339" s="156">
        <v>0</v>
      </c>
      <c r="Z339" s="157" t="s">
        <v>1454</v>
      </c>
      <c r="AA339" s="158">
        <v>2021</v>
      </c>
      <c r="AB339" s="158">
        <v>7</v>
      </c>
      <c r="AC339" s="158">
        <v>15</v>
      </c>
      <c r="AD339" s="122" t="b">
        <f>IF(ISBLANK(GroupMember[[#This Row],[1. Identifiant interne d’exploitation agricole*]]),"",IF(ISERROR(MATCH(GroupMember[[#This Row],[1. Identifiant interne d’exploitation agricole*]],CertifiedCrop[1. Identifiant interne d’exploitation agricole*],0)),FALSE,TRUE))</f>
        <v>1</v>
      </c>
      <c r="AE339" s="122" t="b">
        <f>IF(ISBLANK(GroupMember[[#This Row],[1. Identifiant interne d’exploitation agricole*]]),"",IF(ISERROR(MATCH(GroupMember[[#This Row],[1. Identifiant interne d’exploitation agricole*]],FarmUnit[1. Identifiant interne d’exploitation agricole*],0)),FALSE,TRUE))</f>
        <v>1</v>
      </c>
      <c r="AF339" s="9" t="str">
        <f t="shared" si="15"/>
        <v>SIMPORE  ETIENNE</v>
      </c>
      <c r="AG339" s="243" t="str">
        <f t="shared" si="16"/>
        <v>15/7/2021</v>
      </c>
      <c r="AH339" s="51">
        <f>COUNTIFS(Z:Z,Z339,AG:AG,AG339)</f>
        <v>4</v>
      </c>
      <c r="AI339" s="49">
        <f t="shared" si="17"/>
        <v>0</v>
      </c>
    </row>
    <row r="340" spans="1:35" ht="15" x14ac:dyDescent="0.2">
      <c r="A340" s="150" t="s">
        <v>1707</v>
      </c>
      <c r="B340" s="146" t="s">
        <v>668</v>
      </c>
      <c r="C340" s="150" t="s">
        <v>1707</v>
      </c>
      <c r="D340" s="184" t="s">
        <v>1501</v>
      </c>
      <c r="E340" s="146" t="s">
        <v>670</v>
      </c>
      <c r="F340" s="146" t="s">
        <v>671</v>
      </c>
      <c r="G340" s="146" t="s">
        <v>672</v>
      </c>
      <c r="H340" s="148">
        <v>1.0900000000000001</v>
      </c>
      <c r="I340" s="146" t="s">
        <v>673</v>
      </c>
      <c r="J340" s="149">
        <v>1</v>
      </c>
      <c r="K340" s="150">
        <v>2021</v>
      </c>
      <c r="L340" s="151" t="s">
        <v>1446</v>
      </c>
      <c r="M340" s="151" t="s">
        <v>1708</v>
      </c>
      <c r="N340" s="172"/>
      <c r="O340" s="153"/>
      <c r="P340" s="154" t="s">
        <v>676</v>
      </c>
      <c r="Q340" s="154"/>
      <c r="R340" s="155">
        <v>6</v>
      </c>
      <c r="S340" s="168"/>
      <c r="T340" s="168"/>
      <c r="U340" s="146"/>
      <c r="V340" s="146"/>
      <c r="W340" s="146"/>
      <c r="X340" s="156">
        <v>0</v>
      </c>
      <c r="Y340" s="156">
        <v>0</v>
      </c>
      <c r="Z340" s="157" t="s">
        <v>1454</v>
      </c>
      <c r="AA340" s="158">
        <v>2021</v>
      </c>
      <c r="AB340" s="158">
        <v>8</v>
      </c>
      <c r="AC340" s="158">
        <v>6</v>
      </c>
      <c r="AD340" s="122" t="b">
        <f>IF(ISBLANK(GroupMember[[#This Row],[1. Identifiant interne d’exploitation agricole*]]),"",IF(ISERROR(MATCH(GroupMember[[#This Row],[1. Identifiant interne d’exploitation agricole*]],CertifiedCrop[1. Identifiant interne d’exploitation agricole*],0)),FALSE,TRUE))</f>
        <v>1</v>
      </c>
      <c r="AE340" s="122" t="b">
        <f>IF(ISBLANK(GroupMember[[#This Row],[1. Identifiant interne d’exploitation agricole*]]),"",IF(ISERROR(MATCH(GroupMember[[#This Row],[1. Identifiant interne d’exploitation agricole*]],FarmUnit[1. Identifiant interne d’exploitation agricole*],0)),FALSE,TRUE))</f>
        <v>1</v>
      </c>
      <c r="AF340" s="9" t="str">
        <f t="shared" si="15"/>
        <v>SIMPORE  VINCENT</v>
      </c>
      <c r="AG340" s="243" t="str">
        <f t="shared" si="16"/>
        <v>6/8/2021</v>
      </c>
      <c r="AH340" s="51">
        <f>COUNTIFS(Z:Z,Z340,AG:AG,AG340)</f>
        <v>4</v>
      </c>
      <c r="AI340" s="49">
        <f t="shared" si="17"/>
        <v>0</v>
      </c>
    </row>
    <row r="341" spans="1:35" ht="15" x14ac:dyDescent="0.2">
      <c r="A341" s="150" t="s">
        <v>1709</v>
      </c>
      <c r="B341" s="146" t="s">
        <v>668</v>
      </c>
      <c r="C341" s="150" t="s">
        <v>1709</v>
      </c>
      <c r="D341" s="184" t="s">
        <v>1501</v>
      </c>
      <c r="E341" s="146" t="s">
        <v>670</v>
      </c>
      <c r="F341" s="146" t="s">
        <v>671</v>
      </c>
      <c r="G341" s="146" t="s">
        <v>672</v>
      </c>
      <c r="H341" s="148">
        <v>4.1900000000000004</v>
      </c>
      <c r="I341" s="146" t="s">
        <v>673</v>
      </c>
      <c r="J341" s="149">
        <v>1</v>
      </c>
      <c r="K341" s="150">
        <v>2021</v>
      </c>
      <c r="L341" s="178" t="s">
        <v>948</v>
      </c>
      <c r="M341" s="178" t="s">
        <v>1710</v>
      </c>
      <c r="N341" s="152" t="s">
        <v>1711</v>
      </c>
      <c r="O341" s="153"/>
      <c r="P341" s="154" t="s">
        <v>676</v>
      </c>
      <c r="Q341" s="154"/>
      <c r="R341" s="155">
        <v>7</v>
      </c>
      <c r="S341" s="168"/>
      <c r="T341" s="168"/>
      <c r="U341" s="146"/>
      <c r="V341" s="146"/>
      <c r="W341" s="146"/>
      <c r="X341" s="156">
        <v>0</v>
      </c>
      <c r="Y341" s="156">
        <v>0</v>
      </c>
      <c r="Z341" s="157" t="s">
        <v>1454</v>
      </c>
      <c r="AA341" s="158">
        <v>2021</v>
      </c>
      <c r="AB341" s="158">
        <v>8</v>
      </c>
      <c r="AC341" s="158">
        <v>9</v>
      </c>
      <c r="AD341" s="122" t="b">
        <f>IF(ISBLANK(GroupMember[[#This Row],[1. Identifiant interne d’exploitation agricole*]]),"",IF(ISERROR(MATCH(GroupMember[[#This Row],[1. Identifiant interne d’exploitation agricole*]],CertifiedCrop[1. Identifiant interne d’exploitation agricole*],0)),FALSE,TRUE))</f>
        <v>1</v>
      </c>
      <c r="AE341" s="122" t="b">
        <f>IF(ISBLANK(GroupMember[[#This Row],[1. Identifiant interne d’exploitation agricole*]]),"",IF(ISERROR(MATCH(GroupMember[[#This Row],[1. Identifiant interne d’exploitation agricole*]],FarmUnit[1. Identifiant interne d’exploitation agricole*],0)),FALSE,TRUE))</f>
        <v>1</v>
      </c>
      <c r="AF341" s="9" t="str">
        <f t="shared" si="15"/>
        <v>SAWADOGO  OUANGO</v>
      </c>
      <c r="AG341" s="243" t="str">
        <f t="shared" si="16"/>
        <v>9/8/2021</v>
      </c>
      <c r="AH341" s="51">
        <f>COUNTIFS(Z:Z,Z341,AG:AG,AG341)</f>
        <v>5</v>
      </c>
      <c r="AI341" s="49">
        <f t="shared" si="17"/>
        <v>0</v>
      </c>
    </row>
    <row r="342" spans="1:35" ht="15" x14ac:dyDescent="0.2">
      <c r="A342" s="150" t="s">
        <v>1712</v>
      </c>
      <c r="B342" s="146" t="s">
        <v>668</v>
      </c>
      <c r="C342" s="150" t="s">
        <v>1712</v>
      </c>
      <c r="D342" s="184" t="s">
        <v>1501</v>
      </c>
      <c r="E342" s="146" t="s">
        <v>670</v>
      </c>
      <c r="F342" s="146" t="s">
        <v>671</v>
      </c>
      <c r="G342" s="146" t="s">
        <v>672</v>
      </c>
      <c r="H342" s="148">
        <v>2</v>
      </c>
      <c r="I342" s="146" t="s">
        <v>673</v>
      </c>
      <c r="J342" s="149">
        <v>1</v>
      </c>
      <c r="K342" s="150">
        <v>2021</v>
      </c>
      <c r="L342" s="178" t="s">
        <v>786</v>
      </c>
      <c r="M342" s="178" t="s">
        <v>1713</v>
      </c>
      <c r="N342" s="152"/>
      <c r="O342" s="153" t="s">
        <v>1714</v>
      </c>
      <c r="P342" s="154" t="s">
        <v>676</v>
      </c>
      <c r="Q342" s="154">
        <v>1985</v>
      </c>
      <c r="R342" s="155">
        <v>4</v>
      </c>
      <c r="S342" s="168"/>
      <c r="T342" s="168"/>
      <c r="U342" s="146"/>
      <c r="V342" s="146"/>
      <c r="W342" s="146"/>
      <c r="X342" s="156">
        <v>0</v>
      </c>
      <c r="Y342" s="156">
        <v>0</v>
      </c>
      <c r="Z342" s="157" t="s">
        <v>1454</v>
      </c>
      <c r="AA342" s="158">
        <v>2021</v>
      </c>
      <c r="AB342" s="158">
        <v>8</v>
      </c>
      <c r="AC342" s="158">
        <v>9</v>
      </c>
      <c r="AD342" s="122" t="b">
        <f>IF(ISBLANK(GroupMember[[#This Row],[1. Identifiant interne d’exploitation agricole*]]),"",IF(ISERROR(MATCH(GroupMember[[#This Row],[1. Identifiant interne d’exploitation agricole*]],CertifiedCrop[1. Identifiant interne d’exploitation agricole*],0)),FALSE,TRUE))</f>
        <v>1</v>
      </c>
      <c r="AE342" s="122" t="b">
        <f>IF(ISBLANK(GroupMember[[#This Row],[1. Identifiant interne d’exploitation agricole*]]),"",IF(ISERROR(MATCH(GroupMember[[#This Row],[1. Identifiant interne d’exploitation agricole*]],FarmUnit[1. Identifiant interne d’exploitation agricole*],0)),FALSE,TRUE))</f>
        <v>1</v>
      </c>
      <c r="AF342" s="9" t="str">
        <f t="shared" si="15"/>
        <v>BIEU  KOUAHE SEH FULGENCE</v>
      </c>
      <c r="AG342" s="243" t="str">
        <f t="shared" si="16"/>
        <v>9/8/2021</v>
      </c>
      <c r="AH342" s="51">
        <f>COUNTIFS(Z:Z,Z342,AG:AG,AG342)</f>
        <v>5</v>
      </c>
      <c r="AI342" s="49">
        <f t="shared" si="17"/>
        <v>0</v>
      </c>
    </row>
    <row r="343" spans="1:35" ht="15" x14ac:dyDescent="0.2">
      <c r="A343" s="150" t="s">
        <v>1715</v>
      </c>
      <c r="B343" s="146" t="s">
        <v>668</v>
      </c>
      <c r="C343" s="150" t="s">
        <v>1715</v>
      </c>
      <c r="D343" s="189" t="s">
        <v>1716</v>
      </c>
      <c r="E343" s="146" t="s">
        <v>670</v>
      </c>
      <c r="F343" s="146" t="s">
        <v>671</v>
      </c>
      <c r="G343" s="146" t="s">
        <v>672</v>
      </c>
      <c r="H343" s="148">
        <v>0.91</v>
      </c>
      <c r="I343" s="146" t="s">
        <v>673</v>
      </c>
      <c r="J343" s="149">
        <v>1</v>
      </c>
      <c r="K343" s="150">
        <v>2021</v>
      </c>
      <c r="L343" s="178" t="s">
        <v>1717</v>
      </c>
      <c r="M343" s="178" t="s">
        <v>1718</v>
      </c>
      <c r="N343" s="152"/>
      <c r="O343" s="153"/>
      <c r="P343" s="154" t="s">
        <v>676</v>
      </c>
      <c r="Q343" s="154"/>
      <c r="R343" s="155">
        <v>8</v>
      </c>
      <c r="S343" s="168"/>
      <c r="T343" s="168"/>
      <c r="U343" s="146"/>
      <c r="V343" s="146"/>
      <c r="W343" s="146"/>
      <c r="X343" s="156">
        <v>0</v>
      </c>
      <c r="Y343" s="156">
        <v>0</v>
      </c>
      <c r="Z343" s="157" t="s">
        <v>1454</v>
      </c>
      <c r="AA343" s="158">
        <v>2021</v>
      </c>
      <c r="AB343" s="158">
        <v>7</v>
      </c>
      <c r="AC343" s="158">
        <v>7</v>
      </c>
      <c r="AD343" s="122" t="b">
        <f>IF(ISBLANK(GroupMember[[#This Row],[1. Identifiant interne d’exploitation agricole*]]),"",IF(ISERROR(MATCH(GroupMember[[#This Row],[1. Identifiant interne d’exploitation agricole*]],CertifiedCrop[1. Identifiant interne d’exploitation agricole*],0)),FALSE,TRUE))</f>
        <v>1</v>
      </c>
      <c r="AE343" s="122" t="b">
        <f>IF(ISBLANK(GroupMember[[#This Row],[1. Identifiant interne d’exploitation agricole*]]),"",IF(ISERROR(MATCH(GroupMember[[#This Row],[1. Identifiant interne d’exploitation agricole*]],FarmUnit[1. Identifiant interne d’exploitation agricole*],0)),FALSE,TRUE))</f>
        <v>1</v>
      </c>
      <c r="AF343" s="9" t="str">
        <f t="shared" si="15"/>
        <v>WELE  MAHAN ARSENE</v>
      </c>
      <c r="AG343" s="243" t="str">
        <f t="shared" si="16"/>
        <v>7/7/2021</v>
      </c>
      <c r="AH343" s="51">
        <f>COUNTIFS(Z:Z,Z343,AG:AG,AG343)</f>
        <v>4</v>
      </c>
      <c r="AI343" s="49">
        <f t="shared" si="17"/>
        <v>0</v>
      </c>
    </row>
    <row r="344" spans="1:35" ht="15" x14ac:dyDescent="0.2">
      <c r="A344" s="190" t="s">
        <v>1719</v>
      </c>
      <c r="B344" s="146" t="s">
        <v>668</v>
      </c>
      <c r="C344" s="190" t="s">
        <v>1719</v>
      </c>
      <c r="D344" s="189" t="s">
        <v>1716</v>
      </c>
      <c r="E344" s="146" t="s">
        <v>670</v>
      </c>
      <c r="F344" s="146" t="s">
        <v>671</v>
      </c>
      <c r="G344" s="146" t="s">
        <v>672</v>
      </c>
      <c r="H344" s="148">
        <v>15.77</v>
      </c>
      <c r="I344" s="146" t="s">
        <v>673</v>
      </c>
      <c r="J344" s="149">
        <v>1</v>
      </c>
      <c r="K344" s="150">
        <v>2021</v>
      </c>
      <c r="L344" s="151" t="s">
        <v>1363</v>
      </c>
      <c r="M344" s="151" t="s">
        <v>1720</v>
      </c>
      <c r="N344" s="152" t="s">
        <v>1721</v>
      </c>
      <c r="O344" s="153" t="s">
        <v>1722</v>
      </c>
      <c r="P344" s="154" t="s">
        <v>676</v>
      </c>
      <c r="Q344" s="154">
        <v>1990</v>
      </c>
      <c r="R344" s="155">
        <v>8</v>
      </c>
      <c r="S344" s="168"/>
      <c r="T344" s="168"/>
      <c r="U344" s="146"/>
      <c r="V344" s="146"/>
      <c r="W344" s="146"/>
      <c r="X344" s="156">
        <v>0</v>
      </c>
      <c r="Y344" s="156">
        <v>2</v>
      </c>
      <c r="Z344" s="157" t="s">
        <v>1454</v>
      </c>
      <c r="AA344" s="158">
        <v>2021</v>
      </c>
      <c r="AB344" s="158">
        <v>8</v>
      </c>
      <c r="AC344" s="158">
        <v>6</v>
      </c>
      <c r="AD344" s="122" t="b">
        <f>IF(ISBLANK(GroupMember[[#This Row],[1. Identifiant interne d’exploitation agricole*]]),"",IF(ISERROR(MATCH(GroupMember[[#This Row],[1. Identifiant interne d’exploitation agricole*]],CertifiedCrop[1. Identifiant interne d’exploitation agricole*],0)),FALSE,TRUE))</f>
        <v>1</v>
      </c>
      <c r="AE344" s="122" t="b">
        <f>IF(ISBLANK(GroupMember[[#This Row],[1. Identifiant interne d’exploitation agricole*]]),"",IF(ISERROR(MATCH(GroupMember[[#This Row],[1. Identifiant interne d’exploitation agricole*]],FarmUnit[1. Identifiant interne d’exploitation agricole*],0)),FALSE,TRUE))</f>
        <v>1</v>
      </c>
      <c r="AF344" s="9" t="str">
        <f t="shared" si="15"/>
        <v>OUMAROU  TRAORE 1</v>
      </c>
      <c r="AG344" s="243" t="str">
        <f t="shared" si="16"/>
        <v>6/8/2021</v>
      </c>
      <c r="AH344" s="51">
        <f>COUNTIFS(Z:Z,Z344,AG:AG,AG344)</f>
        <v>4</v>
      </c>
      <c r="AI344" s="49">
        <f t="shared" si="17"/>
        <v>0.16666666666666666</v>
      </c>
    </row>
    <row r="345" spans="1:35" ht="15" x14ac:dyDescent="0.2">
      <c r="A345" s="190" t="s">
        <v>1723</v>
      </c>
      <c r="B345" s="146" t="s">
        <v>668</v>
      </c>
      <c r="C345" s="190" t="s">
        <v>1723</v>
      </c>
      <c r="D345" s="189" t="s">
        <v>1716</v>
      </c>
      <c r="E345" s="146" t="s">
        <v>670</v>
      </c>
      <c r="F345" s="146" t="s">
        <v>671</v>
      </c>
      <c r="G345" s="146" t="s">
        <v>672</v>
      </c>
      <c r="H345" s="148">
        <v>2.59</v>
      </c>
      <c r="I345" s="146" t="s">
        <v>673</v>
      </c>
      <c r="J345" s="149">
        <v>1</v>
      </c>
      <c r="K345" s="150">
        <v>2021</v>
      </c>
      <c r="L345" s="151" t="s">
        <v>1193</v>
      </c>
      <c r="M345" s="151" t="s">
        <v>1724</v>
      </c>
      <c r="N345" s="172" t="s">
        <v>1725</v>
      </c>
      <c r="O345" s="153"/>
      <c r="P345" s="154" t="s">
        <v>676</v>
      </c>
      <c r="Q345" s="154"/>
      <c r="R345" s="155">
        <v>7</v>
      </c>
      <c r="S345" s="168"/>
      <c r="T345" s="168"/>
      <c r="U345" s="146"/>
      <c r="V345" s="146"/>
      <c r="W345" s="146"/>
      <c r="X345" s="156">
        <v>0</v>
      </c>
      <c r="Y345" s="156">
        <v>0</v>
      </c>
      <c r="Z345" s="157" t="s">
        <v>1454</v>
      </c>
      <c r="AA345" s="158">
        <v>2021</v>
      </c>
      <c r="AB345" s="158">
        <v>7</v>
      </c>
      <c r="AC345" s="158">
        <v>15</v>
      </c>
      <c r="AD345" s="122" t="b">
        <f>IF(ISBLANK(GroupMember[[#This Row],[1. Identifiant interne d’exploitation agricole*]]),"",IF(ISERROR(MATCH(GroupMember[[#This Row],[1. Identifiant interne d’exploitation agricole*]],CertifiedCrop[1. Identifiant interne d’exploitation agricole*],0)),FALSE,TRUE))</f>
        <v>1</v>
      </c>
      <c r="AE345" s="122" t="b">
        <f>IF(ISBLANK(GroupMember[[#This Row],[1. Identifiant interne d’exploitation agricole*]]),"",IF(ISERROR(MATCH(GroupMember[[#This Row],[1. Identifiant interne d’exploitation agricole*]],FarmUnit[1. Identifiant interne d’exploitation agricole*],0)),FALSE,TRUE))</f>
        <v>1</v>
      </c>
      <c r="AF345" s="9" t="str">
        <f t="shared" si="15"/>
        <v>DIOMANDE  LASSO</v>
      </c>
      <c r="AG345" s="243" t="str">
        <f t="shared" si="16"/>
        <v>15/7/2021</v>
      </c>
      <c r="AH345" s="51">
        <f>COUNTIFS(Z:Z,Z345,AG:AG,AG345)</f>
        <v>4</v>
      </c>
      <c r="AI345" s="49">
        <f t="shared" si="17"/>
        <v>0</v>
      </c>
    </row>
    <row r="346" spans="1:35" ht="15" x14ac:dyDescent="0.2">
      <c r="A346" s="190" t="s">
        <v>1726</v>
      </c>
      <c r="B346" s="146" t="s">
        <v>668</v>
      </c>
      <c r="C346" s="190" t="s">
        <v>1726</v>
      </c>
      <c r="D346" s="189" t="s">
        <v>1716</v>
      </c>
      <c r="E346" s="146" t="s">
        <v>670</v>
      </c>
      <c r="F346" s="146" t="s">
        <v>671</v>
      </c>
      <c r="G346" s="146" t="s">
        <v>672</v>
      </c>
      <c r="H346" s="148">
        <v>0.93</v>
      </c>
      <c r="I346" s="146" t="s">
        <v>673</v>
      </c>
      <c r="J346" s="149">
        <v>1</v>
      </c>
      <c r="K346" s="150">
        <v>2021</v>
      </c>
      <c r="L346" s="151" t="s">
        <v>1727</v>
      </c>
      <c r="M346" s="151" t="s">
        <v>1728</v>
      </c>
      <c r="N346" s="152"/>
      <c r="O346" s="153"/>
      <c r="P346" s="154" t="s">
        <v>676</v>
      </c>
      <c r="Q346" s="154"/>
      <c r="R346" s="155">
        <v>5</v>
      </c>
      <c r="S346" s="168"/>
      <c r="T346" s="168"/>
      <c r="U346" s="146"/>
      <c r="V346" s="146"/>
      <c r="W346" s="146"/>
      <c r="X346" s="156">
        <v>0</v>
      </c>
      <c r="Y346" s="156">
        <v>0</v>
      </c>
      <c r="Z346" s="157" t="s">
        <v>1454</v>
      </c>
      <c r="AA346" s="158">
        <v>2021</v>
      </c>
      <c r="AB346" s="158">
        <v>8</v>
      </c>
      <c r="AC346" s="158">
        <v>7</v>
      </c>
      <c r="AD346" s="122" t="b">
        <f>IF(ISBLANK(GroupMember[[#This Row],[1. Identifiant interne d’exploitation agricole*]]),"",IF(ISERROR(MATCH(GroupMember[[#This Row],[1. Identifiant interne d’exploitation agricole*]],CertifiedCrop[1. Identifiant interne d’exploitation agricole*],0)),FALSE,TRUE))</f>
        <v>1</v>
      </c>
      <c r="AE346" s="122" t="b">
        <f>IF(ISBLANK(GroupMember[[#This Row],[1. Identifiant interne d’exploitation agricole*]]),"",IF(ISERROR(MATCH(GroupMember[[#This Row],[1. Identifiant interne d’exploitation agricole*]],FarmUnit[1. Identifiant interne d’exploitation agricole*],0)),FALSE,TRUE))</f>
        <v>1</v>
      </c>
      <c r="AF346" s="9" t="str">
        <f t="shared" si="15"/>
        <v xml:space="preserve">DOSSO  MANGA </v>
      </c>
      <c r="AG346" s="243" t="str">
        <f t="shared" si="16"/>
        <v>7/8/2021</v>
      </c>
      <c r="AH346" s="51">
        <f>COUNTIFS(Z:Z,Z346,AG:AG,AG346)</f>
        <v>4</v>
      </c>
      <c r="AI346" s="49">
        <f t="shared" si="17"/>
        <v>0</v>
      </c>
    </row>
    <row r="347" spans="1:35" ht="17.25" x14ac:dyDescent="0.2">
      <c r="A347" s="190" t="s">
        <v>1729</v>
      </c>
      <c r="B347" s="146" t="s">
        <v>668</v>
      </c>
      <c r="C347" s="190" t="s">
        <v>1729</v>
      </c>
      <c r="D347" s="189" t="s">
        <v>1716</v>
      </c>
      <c r="E347" s="146" t="s">
        <v>670</v>
      </c>
      <c r="F347" s="146" t="s">
        <v>671</v>
      </c>
      <c r="G347" s="146" t="s">
        <v>672</v>
      </c>
      <c r="H347" s="148">
        <v>2.5</v>
      </c>
      <c r="I347" s="146" t="s">
        <v>673</v>
      </c>
      <c r="J347" s="149">
        <v>2</v>
      </c>
      <c r="K347" s="150">
        <v>2021</v>
      </c>
      <c r="L347" s="151" t="s">
        <v>1193</v>
      </c>
      <c r="M347" s="151" t="s">
        <v>1730</v>
      </c>
      <c r="N347" s="172"/>
      <c r="O347" s="153"/>
      <c r="P347" s="154" t="s">
        <v>676</v>
      </c>
      <c r="Q347" s="154"/>
      <c r="R347" s="155">
        <v>6</v>
      </c>
      <c r="S347" s="168"/>
      <c r="T347" s="168"/>
      <c r="U347" s="146"/>
      <c r="V347" s="146"/>
      <c r="W347" s="146"/>
      <c r="X347" s="156">
        <v>0</v>
      </c>
      <c r="Y347" s="156">
        <v>0</v>
      </c>
      <c r="Z347" s="157" t="s">
        <v>1454</v>
      </c>
      <c r="AA347" s="158">
        <v>2021</v>
      </c>
      <c r="AB347" s="158">
        <v>7</v>
      </c>
      <c r="AC347" s="158">
        <v>7</v>
      </c>
      <c r="AD347" s="122" t="b">
        <f>IF(ISBLANK(GroupMember[[#This Row],[1. Identifiant interne d’exploitation agricole*]]),"",IF(ISERROR(MATCH(GroupMember[[#This Row],[1. Identifiant interne d’exploitation agricole*]],CertifiedCrop[1. Identifiant interne d’exploitation agricole*],0)),FALSE,TRUE))</f>
        <v>1</v>
      </c>
      <c r="AE347" s="122" t="b">
        <f>IF(ISBLANK(GroupMember[[#This Row],[1. Identifiant interne d’exploitation agricole*]]),"",IF(ISERROR(MATCH(GroupMember[[#This Row],[1. Identifiant interne d’exploitation agricole*]],FarmUnit[1. Identifiant interne d’exploitation agricole*],0)),FALSE,TRUE))</f>
        <v>1</v>
      </c>
      <c r="AF347" s="9" t="str">
        <f t="shared" si="15"/>
        <v>DIOMANDE  AMELD</v>
      </c>
      <c r="AG347" s="243" t="str">
        <f t="shared" si="16"/>
        <v>7/7/2021</v>
      </c>
      <c r="AH347" s="51">
        <f>COUNTIFS(Z:Z,Z347,AG:AG,AG347)</f>
        <v>4</v>
      </c>
      <c r="AI347" s="49">
        <f t="shared" si="17"/>
        <v>0</v>
      </c>
    </row>
    <row r="348" spans="1:35" ht="15" x14ac:dyDescent="0.2">
      <c r="A348" s="190" t="s">
        <v>1731</v>
      </c>
      <c r="B348" s="146" t="s">
        <v>668</v>
      </c>
      <c r="C348" s="190" t="s">
        <v>1731</v>
      </c>
      <c r="D348" s="189" t="s">
        <v>1716</v>
      </c>
      <c r="E348" s="146" t="s">
        <v>670</v>
      </c>
      <c r="F348" s="146" t="s">
        <v>671</v>
      </c>
      <c r="G348" s="146" t="s">
        <v>672</v>
      </c>
      <c r="H348" s="148">
        <v>1.44</v>
      </c>
      <c r="I348" s="146" t="s">
        <v>673</v>
      </c>
      <c r="J348" s="149">
        <v>1</v>
      </c>
      <c r="K348" s="150">
        <v>2021</v>
      </c>
      <c r="L348" s="151" t="s">
        <v>939</v>
      </c>
      <c r="M348" s="151" t="s">
        <v>1732</v>
      </c>
      <c r="N348" s="152" t="s">
        <v>1733</v>
      </c>
      <c r="O348" s="153"/>
      <c r="P348" s="154" t="s">
        <v>676</v>
      </c>
      <c r="Q348" s="154"/>
      <c r="R348" s="155">
        <v>5</v>
      </c>
      <c r="S348" s="168"/>
      <c r="T348" s="168"/>
      <c r="U348" s="146"/>
      <c r="V348" s="146"/>
      <c r="W348" s="146"/>
      <c r="X348" s="156">
        <v>0</v>
      </c>
      <c r="Y348" s="156">
        <v>0</v>
      </c>
      <c r="Z348" s="157" t="s">
        <v>1454</v>
      </c>
      <c r="AA348" s="158">
        <v>2021</v>
      </c>
      <c r="AB348" s="158">
        <v>7</v>
      </c>
      <c r="AC348" s="158">
        <v>5</v>
      </c>
      <c r="AD348" s="122" t="b">
        <f>IF(ISBLANK(GroupMember[[#This Row],[1. Identifiant interne d’exploitation agricole*]]),"",IF(ISERROR(MATCH(GroupMember[[#This Row],[1. Identifiant interne d’exploitation agricole*]],CertifiedCrop[1. Identifiant interne d’exploitation agricole*],0)),FALSE,TRUE))</f>
        <v>1</v>
      </c>
      <c r="AE348" s="122" t="b">
        <f>IF(ISBLANK(GroupMember[[#This Row],[1. Identifiant interne d’exploitation agricole*]]),"",IF(ISERROR(MATCH(GroupMember[[#This Row],[1. Identifiant interne d’exploitation agricole*]],FarmUnit[1. Identifiant interne d’exploitation agricole*],0)),FALSE,TRUE))</f>
        <v>1</v>
      </c>
      <c r="AF348" s="9" t="str">
        <f t="shared" si="15"/>
        <v>SANOGO  YAYA</v>
      </c>
      <c r="AG348" s="243" t="str">
        <f t="shared" si="16"/>
        <v>5/7/2021</v>
      </c>
      <c r="AH348" s="51">
        <f>COUNTIFS(Z:Z,Z348,AG:AG,AG348)</f>
        <v>4</v>
      </c>
      <c r="AI348" s="49">
        <f t="shared" si="17"/>
        <v>0</v>
      </c>
    </row>
    <row r="349" spans="1:35" ht="15" x14ac:dyDescent="0.2">
      <c r="A349" s="190" t="s">
        <v>1734</v>
      </c>
      <c r="B349" s="146" t="s">
        <v>668</v>
      </c>
      <c r="C349" s="190" t="s">
        <v>1734</v>
      </c>
      <c r="D349" s="189" t="s">
        <v>1716</v>
      </c>
      <c r="E349" s="146" t="s">
        <v>670</v>
      </c>
      <c r="F349" s="146" t="s">
        <v>671</v>
      </c>
      <c r="G349" s="146" t="s">
        <v>672</v>
      </c>
      <c r="H349" s="148">
        <v>4.51</v>
      </c>
      <c r="I349" s="146" t="s">
        <v>673</v>
      </c>
      <c r="J349" s="149">
        <v>1</v>
      </c>
      <c r="K349" s="150">
        <v>2021</v>
      </c>
      <c r="L349" s="151" t="s">
        <v>1735</v>
      </c>
      <c r="M349" s="151" t="s">
        <v>1736</v>
      </c>
      <c r="N349" s="152" t="s">
        <v>1737</v>
      </c>
      <c r="O349" s="153"/>
      <c r="P349" s="154" t="s">
        <v>676</v>
      </c>
      <c r="Q349" s="154"/>
      <c r="R349" s="155">
        <v>8</v>
      </c>
      <c r="S349" s="168"/>
      <c r="T349" s="168"/>
      <c r="U349" s="146"/>
      <c r="V349" s="146"/>
      <c r="W349" s="146"/>
      <c r="X349" s="156">
        <v>0</v>
      </c>
      <c r="Y349" s="156">
        <v>0</v>
      </c>
      <c r="Z349" s="157" t="s">
        <v>1454</v>
      </c>
      <c r="AA349" s="158">
        <v>2021</v>
      </c>
      <c r="AB349" s="158">
        <v>7</v>
      </c>
      <c r="AC349" s="158">
        <v>2</v>
      </c>
      <c r="AD349" s="122" t="b">
        <f>IF(ISBLANK(GroupMember[[#This Row],[1. Identifiant interne d’exploitation agricole*]]),"",IF(ISERROR(MATCH(GroupMember[[#This Row],[1. Identifiant interne d’exploitation agricole*]],CertifiedCrop[1. Identifiant interne d’exploitation agricole*],0)),FALSE,TRUE))</f>
        <v>1</v>
      </c>
      <c r="AE349" s="122" t="b">
        <f>IF(ISBLANK(GroupMember[[#This Row],[1. Identifiant interne d’exploitation agricole*]]),"",IF(ISERROR(MATCH(GroupMember[[#This Row],[1. Identifiant interne d’exploitation agricole*]],FarmUnit[1. Identifiant interne d’exploitation agricole*],0)),FALSE,TRUE))</f>
        <v>1</v>
      </c>
      <c r="AF349" s="9" t="str">
        <f t="shared" si="15"/>
        <v>DIABATE  VAKOUSSE</v>
      </c>
      <c r="AG349" s="243" t="str">
        <f t="shared" si="16"/>
        <v>2/7/2021</v>
      </c>
      <c r="AH349" s="51">
        <f>COUNTIFS(Z:Z,Z349,AG:AG,AG349)</f>
        <v>4</v>
      </c>
      <c r="AI349" s="49">
        <f t="shared" si="17"/>
        <v>0</v>
      </c>
    </row>
    <row r="350" spans="1:35" ht="15" x14ac:dyDescent="0.2">
      <c r="A350" s="190" t="s">
        <v>1738</v>
      </c>
      <c r="B350" s="146" t="s">
        <v>668</v>
      </c>
      <c r="C350" s="190" t="s">
        <v>1738</v>
      </c>
      <c r="D350" s="189" t="s">
        <v>1716</v>
      </c>
      <c r="E350" s="146" t="s">
        <v>670</v>
      </c>
      <c r="F350" s="146" t="s">
        <v>671</v>
      </c>
      <c r="G350" s="146" t="s">
        <v>672</v>
      </c>
      <c r="H350" s="148">
        <v>4.84</v>
      </c>
      <c r="I350" s="146" t="s">
        <v>673</v>
      </c>
      <c r="J350" s="149">
        <v>1</v>
      </c>
      <c r="K350" s="150">
        <v>2021</v>
      </c>
      <c r="L350" s="151" t="s">
        <v>1193</v>
      </c>
      <c r="M350" s="151" t="s">
        <v>1739</v>
      </c>
      <c r="N350" s="160" t="s">
        <v>1740</v>
      </c>
      <c r="O350" s="153" t="s">
        <v>1741</v>
      </c>
      <c r="P350" s="154" t="s">
        <v>676</v>
      </c>
      <c r="Q350" s="154">
        <v>1972</v>
      </c>
      <c r="R350" s="155">
        <v>11</v>
      </c>
      <c r="S350" s="168"/>
      <c r="T350" s="168"/>
      <c r="U350" s="146"/>
      <c r="V350" s="146"/>
      <c r="W350" s="146"/>
      <c r="X350" s="156">
        <v>0</v>
      </c>
      <c r="Y350" s="156">
        <v>0</v>
      </c>
      <c r="Z350" s="157" t="s">
        <v>1454</v>
      </c>
      <c r="AA350" s="158">
        <v>2021</v>
      </c>
      <c r="AB350" s="158">
        <v>7</v>
      </c>
      <c r="AC350" s="158">
        <v>8</v>
      </c>
      <c r="AD350" s="122" t="b">
        <f>IF(ISBLANK(GroupMember[[#This Row],[1. Identifiant interne d’exploitation agricole*]]),"",IF(ISERROR(MATCH(GroupMember[[#This Row],[1. Identifiant interne d’exploitation agricole*]],CertifiedCrop[1. Identifiant interne d’exploitation agricole*],0)),FALSE,TRUE))</f>
        <v>1</v>
      </c>
      <c r="AE350" s="122" t="b">
        <f>IF(ISBLANK(GroupMember[[#This Row],[1. Identifiant interne d’exploitation agricole*]]),"",IF(ISERROR(MATCH(GroupMember[[#This Row],[1. Identifiant interne d’exploitation agricole*]],FarmUnit[1. Identifiant interne d’exploitation agricole*],0)),FALSE,TRUE))</f>
        <v>1</v>
      </c>
      <c r="AF350" s="9" t="str">
        <f t="shared" si="15"/>
        <v>DIOMANDE  YATIE</v>
      </c>
      <c r="AG350" s="243" t="str">
        <f t="shared" si="16"/>
        <v>8/7/2021</v>
      </c>
      <c r="AH350" s="51">
        <f>COUNTIFS(Z:Z,Z350,AG:AG,AG350)</f>
        <v>5</v>
      </c>
      <c r="AI350" s="49">
        <f t="shared" si="17"/>
        <v>0</v>
      </c>
    </row>
    <row r="351" spans="1:35" ht="15" x14ac:dyDescent="0.2">
      <c r="A351" s="190" t="s">
        <v>1742</v>
      </c>
      <c r="B351" s="146" t="s">
        <v>668</v>
      </c>
      <c r="C351" s="190" t="s">
        <v>1742</v>
      </c>
      <c r="D351" s="189" t="s">
        <v>1716</v>
      </c>
      <c r="E351" s="146" t="s">
        <v>670</v>
      </c>
      <c r="F351" s="146" t="s">
        <v>671</v>
      </c>
      <c r="G351" s="146" t="s">
        <v>672</v>
      </c>
      <c r="H351" s="148">
        <v>3</v>
      </c>
      <c r="I351" s="146" t="s">
        <v>673</v>
      </c>
      <c r="J351" s="149">
        <v>2</v>
      </c>
      <c r="K351" s="150">
        <v>2021</v>
      </c>
      <c r="L351" s="151" t="s">
        <v>765</v>
      </c>
      <c r="M351" s="151" t="s">
        <v>872</v>
      </c>
      <c r="N351" s="152" t="s">
        <v>1743</v>
      </c>
      <c r="O351" s="153" t="s">
        <v>1744</v>
      </c>
      <c r="P351" s="154" t="s">
        <v>676</v>
      </c>
      <c r="Q351" s="154">
        <v>1982</v>
      </c>
      <c r="R351" s="155">
        <v>8</v>
      </c>
      <c r="S351" s="168"/>
      <c r="T351" s="168"/>
      <c r="U351" s="146"/>
      <c r="V351" s="146"/>
      <c r="W351" s="146"/>
      <c r="X351" s="156">
        <v>0</v>
      </c>
      <c r="Y351" s="156">
        <v>0</v>
      </c>
      <c r="Z351" s="157" t="s">
        <v>1454</v>
      </c>
      <c r="AA351" s="158">
        <v>2021</v>
      </c>
      <c r="AB351" s="158">
        <v>7</v>
      </c>
      <c r="AC351" s="158">
        <v>15</v>
      </c>
      <c r="AD351" s="122" t="b">
        <f>IF(ISBLANK(GroupMember[[#This Row],[1. Identifiant interne d’exploitation agricole*]]),"",IF(ISERROR(MATCH(GroupMember[[#This Row],[1. Identifiant interne d’exploitation agricole*]],CertifiedCrop[1. Identifiant interne d’exploitation agricole*],0)),FALSE,TRUE))</f>
        <v>1</v>
      </c>
      <c r="AE351" s="122" t="b">
        <f>IF(ISBLANK(GroupMember[[#This Row],[1. Identifiant interne d’exploitation agricole*]]),"",IF(ISERROR(MATCH(GroupMember[[#This Row],[1. Identifiant interne d’exploitation agricole*]],FarmUnit[1. Identifiant interne d’exploitation agricole*],0)),FALSE,TRUE))</f>
        <v>1</v>
      </c>
      <c r="AF351" s="9" t="str">
        <f t="shared" si="15"/>
        <v>KONE  ADAMA</v>
      </c>
      <c r="AG351" s="243" t="str">
        <f t="shared" si="16"/>
        <v>15/7/2021</v>
      </c>
      <c r="AH351" s="51">
        <f>COUNTIFS(Z:Z,Z351,AG:AG,AG351)</f>
        <v>4</v>
      </c>
      <c r="AI351" s="49">
        <f t="shared" si="17"/>
        <v>0</v>
      </c>
    </row>
    <row r="352" spans="1:35" ht="15" x14ac:dyDescent="0.2">
      <c r="A352" s="190" t="s">
        <v>1745</v>
      </c>
      <c r="B352" s="146" t="s">
        <v>668</v>
      </c>
      <c r="C352" s="190" t="s">
        <v>1745</v>
      </c>
      <c r="D352" s="189" t="s">
        <v>1716</v>
      </c>
      <c r="E352" s="146" t="s">
        <v>670</v>
      </c>
      <c r="F352" s="146" t="s">
        <v>671</v>
      </c>
      <c r="G352" s="146" t="s">
        <v>672</v>
      </c>
      <c r="H352" s="148">
        <v>3</v>
      </c>
      <c r="I352" s="146" t="s">
        <v>673</v>
      </c>
      <c r="J352" s="149">
        <v>2</v>
      </c>
      <c r="K352" s="150">
        <v>2021</v>
      </c>
      <c r="L352" s="151" t="s">
        <v>765</v>
      </c>
      <c r="M352" s="151" t="s">
        <v>1079</v>
      </c>
      <c r="N352" s="172"/>
      <c r="O352" s="153"/>
      <c r="P352" s="154" t="s">
        <v>676</v>
      </c>
      <c r="Q352" s="154"/>
      <c r="R352" s="155">
        <v>6</v>
      </c>
      <c r="S352" s="168"/>
      <c r="T352" s="168"/>
      <c r="U352" s="146"/>
      <c r="V352" s="146"/>
      <c r="W352" s="146"/>
      <c r="X352" s="156">
        <v>0</v>
      </c>
      <c r="Y352" s="156">
        <v>0</v>
      </c>
      <c r="Z352" s="157" t="s">
        <v>1454</v>
      </c>
      <c r="AA352" s="158">
        <v>2021</v>
      </c>
      <c r="AB352" s="158">
        <v>8</v>
      </c>
      <c r="AC352" s="158">
        <v>7</v>
      </c>
      <c r="AD352" s="122" t="b">
        <f>IF(ISBLANK(GroupMember[[#This Row],[1. Identifiant interne d’exploitation agricole*]]),"",IF(ISERROR(MATCH(GroupMember[[#This Row],[1. Identifiant interne d’exploitation agricole*]],CertifiedCrop[1. Identifiant interne d’exploitation agricole*],0)),FALSE,TRUE))</f>
        <v>1</v>
      </c>
      <c r="AE352" s="122" t="b">
        <f>IF(ISBLANK(GroupMember[[#This Row],[1. Identifiant interne d’exploitation agricole*]]),"",IF(ISERROR(MATCH(GroupMember[[#This Row],[1. Identifiant interne d’exploitation agricole*]],FarmUnit[1. Identifiant interne d’exploitation agricole*],0)),FALSE,TRUE))</f>
        <v>1</v>
      </c>
      <c r="AF352" s="9" t="str">
        <f t="shared" si="15"/>
        <v>KONE  SOULEYMANE</v>
      </c>
      <c r="AG352" s="243" t="str">
        <f t="shared" si="16"/>
        <v>7/8/2021</v>
      </c>
      <c r="AH352" s="51">
        <f>COUNTIFS(Z:Z,Z352,AG:AG,AG352)</f>
        <v>4</v>
      </c>
      <c r="AI352" s="49">
        <f t="shared" si="17"/>
        <v>0</v>
      </c>
    </row>
    <row r="353" spans="1:35" ht="15" x14ac:dyDescent="0.2">
      <c r="A353" s="190" t="s">
        <v>1746</v>
      </c>
      <c r="B353" s="146" t="s">
        <v>668</v>
      </c>
      <c r="C353" s="190" t="s">
        <v>1746</v>
      </c>
      <c r="D353" s="189" t="s">
        <v>1716</v>
      </c>
      <c r="E353" s="146" t="s">
        <v>670</v>
      </c>
      <c r="F353" s="146" t="s">
        <v>671</v>
      </c>
      <c r="G353" s="146" t="s">
        <v>672</v>
      </c>
      <c r="H353" s="148">
        <v>3</v>
      </c>
      <c r="I353" s="146" t="s">
        <v>673</v>
      </c>
      <c r="J353" s="149">
        <v>1</v>
      </c>
      <c r="K353" s="150">
        <v>2021</v>
      </c>
      <c r="L353" s="151" t="s">
        <v>1747</v>
      </c>
      <c r="M353" s="151" t="s">
        <v>1748</v>
      </c>
      <c r="N353" s="172"/>
      <c r="O353" s="153" t="s">
        <v>1749</v>
      </c>
      <c r="P353" s="154" t="s">
        <v>676</v>
      </c>
      <c r="Q353" s="154">
        <v>1954</v>
      </c>
      <c r="R353" s="155">
        <v>5</v>
      </c>
      <c r="S353" s="168"/>
      <c r="T353" s="168"/>
      <c r="U353" s="146"/>
      <c r="V353" s="146"/>
      <c r="W353" s="146"/>
      <c r="X353" s="156">
        <v>0</v>
      </c>
      <c r="Y353" s="156">
        <v>0</v>
      </c>
      <c r="Z353" s="157" t="s">
        <v>1454</v>
      </c>
      <c r="AA353" s="158">
        <v>2021</v>
      </c>
      <c r="AB353" s="158">
        <v>8</v>
      </c>
      <c r="AC353" s="158">
        <v>5</v>
      </c>
      <c r="AD353" s="122" t="b">
        <f>IF(ISBLANK(GroupMember[[#This Row],[1. Identifiant interne d’exploitation agricole*]]),"",IF(ISERROR(MATCH(GroupMember[[#This Row],[1. Identifiant interne d’exploitation agricole*]],CertifiedCrop[1. Identifiant interne d’exploitation agricole*],0)),FALSE,TRUE))</f>
        <v>1</v>
      </c>
      <c r="AE353" s="122" t="b">
        <f>IF(ISBLANK(GroupMember[[#This Row],[1. Identifiant interne d’exploitation agricole*]]),"",IF(ISERROR(MATCH(GroupMember[[#This Row],[1. Identifiant interne d’exploitation agricole*]],FarmUnit[1. Identifiant interne d’exploitation agricole*],0)),FALSE,TRUE))</f>
        <v>1</v>
      </c>
      <c r="AF353" s="9" t="str">
        <f t="shared" si="15"/>
        <v>LOH GOUE ETTIENNE</v>
      </c>
      <c r="AG353" s="243" t="str">
        <f t="shared" si="16"/>
        <v>5/8/2021</v>
      </c>
      <c r="AH353" s="51">
        <f>COUNTIFS(Z:Z,Z353,AG:AG,AG353)</f>
        <v>5</v>
      </c>
      <c r="AI353" s="49">
        <f t="shared" si="17"/>
        <v>0</v>
      </c>
    </row>
    <row r="354" spans="1:35" ht="15" x14ac:dyDescent="0.2">
      <c r="A354" s="190" t="s">
        <v>1750</v>
      </c>
      <c r="B354" s="146" t="s">
        <v>668</v>
      </c>
      <c r="C354" s="190" t="s">
        <v>1750</v>
      </c>
      <c r="D354" s="189" t="s">
        <v>1716</v>
      </c>
      <c r="E354" s="146" t="s">
        <v>670</v>
      </c>
      <c r="F354" s="146" t="s">
        <v>671</v>
      </c>
      <c r="G354" s="146" t="s">
        <v>672</v>
      </c>
      <c r="H354" s="148">
        <v>1.1100000000000001</v>
      </c>
      <c r="I354" s="146" t="s">
        <v>673</v>
      </c>
      <c r="J354" s="149">
        <v>1</v>
      </c>
      <c r="K354" s="150">
        <v>2021</v>
      </c>
      <c r="L354" s="151" t="s">
        <v>1751</v>
      </c>
      <c r="M354" s="151" t="s">
        <v>1752</v>
      </c>
      <c r="N354" s="172"/>
      <c r="O354" s="153"/>
      <c r="P354" s="154" t="s">
        <v>676</v>
      </c>
      <c r="Q354" s="154"/>
      <c r="R354" s="155">
        <v>8</v>
      </c>
      <c r="S354" s="168"/>
      <c r="T354" s="168"/>
      <c r="U354" s="146"/>
      <c r="V354" s="146"/>
      <c r="W354" s="146"/>
      <c r="X354" s="156">
        <v>0</v>
      </c>
      <c r="Y354" s="156">
        <v>0</v>
      </c>
      <c r="Z354" s="157" t="s">
        <v>1454</v>
      </c>
      <c r="AA354" s="158">
        <v>2021</v>
      </c>
      <c r="AB354" s="158">
        <v>8</v>
      </c>
      <c r="AC354" s="158">
        <v>9</v>
      </c>
      <c r="AD354" s="122" t="b">
        <f>IF(ISBLANK(GroupMember[[#This Row],[1. Identifiant interne d’exploitation agricole*]]),"",IF(ISERROR(MATCH(GroupMember[[#This Row],[1. Identifiant interne d’exploitation agricole*]],CertifiedCrop[1. Identifiant interne d’exploitation agricole*],0)),FALSE,TRUE))</f>
        <v>1</v>
      </c>
      <c r="AE354" s="122" t="b">
        <f>IF(ISBLANK(GroupMember[[#This Row],[1. Identifiant interne d’exploitation agricole*]]),"",IF(ISERROR(MATCH(GroupMember[[#This Row],[1. Identifiant interne d’exploitation agricole*]],FarmUnit[1. Identifiant interne d’exploitation agricole*],0)),FALSE,TRUE))</f>
        <v>1</v>
      </c>
      <c r="AF354" s="9" t="str">
        <f t="shared" si="15"/>
        <v>GOHO  JOEL</v>
      </c>
      <c r="AG354" s="243" t="str">
        <f t="shared" si="16"/>
        <v>9/8/2021</v>
      </c>
      <c r="AH354" s="51">
        <f>COUNTIFS(Z:Z,Z354,AG:AG,AG354)</f>
        <v>5</v>
      </c>
      <c r="AI354" s="49">
        <f t="shared" si="17"/>
        <v>0</v>
      </c>
    </row>
    <row r="355" spans="1:35" ht="17.25" x14ac:dyDescent="0.2">
      <c r="A355" s="190" t="s">
        <v>1753</v>
      </c>
      <c r="B355" s="146" t="s">
        <v>668</v>
      </c>
      <c r="C355" s="190" t="s">
        <v>1753</v>
      </c>
      <c r="D355" s="189" t="s">
        <v>1716</v>
      </c>
      <c r="E355" s="146" t="s">
        <v>670</v>
      </c>
      <c r="F355" s="146" t="s">
        <v>671</v>
      </c>
      <c r="G355" s="146" t="s">
        <v>672</v>
      </c>
      <c r="H355" s="148">
        <v>1.06</v>
      </c>
      <c r="I355" s="146" t="s">
        <v>673</v>
      </c>
      <c r="J355" s="149">
        <v>1</v>
      </c>
      <c r="K355" s="150">
        <v>2021</v>
      </c>
      <c r="L355" s="151" t="s">
        <v>1754</v>
      </c>
      <c r="M355" s="151" t="s">
        <v>1755</v>
      </c>
      <c r="N355" s="172"/>
      <c r="O355" s="153"/>
      <c r="P355" s="154" t="s">
        <v>676</v>
      </c>
      <c r="Q355" s="154"/>
      <c r="R355" s="155">
        <v>7</v>
      </c>
      <c r="S355" s="168"/>
      <c r="T355" s="168"/>
      <c r="U355" s="146"/>
      <c r="V355" s="146"/>
      <c r="W355" s="146"/>
      <c r="X355" s="156">
        <v>0</v>
      </c>
      <c r="Y355" s="156">
        <v>0</v>
      </c>
      <c r="Z355" s="157" t="s">
        <v>1454</v>
      </c>
      <c r="AA355" s="158">
        <v>2021</v>
      </c>
      <c r="AB355" s="158">
        <v>8</v>
      </c>
      <c r="AC355" s="158">
        <v>5</v>
      </c>
      <c r="AD355" s="122" t="b">
        <f>IF(ISBLANK(GroupMember[[#This Row],[1. Identifiant interne d’exploitation agricole*]]),"",IF(ISERROR(MATCH(GroupMember[[#This Row],[1. Identifiant interne d’exploitation agricole*]],CertifiedCrop[1. Identifiant interne d’exploitation agricole*],0)),FALSE,TRUE))</f>
        <v>1</v>
      </c>
      <c r="AE355" s="122" t="b">
        <f>IF(ISBLANK(GroupMember[[#This Row],[1. Identifiant interne d’exploitation agricole*]]),"",IF(ISERROR(MATCH(GroupMember[[#This Row],[1. Identifiant interne d’exploitation agricole*]],FarmUnit[1. Identifiant interne d’exploitation agricole*],0)),FALSE,TRUE))</f>
        <v>1</v>
      </c>
      <c r="AF355" s="9" t="str">
        <f t="shared" si="15"/>
        <v>SADIA  GOHO FABRICE</v>
      </c>
      <c r="AG355" s="243" t="str">
        <f t="shared" si="16"/>
        <v>5/8/2021</v>
      </c>
      <c r="AH355" s="51">
        <f>COUNTIFS(Z:Z,Z355,AG:AG,AG355)</f>
        <v>5</v>
      </c>
      <c r="AI355" s="49">
        <f t="shared" si="17"/>
        <v>0</v>
      </c>
    </row>
    <row r="356" spans="1:35" ht="15" x14ac:dyDescent="0.2">
      <c r="A356" s="190" t="s">
        <v>1756</v>
      </c>
      <c r="B356" s="146" t="s">
        <v>668</v>
      </c>
      <c r="C356" s="190" t="s">
        <v>1756</v>
      </c>
      <c r="D356" s="189" t="s">
        <v>1716</v>
      </c>
      <c r="E356" s="146" t="s">
        <v>670</v>
      </c>
      <c r="F356" s="146" t="s">
        <v>671</v>
      </c>
      <c r="G356" s="146" t="s">
        <v>672</v>
      </c>
      <c r="H356" s="148">
        <v>1.79</v>
      </c>
      <c r="I356" s="146" t="s">
        <v>673</v>
      </c>
      <c r="J356" s="149">
        <v>1</v>
      </c>
      <c r="K356" s="150">
        <v>2021</v>
      </c>
      <c r="L356" s="151" t="s">
        <v>1757</v>
      </c>
      <c r="M356" s="151" t="s">
        <v>1469</v>
      </c>
      <c r="N356" s="172" t="s">
        <v>1758</v>
      </c>
      <c r="O356" s="153"/>
      <c r="P356" s="154" t="s">
        <v>676</v>
      </c>
      <c r="Q356" s="154"/>
      <c r="R356" s="155">
        <v>7</v>
      </c>
      <c r="S356" s="168"/>
      <c r="T356" s="168"/>
      <c r="U356" s="146"/>
      <c r="V356" s="146"/>
      <c r="W356" s="146"/>
      <c r="X356" s="156">
        <v>0</v>
      </c>
      <c r="Y356" s="156">
        <v>0</v>
      </c>
      <c r="Z356" s="157" t="s">
        <v>1454</v>
      </c>
      <c r="AA356" s="158">
        <v>2021</v>
      </c>
      <c r="AB356" s="158">
        <v>8</v>
      </c>
      <c r="AC356" s="158">
        <v>7</v>
      </c>
      <c r="AD356" s="122" t="b">
        <f>IF(ISBLANK(GroupMember[[#This Row],[1. Identifiant interne d’exploitation agricole*]]),"",IF(ISERROR(MATCH(GroupMember[[#This Row],[1. Identifiant interne d’exploitation agricole*]],CertifiedCrop[1. Identifiant interne d’exploitation agricole*],0)),FALSE,TRUE))</f>
        <v>1</v>
      </c>
      <c r="AE356" s="122" t="b">
        <f>IF(ISBLANK(GroupMember[[#This Row],[1. Identifiant interne d’exploitation agricole*]]),"",IF(ISERROR(MATCH(GroupMember[[#This Row],[1. Identifiant interne d’exploitation agricole*]],FarmUnit[1. Identifiant interne d’exploitation agricole*],0)),FALSE,TRUE))</f>
        <v>1</v>
      </c>
      <c r="AF356" s="9" t="str">
        <f t="shared" si="15"/>
        <v>DONANIGUI  FULGENCE</v>
      </c>
      <c r="AG356" s="243" t="str">
        <f t="shared" si="16"/>
        <v>7/8/2021</v>
      </c>
      <c r="AH356" s="51">
        <f>COUNTIFS(Z:Z,Z356,AG:AG,AG356)</f>
        <v>4</v>
      </c>
      <c r="AI356" s="49">
        <f t="shared" si="17"/>
        <v>0</v>
      </c>
    </row>
    <row r="357" spans="1:35" ht="15" x14ac:dyDescent="0.2">
      <c r="A357" s="190" t="s">
        <v>1759</v>
      </c>
      <c r="B357" s="146" t="s">
        <v>668</v>
      </c>
      <c r="C357" s="190" t="s">
        <v>1759</v>
      </c>
      <c r="D357" s="189" t="s">
        <v>1716</v>
      </c>
      <c r="E357" s="146" t="s">
        <v>670</v>
      </c>
      <c r="F357" s="146" t="s">
        <v>671</v>
      </c>
      <c r="G357" s="146" t="s">
        <v>672</v>
      </c>
      <c r="H357" s="148">
        <v>7</v>
      </c>
      <c r="I357" s="146" t="s">
        <v>673</v>
      </c>
      <c r="J357" s="149">
        <v>2</v>
      </c>
      <c r="K357" s="150">
        <v>2021</v>
      </c>
      <c r="L357" s="151" t="s">
        <v>1193</v>
      </c>
      <c r="M357" s="151" t="s">
        <v>1400</v>
      </c>
      <c r="N357" s="172" t="s">
        <v>1760</v>
      </c>
      <c r="O357" s="153" t="s">
        <v>1761</v>
      </c>
      <c r="P357" s="154" t="s">
        <v>676</v>
      </c>
      <c r="Q357" s="154">
        <v>1974</v>
      </c>
      <c r="R357" s="155">
        <v>6</v>
      </c>
      <c r="S357" s="168"/>
      <c r="T357" s="168"/>
      <c r="U357" s="146"/>
      <c r="V357" s="146"/>
      <c r="W357" s="146"/>
      <c r="X357" s="156">
        <v>0</v>
      </c>
      <c r="Y357" s="156">
        <v>0</v>
      </c>
      <c r="Z357" s="157" t="s">
        <v>1454</v>
      </c>
      <c r="AA357" s="158">
        <v>2021</v>
      </c>
      <c r="AB357" s="158">
        <v>7</v>
      </c>
      <c r="AC357" s="158">
        <v>8</v>
      </c>
      <c r="AD357" s="122" t="b">
        <f>IF(ISBLANK(GroupMember[[#This Row],[1. Identifiant interne d’exploitation agricole*]]),"",IF(ISERROR(MATCH(GroupMember[[#This Row],[1. Identifiant interne d’exploitation agricole*]],CertifiedCrop[1. Identifiant interne d’exploitation agricole*],0)),FALSE,TRUE))</f>
        <v>1</v>
      </c>
      <c r="AE357" s="122" t="b">
        <f>IF(ISBLANK(GroupMember[[#This Row],[1. Identifiant interne d’exploitation agricole*]]),"",IF(ISERROR(MATCH(GroupMember[[#This Row],[1. Identifiant interne d’exploitation agricole*]],FarmUnit[1. Identifiant interne d’exploitation agricole*],0)),FALSE,TRUE))</f>
        <v>1</v>
      </c>
      <c r="AF357" s="9" t="str">
        <f t="shared" si="15"/>
        <v>DIOMANDE  MOUSSA</v>
      </c>
      <c r="AG357" s="243" t="str">
        <f t="shared" si="16"/>
        <v>8/7/2021</v>
      </c>
      <c r="AH357" s="51">
        <f>COUNTIFS(Z:Z,Z357,AG:AG,AG357)</f>
        <v>5</v>
      </c>
      <c r="AI357" s="49">
        <f t="shared" si="17"/>
        <v>0</v>
      </c>
    </row>
    <row r="358" spans="1:35" ht="15" x14ac:dyDescent="0.2">
      <c r="A358" s="190" t="s">
        <v>1762</v>
      </c>
      <c r="B358" s="146" t="s">
        <v>668</v>
      </c>
      <c r="C358" s="190" t="s">
        <v>1762</v>
      </c>
      <c r="D358" s="189" t="s">
        <v>1716</v>
      </c>
      <c r="E358" s="146" t="s">
        <v>670</v>
      </c>
      <c r="F358" s="146" t="s">
        <v>671</v>
      </c>
      <c r="G358" s="146" t="s">
        <v>672</v>
      </c>
      <c r="H358" s="148">
        <v>0.86</v>
      </c>
      <c r="I358" s="146" t="s">
        <v>673</v>
      </c>
      <c r="J358" s="149">
        <v>1</v>
      </c>
      <c r="K358" s="150">
        <v>2021</v>
      </c>
      <c r="L358" s="151" t="s">
        <v>1010</v>
      </c>
      <c r="M358" s="151" t="s">
        <v>1763</v>
      </c>
      <c r="N358" s="172"/>
      <c r="O358" s="153"/>
      <c r="P358" s="154" t="s">
        <v>676</v>
      </c>
      <c r="Q358" s="154"/>
      <c r="R358" s="155">
        <v>6</v>
      </c>
      <c r="S358" s="168"/>
      <c r="T358" s="168"/>
      <c r="U358" s="146"/>
      <c r="V358" s="146"/>
      <c r="W358" s="146"/>
      <c r="X358" s="156">
        <v>0</v>
      </c>
      <c r="Y358" s="156">
        <v>0</v>
      </c>
      <c r="Z358" s="157" t="s">
        <v>1454</v>
      </c>
      <c r="AA358" s="158">
        <v>2021</v>
      </c>
      <c r="AB358" s="158">
        <v>7</v>
      </c>
      <c r="AC358" s="158">
        <v>15</v>
      </c>
      <c r="AD358" s="122" t="b">
        <f>IF(ISBLANK(GroupMember[[#This Row],[1. Identifiant interne d’exploitation agricole*]]),"",IF(ISERROR(MATCH(GroupMember[[#This Row],[1. Identifiant interne d’exploitation agricole*]],CertifiedCrop[1. Identifiant interne d’exploitation agricole*],0)),FALSE,TRUE))</f>
        <v>1</v>
      </c>
      <c r="AE358" s="122" t="b">
        <f>IF(ISBLANK(GroupMember[[#This Row],[1. Identifiant interne d’exploitation agricole*]]),"",IF(ISERROR(MATCH(GroupMember[[#This Row],[1. Identifiant interne d’exploitation agricole*]],FarmUnit[1. Identifiant interne d’exploitation agricole*],0)),FALSE,TRUE))</f>
        <v>1</v>
      </c>
      <c r="AF358" s="9" t="str">
        <f t="shared" si="15"/>
        <v>BAMBA  WOYI</v>
      </c>
      <c r="AG358" s="243" t="str">
        <f t="shared" si="16"/>
        <v>15/7/2021</v>
      </c>
      <c r="AH358" s="51">
        <f>COUNTIFS(Z:Z,Z358,AG:AG,AG358)</f>
        <v>4</v>
      </c>
      <c r="AI358" s="49">
        <f t="shared" si="17"/>
        <v>0</v>
      </c>
    </row>
    <row r="359" spans="1:35" ht="15" x14ac:dyDescent="0.2">
      <c r="A359" s="190" t="s">
        <v>1764</v>
      </c>
      <c r="B359" s="146" t="s">
        <v>668</v>
      </c>
      <c r="C359" s="190" t="s">
        <v>1764</v>
      </c>
      <c r="D359" s="189" t="s">
        <v>1716</v>
      </c>
      <c r="E359" s="146" t="s">
        <v>670</v>
      </c>
      <c r="F359" s="146" t="s">
        <v>671</v>
      </c>
      <c r="G359" s="146" t="s">
        <v>672</v>
      </c>
      <c r="H359" s="148">
        <v>3.49</v>
      </c>
      <c r="I359" s="146" t="s">
        <v>673</v>
      </c>
      <c r="J359" s="149">
        <v>1</v>
      </c>
      <c r="K359" s="150">
        <v>2021</v>
      </c>
      <c r="L359" s="151" t="s">
        <v>1765</v>
      </c>
      <c r="M359" s="151" t="s">
        <v>1766</v>
      </c>
      <c r="N359" s="172" t="s">
        <v>1767</v>
      </c>
      <c r="O359" s="153"/>
      <c r="P359" s="154" t="s">
        <v>676</v>
      </c>
      <c r="Q359" s="154"/>
      <c r="R359" s="155">
        <v>4</v>
      </c>
      <c r="S359" s="168"/>
      <c r="T359" s="168"/>
      <c r="U359" s="146"/>
      <c r="V359" s="146"/>
      <c r="W359" s="146"/>
      <c r="X359" s="156">
        <v>0</v>
      </c>
      <c r="Y359" s="156">
        <v>0</v>
      </c>
      <c r="Z359" s="157" t="s">
        <v>1454</v>
      </c>
      <c r="AA359" s="158">
        <v>2021</v>
      </c>
      <c r="AB359" s="158">
        <v>8</v>
      </c>
      <c r="AC359" s="158">
        <v>5</v>
      </c>
      <c r="AD359" s="122" t="b">
        <f>IF(ISBLANK(GroupMember[[#This Row],[1. Identifiant interne d’exploitation agricole*]]),"",IF(ISERROR(MATCH(GroupMember[[#This Row],[1. Identifiant interne d’exploitation agricole*]],CertifiedCrop[1. Identifiant interne d’exploitation agricole*],0)),FALSE,TRUE))</f>
        <v>1</v>
      </c>
      <c r="AE359" s="122" t="b">
        <f>IF(ISBLANK(GroupMember[[#This Row],[1. Identifiant interne d’exploitation agricole*]]),"",IF(ISERROR(MATCH(GroupMember[[#This Row],[1. Identifiant interne d’exploitation agricole*]],FarmUnit[1. Identifiant interne d’exploitation agricole*],0)),FALSE,TRUE))</f>
        <v>1</v>
      </c>
      <c r="AF359" s="9" t="str">
        <f t="shared" si="15"/>
        <v>TOURE  IBRAHIM</v>
      </c>
      <c r="AG359" s="243" t="str">
        <f t="shared" si="16"/>
        <v>5/8/2021</v>
      </c>
      <c r="AH359" s="51">
        <f>COUNTIFS(Z:Z,Z359,AG:AG,AG359)</f>
        <v>5</v>
      </c>
      <c r="AI359" s="49">
        <f t="shared" si="17"/>
        <v>0</v>
      </c>
    </row>
    <row r="360" spans="1:35" ht="15" x14ac:dyDescent="0.2">
      <c r="A360" s="190" t="s">
        <v>1768</v>
      </c>
      <c r="B360" s="146" t="s">
        <v>668</v>
      </c>
      <c r="C360" s="190" t="s">
        <v>1768</v>
      </c>
      <c r="D360" s="189" t="s">
        <v>1716</v>
      </c>
      <c r="E360" s="146" t="s">
        <v>670</v>
      </c>
      <c r="F360" s="146" t="s">
        <v>671</v>
      </c>
      <c r="G360" s="146" t="s">
        <v>672</v>
      </c>
      <c r="H360" s="148">
        <v>3</v>
      </c>
      <c r="I360" s="146" t="s">
        <v>673</v>
      </c>
      <c r="J360" s="149">
        <v>1</v>
      </c>
      <c r="K360" s="150">
        <v>2021</v>
      </c>
      <c r="L360" s="151" t="s">
        <v>1735</v>
      </c>
      <c r="M360" s="151" t="s">
        <v>1769</v>
      </c>
      <c r="N360" s="160"/>
      <c r="O360" s="153"/>
      <c r="P360" s="154" t="s">
        <v>676</v>
      </c>
      <c r="Q360" s="154"/>
      <c r="R360" s="155">
        <v>5</v>
      </c>
      <c r="S360" s="168"/>
      <c r="T360" s="168"/>
      <c r="U360" s="146"/>
      <c r="V360" s="146"/>
      <c r="W360" s="146"/>
      <c r="X360" s="156">
        <v>0</v>
      </c>
      <c r="Y360" s="156">
        <v>0</v>
      </c>
      <c r="Z360" s="157" t="s">
        <v>1454</v>
      </c>
      <c r="AA360" s="158">
        <v>2021</v>
      </c>
      <c r="AB360" s="158">
        <v>8</v>
      </c>
      <c r="AC360" s="158">
        <v>9</v>
      </c>
      <c r="AD360" s="122" t="b">
        <f>IF(ISBLANK(GroupMember[[#This Row],[1. Identifiant interne d’exploitation agricole*]]),"",IF(ISERROR(MATCH(GroupMember[[#This Row],[1. Identifiant interne d’exploitation agricole*]],CertifiedCrop[1. Identifiant interne d’exploitation agricole*],0)),FALSE,TRUE))</f>
        <v>1</v>
      </c>
      <c r="AE360" s="122" t="b">
        <f>IF(ISBLANK(GroupMember[[#This Row],[1. Identifiant interne d’exploitation agricole*]]),"",IF(ISERROR(MATCH(GroupMember[[#This Row],[1. Identifiant interne d’exploitation agricole*]],FarmUnit[1. Identifiant interne d’exploitation agricole*],0)),FALSE,TRUE))</f>
        <v>1</v>
      </c>
      <c r="AF360" s="9" t="str">
        <f t="shared" si="15"/>
        <v>DIABATE SAMOUKA</v>
      </c>
      <c r="AG360" s="243" t="str">
        <f t="shared" si="16"/>
        <v>9/8/2021</v>
      </c>
      <c r="AH360" s="51">
        <f>COUNTIFS(Z:Z,Z360,AG:AG,AG360)</f>
        <v>5</v>
      </c>
      <c r="AI360" s="49">
        <f t="shared" si="17"/>
        <v>0</v>
      </c>
    </row>
    <row r="361" spans="1:35" ht="15" x14ac:dyDescent="0.2">
      <c r="A361" s="190" t="s">
        <v>1770</v>
      </c>
      <c r="B361" s="146" t="s">
        <v>668</v>
      </c>
      <c r="C361" s="190" t="s">
        <v>1770</v>
      </c>
      <c r="D361" s="189" t="s">
        <v>1716</v>
      </c>
      <c r="E361" s="146" t="s">
        <v>670</v>
      </c>
      <c r="F361" s="146" t="s">
        <v>671</v>
      </c>
      <c r="G361" s="146" t="s">
        <v>672</v>
      </c>
      <c r="H361" s="148">
        <v>3.35</v>
      </c>
      <c r="I361" s="146" t="s">
        <v>673</v>
      </c>
      <c r="J361" s="149">
        <v>1</v>
      </c>
      <c r="K361" s="150">
        <v>2021</v>
      </c>
      <c r="L361" s="151" t="s">
        <v>682</v>
      </c>
      <c r="M361" s="151" t="s">
        <v>1771</v>
      </c>
      <c r="N361" s="172"/>
      <c r="O361" s="153"/>
      <c r="P361" s="154" t="s">
        <v>676</v>
      </c>
      <c r="Q361" s="154"/>
      <c r="R361" s="155">
        <v>7</v>
      </c>
      <c r="S361" s="168"/>
      <c r="T361" s="168"/>
      <c r="U361" s="146"/>
      <c r="V361" s="146"/>
      <c r="W361" s="146"/>
      <c r="X361" s="156">
        <v>0</v>
      </c>
      <c r="Y361" s="156">
        <v>0</v>
      </c>
      <c r="Z361" s="157" t="s">
        <v>1454</v>
      </c>
      <c r="AA361" s="158">
        <v>2021</v>
      </c>
      <c r="AB361" s="158">
        <v>8</v>
      </c>
      <c r="AC361" s="158">
        <v>5</v>
      </c>
      <c r="AD361" s="122" t="b">
        <f>IF(ISBLANK(GroupMember[[#This Row],[1. Identifiant interne d’exploitation agricole*]]),"",IF(ISERROR(MATCH(GroupMember[[#This Row],[1. Identifiant interne d’exploitation agricole*]],CertifiedCrop[1. Identifiant interne d’exploitation agricole*],0)),FALSE,TRUE))</f>
        <v>1</v>
      </c>
      <c r="AE361" s="122" t="b">
        <f>IF(ISBLANK(GroupMember[[#This Row],[1. Identifiant interne d’exploitation agricole*]]),"",IF(ISERROR(MATCH(GroupMember[[#This Row],[1. Identifiant interne d’exploitation agricole*]],FarmUnit[1. Identifiant interne d’exploitation agricole*],0)),FALSE,TRUE))</f>
        <v>1</v>
      </c>
      <c r="AF361" s="9" t="str">
        <f t="shared" si="15"/>
        <v>SANGARE  CAMARA</v>
      </c>
      <c r="AG361" s="243" t="str">
        <f t="shared" si="16"/>
        <v>5/8/2021</v>
      </c>
      <c r="AH361" s="51">
        <f>COUNTIFS(Z:Z,Z361,AG:AG,AG361)</f>
        <v>5</v>
      </c>
      <c r="AI361" s="49">
        <f t="shared" si="17"/>
        <v>0</v>
      </c>
    </row>
    <row r="362" spans="1:35" ht="15" x14ac:dyDescent="0.2">
      <c r="A362" s="190" t="s">
        <v>1772</v>
      </c>
      <c r="B362" s="146" t="s">
        <v>668</v>
      </c>
      <c r="C362" s="190" t="s">
        <v>1772</v>
      </c>
      <c r="D362" s="189" t="s">
        <v>1716</v>
      </c>
      <c r="E362" s="146" t="s">
        <v>670</v>
      </c>
      <c r="F362" s="146" t="s">
        <v>671</v>
      </c>
      <c r="G362" s="146" t="s">
        <v>672</v>
      </c>
      <c r="H362" s="148">
        <v>1.05</v>
      </c>
      <c r="I362" s="146" t="s">
        <v>673</v>
      </c>
      <c r="J362" s="149">
        <v>1</v>
      </c>
      <c r="K362" s="150">
        <v>2021</v>
      </c>
      <c r="L362" s="151" t="s">
        <v>1773</v>
      </c>
      <c r="M362" s="151" t="s">
        <v>1774</v>
      </c>
      <c r="N362" s="152"/>
      <c r="O362" s="153" t="s">
        <v>1775</v>
      </c>
      <c r="P362" s="154" t="s">
        <v>676</v>
      </c>
      <c r="Q362" s="154">
        <v>1982</v>
      </c>
      <c r="R362" s="155">
        <v>6</v>
      </c>
      <c r="S362" s="168"/>
      <c r="T362" s="168"/>
      <c r="U362" s="146"/>
      <c r="V362" s="146"/>
      <c r="W362" s="146"/>
      <c r="X362" s="156">
        <v>0</v>
      </c>
      <c r="Y362" s="156">
        <v>0</v>
      </c>
      <c r="Z362" s="157" t="s">
        <v>1454</v>
      </c>
      <c r="AA362" s="158">
        <v>2021</v>
      </c>
      <c r="AB362" s="158">
        <v>8</v>
      </c>
      <c r="AC362" s="158">
        <v>7</v>
      </c>
      <c r="AD362" s="122" t="b">
        <f>IF(ISBLANK(GroupMember[[#This Row],[1. Identifiant interne d’exploitation agricole*]]),"",IF(ISERROR(MATCH(GroupMember[[#This Row],[1. Identifiant interne d’exploitation agricole*]],CertifiedCrop[1. Identifiant interne d’exploitation agricole*],0)),FALSE,TRUE))</f>
        <v>1</v>
      </c>
      <c r="AE362" s="122" t="b">
        <f>IF(ISBLANK(GroupMember[[#This Row],[1. Identifiant interne d’exploitation agricole*]]),"",IF(ISERROR(MATCH(GroupMember[[#This Row],[1. Identifiant interne d’exploitation agricole*]],FarmUnit[1. Identifiant interne d’exploitation agricole*],0)),FALSE,TRUE))</f>
        <v>1</v>
      </c>
      <c r="AF362" s="9" t="str">
        <f t="shared" si="15"/>
        <v>ZIE COULIBALY</v>
      </c>
      <c r="AG362" s="243" t="str">
        <f t="shared" si="16"/>
        <v>7/8/2021</v>
      </c>
      <c r="AH362" s="51">
        <f>COUNTIFS(Z:Z,Z362,AG:AG,AG362)</f>
        <v>4</v>
      </c>
      <c r="AI362" s="49">
        <f t="shared" si="17"/>
        <v>0</v>
      </c>
    </row>
    <row r="363" spans="1:35" ht="15" x14ac:dyDescent="0.2">
      <c r="A363" s="190" t="s">
        <v>1776</v>
      </c>
      <c r="B363" s="146" t="s">
        <v>668</v>
      </c>
      <c r="C363" s="190" t="s">
        <v>1776</v>
      </c>
      <c r="D363" s="189" t="s">
        <v>1716</v>
      </c>
      <c r="E363" s="146" t="s">
        <v>670</v>
      </c>
      <c r="F363" s="146" t="s">
        <v>671</v>
      </c>
      <c r="G363" s="146" t="s">
        <v>672</v>
      </c>
      <c r="H363" s="148">
        <v>3.58</v>
      </c>
      <c r="I363" s="146" t="s">
        <v>673</v>
      </c>
      <c r="J363" s="149">
        <v>1</v>
      </c>
      <c r="K363" s="150">
        <v>2021</v>
      </c>
      <c r="L363" s="151" t="s">
        <v>1193</v>
      </c>
      <c r="M363" s="151" t="s">
        <v>1777</v>
      </c>
      <c r="N363" s="172" t="s">
        <v>1778</v>
      </c>
      <c r="O363" s="153"/>
      <c r="P363" s="154" t="s">
        <v>676</v>
      </c>
      <c r="Q363" s="154"/>
      <c r="R363" s="155">
        <v>5</v>
      </c>
      <c r="S363" s="168"/>
      <c r="T363" s="168"/>
      <c r="U363" s="146"/>
      <c r="V363" s="146"/>
      <c r="W363" s="146"/>
      <c r="X363" s="156">
        <v>0</v>
      </c>
      <c r="Y363" s="156">
        <v>0</v>
      </c>
      <c r="Z363" s="157" t="s">
        <v>1454</v>
      </c>
      <c r="AA363" s="158">
        <v>2021</v>
      </c>
      <c r="AB363" s="158">
        <v>8</v>
      </c>
      <c r="AC363" s="158">
        <v>5</v>
      </c>
      <c r="AD363" s="122" t="b">
        <f>IF(ISBLANK(GroupMember[[#This Row],[1. Identifiant interne d’exploitation agricole*]]),"",IF(ISERROR(MATCH(GroupMember[[#This Row],[1. Identifiant interne d’exploitation agricole*]],CertifiedCrop[1. Identifiant interne d’exploitation agricole*],0)),FALSE,TRUE))</f>
        <v>1</v>
      </c>
      <c r="AE363" s="122" t="b">
        <f>IF(ISBLANK(GroupMember[[#This Row],[1. Identifiant interne d’exploitation agricole*]]),"",IF(ISERROR(MATCH(GroupMember[[#This Row],[1. Identifiant interne d’exploitation agricole*]],FarmUnit[1. Identifiant interne d’exploitation agricole*],0)),FALSE,TRUE))</f>
        <v>1</v>
      </c>
      <c r="AF363" s="9" t="str">
        <f t="shared" si="15"/>
        <v>DIOMANDE  MEDIAO</v>
      </c>
      <c r="AG363" s="243" t="str">
        <f t="shared" si="16"/>
        <v>5/8/2021</v>
      </c>
      <c r="AH363" s="51">
        <f>COUNTIFS(Z:Z,Z363,AG:AG,AG363)</f>
        <v>5</v>
      </c>
      <c r="AI363" s="49">
        <f t="shared" si="17"/>
        <v>0</v>
      </c>
    </row>
    <row r="364" spans="1:35" ht="15" x14ac:dyDescent="0.2">
      <c r="A364" s="190" t="s">
        <v>1779</v>
      </c>
      <c r="B364" s="146" t="s">
        <v>668</v>
      </c>
      <c r="C364" s="190" t="s">
        <v>1779</v>
      </c>
      <c r="D364" s="189" t="s">
        <v>1716</v>
      </c>
      <c r="E364" s="146" t="s">
        <v>670</v>
      </c>
      <c r="F364" s="146" t="s">
        <v>671</v>
      </c>
      <c r="G364" s="146" t="s">
        <v>672</v>
      </c>
      <c r="H364" s="148">
        <v>5</v>
      </c>
      <c r="I364" s="146" t="s">
        <v>673</v>
      </c>
      <c r="J364" s="149">
        <v>1</v>
      </c>
      <c r="K364" s="150">
        <v>2021</v>
      </c>
      <c r="L364" s="151" t="s">
        <v>1193</v>
      </c>
      <c r="M364" s="151" t="s">
        <v>872</v>
      </c>
      <c r="N364" s="152"/>
      <c r="O364" s="153"/>
      <c r="P364" s="154" t="s">
        <v>676</v>
      </c>
      <c r="Q364" s="154"/>
      <c r="R364" s="155">
        <v>4</v>
      </c>
      <c r="S364" s="168"/>
      <c r="T364" s="168"/>
      <c r="U364" s="146"/>
      <c r="V364" s="146"/>
      <c r="W364" s="146"/>
      <c r="X364" s="156">
        <v>0</v>
      </c>
      <c r="Y364" s="156">
        <v>0</v>
      </c>
      <c r="Z364" s="157" t="s">
        <v>1454</v>
      </c>
      <c r="AA364" s="158">
        <v>2021</v>
      </c>
      <c r="AB364" s="158">
        <v>8</v>
      </c>
      <c r="AC364" s="158">
        <v>10</v>
      </c>
      <c r="AD364" s="122" t="b">
        <f>IF(ISBLANK(GroupMember[[#This Row],[1. Identifiant interne d’exploitation agricole*]]),"",IF(ISERROR(MATCH(GroupMember[[#This Row],[1. Identifiant interne d’exploitation agricole*]],CertifiedCrop[1. Identifiant interne d’exploitation agricole*],0)),FALSE,TRUE))</f>
        <v>1</v>
      </c>
      <c r="AE364" s="122" t="b">
        <f>IF(ISBLANK(GroupMember[[#This Row],[1. Identifiant interne d’exploitation agricole*]]),"",IF(ISERROR(MATCH(GroupMember[[#This Row],[1. Identifiant interne d’exploitation agricole*]],FarmUnit[1. Identifiant interne d’exploitation agricole*],0)),FALSE,TRUE))</f>
        <v>1</v>
      </c>
      <c r="AF364" s="9" t="str">
        <f t="shared" si="15"/>
        <v>DIOMANDE  ADAMA</v>
      </c>
      <c r="AG364" s="243" t="str">
        <f t="shared" si="16"/>
        <v>10/8/2021</v>
      </c>
      <c r="AH364" s="51">
        <f>COUNTIFS(Z:Z,Z364,AG:AG,AG364)</f>
        <v>4</v>
      </c>
      <c r="AI364" s="49">
        <f t="shared" si="17"/>
        <v>0</v>
      </c>
    </row>
    <row r="365" spans="1:35" ht="15" x14ac:dyDescent="0.2">
      <c r="A365" s="190" t="s">
        <v>1780</v>
      </c>
      <c r="B365" s="146" t="s">
        <v>668</v>
      </c>
      <c r="C365" s="190" t="s">
        <v>1780</v>
      </c>
      <c r="D365" s="189" t="s">
        <v>1716</v>
      </c>
      <c r="E365" s="146" t="s">
        <v>670</v>
      </c>
      <c r="F365" s="146" t="s">
        <v>671</v>
      </c>
      <c r="G365" s="146" t="s">
        <v>672</v>
      </c>
      <c r="H365" s="148">
        <v>2.59</v>
      </c>
      <c r="I365" s="146" t="s">
        <v>673</v>
      </c>
      <c r="J365" s="149">
        <v>1</v>
      </c>
      <c r="K365" s="150">
        <v>2021</v>
      </c>
      <c r="L365" s="151" t="s">
        <v>765</v>
      </c>
      <c r="M365" s="151" t="s">
        <v>1781</v>
      </c>
      <c r="N365" s="172" t="s">
        <v>1782</v>
      </c>
      <c r="O365" s="153" t="s">
        <v>1783</v>
      </c>
      <c r="P365" s="154" t="s">
        <v>676</v>
      </c>
      <c r="Q365" s="154">
        <v>1985</v>
      </c>
      <c r="R365" s="155">
        <v>8</v>
      </c>
      <c r="S365" s="168"/>
      <c r="T365" s="168"/>
      <c r="U365" s="146"/>
      <c r="V365" s="146"/>
      <c r="W365" s="146"/>
      <c r="X365" s="156">
        <v>0</v>
      </c>
      <c r="Y365" s="156">
        <v>0</v>
      </c>
      <c r="Z365" s="157" t="s">
        <v>1454</v>
      </c>
      <c r="AA365" s="158">
        <v>2021</v>
      </c>
      <c r="AB365" s="158">
        <v>8</v>
      </c>
      <c r="AC365" s="158">
        <v>16</v>
      </c>
      <c r="AD365" s="122" t="b">
        <f>IF(ISBLANK(GroupMember[[#This Row],[1. Identifiant interne d’exploitation agricole*]]),"",IF(ISERROR(MATCH(GroupMember[[#This Row],[1. Identifiant interne d’exploitation agricole*]],CertifiedCrop[1. Identifiant interne d’exploitation agricole*],0)),FALSE,TRUE))</f>
        <v>1</v>
      </c>
      <c r="AE365" s="122" t="b">
        <f>IF(ISBLANK(GroupMember[[#This Row],[1. Identifiant interne d’exploitation agricole*]]),"",IF(ISERROR(MATCH(GroupMember[[#This Row],[1. Identifiant interne d’exploitation agricole*]],FarmUnit[1. Identifiant interne d’exploitation agricole*],0)),FALSE,TRUE))</f>
        <v>1</v>
      </c>
      <c r="AF365" s="9" t="str">
        <f t="shared" si="15"/>
        <v>KONE  KIEFFI</v>
      </c>
      <c r="AG365" s="243" t="str">
        <f t="shared" si="16"/>
        <v>16/8/2021</v>
      </c>
      <c r="AH365" s="51">
        <f>COUNTIFS(Z:Z,Z365,AG:AG,AG365)</f>
        <v>3</v>
      </c>
      <c r="AI365" s="49">
        <f t="shared" si="17"/>
        <v>0</v>
      </c>
    </row>
    <row r="366" spans="1:35" ht="15" x14ac:dyDescent="0.2">
      <c r="A366" s="190" t="s">
        <v>1784</v>
      </c>
      <c r="B366" s="146" t="s">
        <v>668</v>
      </c>
      <c r="C366" s="190" t="s">
        <v>1784</v>
      </c>
      <c r="D366" s="189" t="s">
        <v>1716</v>
      </c>
      <c r="E366" s="146" t="s">
        <v>670</v>
      </c>
      <c r="F366" s="146" t="s">
        <v>671</v>
      </c>
      <c r="G366" s="146" t="s">
        <v>672</v>
      </c>
      <c r="H366" s="148">
        <v>4.71</v>
      </c>
      <c r="I366" s="146" t="s">
        <v>673</v>
      </c>
      <c r="J366" s="149">
        <v>1</v>
      </c>
      <c r="K366" s="150">
        <v>2021</v>
      </c>
      <c r="L366" s="151" t="s">
        <v>1765</v>
      </c>
      <c r="M366" s="151" t="s">
        <v>1785</v>
      </c>
      <c r="N366" s="172"/>
      <c r="O366" s="153"/>
      <c r="P366" s="154" t="s">
        <v>676</v>
      </c>
      <c r="Q366" s="154"/>
      <c r="R366" s="155">
        <v>6</v>
      </c>
      <c r="S366" s="168"/>
      <c r="T366" s="168"/>
      <c r="U366" s="146"/>
      <c r="V366" s="146"/>
      <c r="W366" s="146"/>
      <c r="X366" s="156">
        <v>0</v>
      </c>
      <c r="Y366" s="156">
        <v>0</v>
      </c>
      <c r="Z366" s="157" t="s">
        <v>1454</v>
      </c>
      <c r="AA366" s="158">
        <v>2021</v>
      </c>
      <c r="AB366" s="158">
        <v>8</v>
      </c>
      <c r="AC366" s="158">
        <v>13</v>
      </c>
      <c r="AD366" s="122" t="b">
        <f>IF(ISBLANK(GroupMember[[#This Row],[1. Identifiant interne d’exploitation agricole*]]),"",IF(ISERROR(MATCH(GroupMember[[#This Row],[1. Identifiant interne d’exploitation agricole*]],CertifiedCrop[1. Identifiant interne d’exploitation agricole*],0)),FALSE,TRUE))</f>
        <v>1</v>
      </c>
      <c r="AE366" s="122" t="b">
        <f>IF(ISBLANK(GroupMember[[#This Row],[1. Identifiant interne d’exploitation agricole*]]),"",IF(ISERROR(MATCH(GroupMember[[#This Row],[1. Identifiant interne d’exploitation agricole*]],FarmUnit[1. Identifiant interne d’exploitation agricole*],0)),FALSE,TRUE))</f>
        <v>1</v>
      </c>
      <c r="AF366" s="9" t="str">
        <f t="shared" si="15"/>
        <v>TOURE MAMADOU</v>
      </c>
      <c r="AG366" s="243" t="str">
        <f t="shared" si="16"/>
        <v>13/8/2021</v>
      </c>
      <c r="AH366" s="51">
        <f>COUNTIFS(Z:Z,Z366,AG:AG,AG366)</f>
        <v>4</v>
      </c>
      <c r="AI366" s="49">
        <f t="shared" si="17"/>
        <v>0</v>
      </c>
    </row>
    <row r="367" spans="1:35" ht="15" x14ac:dyDescent="0.2">
      <c r="A367" s="190" t="s">
        <v>1786</v>
      </c>
      <c r="B367" s="146" t="s">
        <v>668</v>
      </c>
      <c r="C367" s="190" t="s">
        <v>1786</v>
      </c>
      <c r="D367" s="189" t="s">
        <v>1716</v>
      </c>
      <c r="E367" s="146" t="s">
        <v>670</v>
      </c>
      <c r="F367" s="146" t="s">
        <v>671</v>
      </c>
      <c r="G367" s="146" t="s">
        <v>672</v>
      </c>
      <c r="H367" s="148">
        <v>5.21</v>
      </c>
      <c r="I367" s="146" t="s">
        <v>673</v>
      </c>
      <c r="J367" s="149">
        <v>1</v>
      </c>
      <c r="K367" s="150">
        <v>2021</v>
      </c>
      <c r="L367" s="151" t="s">
        <v>1101</v>
      </c>
      <c r="M367" s="151" t="s">
        <v>1334</v>
      </c>
      <c r="N367" s="172" t="s">
        <v>1787</v>
      </c>
      <c r="O367" s="153"/>
      <c r="P367" s="154" t="s">
        <v>676</v>
      </c>
      <c r="Q367" s="154"/>
      <c r="R367" s="155">
        <v>5</v>
      </c>
      <c r="S367" s="168"/>
      <c r="T367" s="168"/>
      <c r="U367" s="146"/>
      <c r="V367" s="146"/>
      <c r="W367" s="146"/>
      <c r="X367" s="156">
        <v>0</v>
      </c>
      <c r="Y367" s="156">
        <v>0</v>
      </c>
      <c r="Z367" s="157" t="s">
        <v>1454</v>
      </c>
      <c r="AA367" s="158">
        <v>2021</v>
      </c>
      <c r="AB367" s="158">
        <v>8</v>
      </c>
      <c r="AC367" s="158">
        <v>11</v>
      </c>
      <c r="AD367" s="122" t="b">
        <f>IF(ISBLANK(GroupMember[[#This Row],[1. Identifiant interne d’exploitation agricole*]]),"",IF(ISERROR(MATCH(GroupMember[[#This Row],[1. Identifiant interne d’exploitation agricole*]],CertifiedCrop[1. Identifiant interne d’exploitation agricole*],0)),FALSE,TRUE))</f>
        <v>1</v>
      </c>
      <c r="AE367" s="122" t="b">
        <f>IF(ISBLANK(GroupMember[[#This Row],[1. Identifiant interne d’exploitation agricole*]]),"",IF(ISERROR(MATCH(GroupMember[[#This Row],[1. Identifiant interne d’exploitation agricole*]],FarmUnit[1. Identifiant interne d’exploitation agricole*],0)),FALSE,TRUE))</f>
        <v>1</v>
      </c>
      <c r="AF367" s="9" t="str">
        <f t="shared" si="15"/>
        <v>BAKAYOKO  ABOU</v>
      </c>
      <c r="AG367" s="243" t="str">
        <f t="shared" si="16"/>
        <v>11/8/2021</v>
      </c>
      <c r="AH367" s="51">
        <f>COUNTIFS(Z:Z,Z367,AG:AG,AG367)</f>
        <v>4</v>
      </c>
      <c r="AI367" s="49">
        <f t="shared" si="17"/>
        <v>0</v>
      </c>
    </row>
    <row r="368" spans="1:35" ht="15" x14ac:dyDescent="0.2">
      <c r="A368" s="190" t="s">
        <v>1788</v>
      </c>
      <c r="B368" s="146" t="s">
        <v>668</v>
      </c>
      <c r="C368" s="190" t="s">
        <v>1788</v>
      </c>
      <c r="D368" s="189" t="s">
        <v>1716</v>
      </c>
      <c r="E368" s="146" t="s">
        <v>670</v>
      </c>
      <c r="F368" s="146" t="s">
        <v>671</v>
      </c>
      <c r="G368" s="146" t="s">
        <v>672</v>
      </c>
      <c r="H368" s="148">
        <v>3</v>
      </c>
      <c r="I368" s="146" t="s">
        <v>673</v>
      </c>
      <c r="J368" s="149">
        <v>1</v>
      </c>
      <c r="K368" s="150">
        <v>2021</v>
      </c>
      <c r="L368" s="151" t="s">
        <v>1193</v>
      </c>
      <c r="M368" s="151" t="s">
        <v>1789</v>
      </c>
      <c r="N368" s="172" t="s">
        <v>1790</v>
      </c>
      <c r="O368" s="153" t="s">
        <v>1791</v>
      </c>
      <c r="P368" s="154" t="s">
        <v>676</v>
      </c>
      <c r="Q368" s="154">
        <v>1993</v>
      </c>
      <c r="R368" s="155">
        <v>8</v>
      </c>
      <c r="S368" s="168"/>
      <c r="T368" s="168"/>
      <c r="U368" s="146"/>
      <c r="V368" s="146"/>
      <c r="W368" s="146"/>
      <c r="X368" s="156">
        <v>0</v>
      </c>
      <c r="Y368" s="156">
        <v>0</v>
      </c>
      <c r="Z368" s="157" t="s">
        <v>1454</v>
      </c>
      <c r="AA368" s="158">
        <v>2021</v>
      </c>
      <c r="AB368" s="158">
        <v>8</v>
      </c>
      <c r="AC368" s="158">
        <v>16</v>
      </c>
      <c r="AD368" s="122" t="b">
        <f>IF(ISBLANK(GroupMember[[#This Row],[1. Identifiant interne d’exploitation agricole*]]),"",IF(ISERROR(MATCH(GroupMember[[#This Row],[1. Identifiant interne d’exploitation agricole*]],CertifiedCrop[1. Identifiant interne d’exploitation agricole*],0)),FALSE,TRUE))</f>
        <v>1</v>
      </c>
      <c r="AE368" s="122" t="b">
        <f>IF(ISBLANK(GroupMember[[#This Row],[1. Identifiant interne d’exploitation agricole*]]),"",IF(ISERROR(MATCH(GroupMember[[#This Row],[1. Identifiant interne d’exploitation agricole*]],FarmUnit[1. Identifiant interne d’exploitation agricole*],0)),FALSE,TRUE))</f>
        <v>1</v>
      </c>
      <c r="AF368" s="9" t="str">
        <f t="shared" si="15"/>
        <v>DIOMANDE IBRAHIM</v>
      </c>
      <c r="AG368" s="243" t="str">
        <f t="shared" si="16"/>
        <v>16/8/2021</v>
      </c>
      <c r="AH368" s="51">
        <f>COUNTIFS(Z:Z,Z368,AG:AG,AG368)</f>
        <v>3</v>
      </c>
      <c r="AI368" s="49">
        <f t="shared" si="17"/>
        <v>0</v>
      </c>
    </row>
    <row r="369" spans="1:35" ht="15" x14ac:dyDescent="0.2">
      <c r="A369" s="190" t="s">
        <v>1792</v>
      </c>
      <c r="B369" s="146" t="s">
        <v>668</v>
      </c>
      <c r="C369" s="190" t="s">
        <v>1792</v>
      </c>
      <c r="D369" s="189" t="s">
        <v>1716</v>
      </c>
      <c r="E369" s="146" t="s">
        <v>670</v>
      </c>
      <c r="F369" s="146" t="s">
        <v>671</v>
      </c>
      <c r="G369" s="146" t="s">
        <v>672</v>
      </c>
      <c r="H369" s="148">
        <v>1.24</v>
      </c>
      <c r="I369" s="146" t="s">
        <v>673</v>
      </c>
      <c r="J369" s="149">
        <v>1</v>
      </c>
      <c r="K369" s="150">
        <v>2021</v>
      </c>
      <c r="L369" s="151" t="s">
        <v>765</v>
      </c>
      <c r="M369" s="151" t="s">
        <v>1793</v>
      </c>
      <c r="N369" s="152" t="s">
        <v>1794</v>
      </c>
      <c r="O369" s="153" t="s">
        <v>1795</v>
      </c>
      <c r="P369" s="154" t="s">
        <v>676</v>
      </c>
      <c r="Q369" s="154">
        <v>1973</v>
      </c>
      <c r="R369" s="155">
        <v>6</v>
      </c>
      <c r="S369" s="168"/>
      <c r="T369" s="168"/>
      <c r="U369" s="146"/>
      <c r="V369" s="146"/>
      <c r="W369" s="146"/>
      <c r="X369" s="156">
        <v>0</v>
      </c>
      <c r="Y369" s="156">
        <v>0</v>
      </c>
      <c r="Z369" s="157" t="s">
        <v>1454</v>
      </c>
      <c r="AA369" s="158">
        <v>2021</v>
      </c>
      <c r="AB369" s="158">
        <v>7</v>
      </c>
      <c r="AC369" s="158">
        <v>8</v>
      </c>
      <c r="AD369" s="122" t="b">
        <f>IF(ISBLANK(GroupMember[[#This Row],[1. Identifiant interne d’exploitation agricole*]]),"",IF(ISERROR(MATCH(GroupMember[[#This Row],[1. Identifiant interne d’exploitation agricole*]],CertifiedCrop[1. Identifiant interne d’exploitation agricole*],0)),FALSE,TRUE))</f>
        <v>1</v>
      </c>
      <c r="AE369" s="122" t="b">
        <f>IF(ISBLANK(GroupMember[[#This Row],[1. Identifiant interne d’exploitation agricole*]]),"",IF(ISERROR(MATCH(GroupMember[[#This Row],[1. Identifiant interne d’exploitation agricole*]],FarmUnit[1. Identifiant interne d’exploitation agricole*],0)),FALSE,TRUE))</f>
        <v>1</v>
      </c>
      <c r="AF369" s="9" t="str">
        <f t="shared" si="15"/>
        <v>KONE ADAMA 2</v>
      </c>
      <c r="AG369" s="243" t="str">
        <f t="shared" si="16"/>
        <v>8/7/2021</v>
      </c>
      <c r="AH369" s="51">
        <f>COUNTIFS(Z:Z,Z369,AG:AG,AG369)</f>
        <v>5</v>
      </c>
      <c r="AI369" s="49">
        <f t="shared" si="17"/>
        <v>0</v>
      </c>
    </row>
    <row r="370" spans="1:35" ht="15" x14ac:dyDescent="0.2">
      <c r="A370" s="190" t="s">
        <v>1796</v>
      </c>
      <c r="B370" s="146" t="s">
        <v>668</v>
      </c>
      <c r="C370" s="190" t="s">
        <v>1796</v>
      </c>
      <c r="D370" s="189" t="s">
        <v>1716</v>
      </c>
      <c r="E370" s="146" t="s">
        <v>670</v>
      </c>
      <c r="F370" s="146" t="s">
        <v>671</v>
      </c>
      <c r="G370" s="146" t="s">
        <v>672</v>
      </c>
      <c r="H370" s="148">
        <v>1.65</v>
      </c>
      <c r="I370" s="146" t="s">
        <v>673</v>
      </c>
      <c r="J370" s="149">
        <v>1</v>
      </c>
      <c r="K370" s="150">
        <v>2021</v>
      </c>
      <c r="L370" s="151" t="s">
        <v>765</v>
      </c>
      <c r="M370" s="151" t="s">
        <v>1797</v>
      </c>
      <c r="N370" s="152" t="s">
        <v>1798</v>
      </c>
      <c r="O370" s="153"/>
      <c r="P370" s="154" t="s">
        <v>676</v>
      </c>
      <c r="Q370" s="154"/>
      <c r="R370" s="155">
        <v>7</v>
      </c>
      <c r="S370" s="168"/>
      <c r="T370" s="168"/>
      <c r="U370" s="146"/>
      <c r="V370" s="146"/>
      <c r="W370" s="146"/>
      <c r="X370" s="156">
        <v>0</v>
      </c>
      <c r="Y370" s="156">
        <v>0</v>
      </c>
      <c r="Z370" s="157" t="s">
        <v>1454</v>
      </c>
      <c r="AA370" s="158">
        <v>2021</v>
      </c>
      <c r="AB370" s="158">
        <v>7</v>
      </c>
      <c r="AC370" s="158">
        <v>16</v>
      </c>
      <c r="AD370" s="122" t="b">
        <f>IF(ISBLANK(GroupMember[[#This Row],[1. Identifiant interne d’exploitation agricole*]]),"",IF(ISERROR(MATCH(GroupMember[[#This Row],[1. Identifiant interne d’exploitation agricole*]],CertifiedCrop[1. Identifiant interne d’exploitation agricole*],0)),FALSE,TRUE))</f>
        <v>1</v>
      </c>
      <c r="AE370" s="122" t="b">
        <f>IF(ISBLANK(GroupMember[[#This Row],[1. Identifiant interne d’exploitation agricole*]]),"",IF(ISERROR(MATCH(GroupMember[[#This Row],[1. Identifiant interne d’exploitation agricole*]],FarmUnit[1. Identifiant interne d’exploitation agricole*],0)),FALSE,TRUE))</f>
        <v>1</v>
      </c>
      <c r="AF370" s="9" t="str">
        <f t="shared" si="15"/>
        <v>KONE AMARA</v>
      </c>
      <c r="AG370" s="243" t="str">
        <f t="shared" si="16"/>
        <v>16/7/2021</v>
      </c>
      <c r="AH370" s="51">
        <f>COUNTIFS(Z:Z,Z370,AG:AG,AG370)</f>
        <v>4</v>
      </c>
      <c r="AI370" s="49">
        <f t="shared" si="17"/>
        <v>0</v>
      </c>
    </row>
    <row r="371" spans="1:35" ht="15" x14ac:dyDescent="0.2">
      <c r="A371" s="190" t="s">
        <v>1799</v>
      </c>
      <c r="B371" s="146" t="s">
        <v>668</v>
      </c>
      <c r="C371" s="190" t="s">
        <v>1799</v>
      </c>
      <c r="D371" s="189" t="s">
        <v>1716</v>
      </c>
      <c r="E371" s="146" t="s">
        <v>670</v>
      </c>
      <c r="F371" s="146" t="s">
        <v>671</v>
      </c>
      <c r="G371" s="146" t="s">
        <v>672</v>
      </c>
      <c r="H371" s="148">
        <v>2.95</v>
      </c>
      <c r="I371" s="146" t="s">
        <v>673</v>
      </c>
      <c r="J371" s="149">
        <v>1</v>
      </c>
      <c r="K371" s="150">
        <v>2021</v>
      </c>
      <c r="L371" s="151" t="s">
        <v>765</v>
      </c>
      <c r="M371" s="151" t="s">
        <v>1800</v>
      </c>
      <c r="N371" s="172" t="s">
        <v>1801</v>
      </c>
      <c r="O371" s="153"/>
      <c r="P371" s="154" t="s">
        <v>676</v>
      </c>
      <c r="Q371" s="154"/>
      <c r="R371" s="155">
        <v>6</v>
      </c>
      <c r="S371" s="168"/>
      <c r="T371" s="168"/>
      <c r="U371" s="146"/>
      <c r="V371" s="146"/>
      <c r="W371" s="146"/>
      <c r="X371" s="156">
        <v>0</v>
      </c>
      <c r="Y371" s="156">
        <v>0</v>
      </c>
      <c r="Z371" s="157" t="s">
        <v>1454</v>
      </c>
      <c r="AA371" s="158">
        <v>2021</v>
      </c>
      <c r="AB371" s="158">
        <v>8</v>
      </c>
      <c r="AC371" s="158">
        <v>10</v>
      </c>
      <c r="AD371" s="122" t="b">
        <f>IF(ISBLANK(GroupMember[[#This Row],[1. Identifiant interne d’exploitation agricole*]]),"",IF(ISERROR(MATCH(GroupMember[[#This Row],[1. Identifiant interne d’exploitation agricole*]],CertifiedCrop[1. Identifiant interne d’exploitation agricole*],0)),FALSE,TRUE))</f>
        <v>1</v>
      </c>
      <c r="AE371" s="122" t="b">
        <f>IF(ISBLANK(GroupMember[[#This Row],[1. Identifiant interne d’exploitation agricole*]]),"",IF(ISERROR(MATCH(GroupMember[[#This Row],[1. Identifiant interne d’exploitation agricole*]],FarmUnit[1. Identifiant interne d’exploitation agricole*],0)),FALSE,TRUE))</f>
        <v>1</v>
      </c>
      <c r="AF371" s="9" t="str">
        <f t="shared" ref="AF371:AF434" si="18">IFERROR(CONCATENATE(L371," ",M371),"")</f>
        <v>KONE GBAOU</v>
      </c>
      <c r="AG371" s="243" t="str">
        <f t="shared" ref="AG371:AG434" si="19">CONCATENATE(AC371,"/",AB371,"/",AA371)</f>
        <v>10/8/2021</v>
      </c>
      <c r="AH371" s="51">
        <f>COUNTIFS(Z:Z,Z371,AG:AG,AG371)</f>
        <v>4</v>
      </c>
      <c r="AI371" s="49">
        <f t="shared" ref="AI371:AI434" si="20">IF((X371+Y371/12)&lt;0,"",(X371+Y371/12))</f>
        <v>0</v>
      </c>
    </row>
    <row r="372" spans="1:35" ht="15" x14ac:dyDescent="0.2">
      <c r="A372" s="190" t="s">
        <v>1802</v>
      </c>
      <c r="B372" s="146" t="s">
        <v>668</v>
      </c>
      <c r="C372" s="190" t="s">
        <v>1802</v>
      </c>
      <c r="D372" s="189" t="s">
        <v>1716</v>
      </c>
      <c r="E372" s="146" t="s">
        <v>670</v>
      </c>
      <c r="F372" s="146" t="s">
        <v>671</v>
      </c>
      <c r="G372" s="146" t="s">
        <v>672</v>
      </c>
      <c r="H372" s="148">
        <v>1.51</v>
      </c>
      <c r="I372" s="146" t="s">
        <v>673</v>
      </c>
      <c r="J372" s="149">
        <v>1</v>
      </c>
      <c r="K372" s="150">
        <v>2021</v>
      </c>
      <c r="L372" s="151" t="s">
        <v>1765</v>
      </c>
      <c r="M372" s="151" t="s">
        <v>1803</v>
      </c>
      <c r="N372" s="152"/>
      <c r="O372" s="153"/>
      <c r="P372" s="154" t="s">
        <v>676</v>
      </c>
      <c r="Q372" s="154"/>
      <c r="R372" s="155">
        <v>9</v>
      </c>
      <c r="S372" s="168"/>
      <c r="T372" s="168"/>
      <c r="U372" s="146"/>
      <c r="V372" s="146"/>
      <c r="W372" s="146"/>
      <c r="X372" s="156">
        <v>0</v>
      </c>
      <c r="Y372" s="156">
        <v>0</v>
      </c>
      <c r="Z372" s="157" t="s">
        <v>1454</v>
      </c>
      <c r="AA372" s="158">
        <v>2021</v>
      </c>
      <c r="AB372" s="158">
        <v>8</v>
      </c>
      <c r="AC372" s="158">
        <v>12</v>
      </c>
      <c r="AD372" s="122" t="b">
        <f>IF(ISBLANK(GroupMember[[#This Row],[1. Identifiant interne d’exploitation agricole*]]),"",IF(ISERROR(MATCH(GroupMember[[#This Row],[1. Identifiant interne d’exploitation agricole*]],CertifiedCrop[1. Identifiant interne d’exploitation agricole*],0)),FALSE,TRUE))</f>
        <v>1</v>
      </c>
      <c r="AE372" s="122" t="b">
        <f>IF(ISBLANK(GroupMember[[#This Row],[1. Identifiant interne d’exploitation agricole*]]),"",IF(ISERROR(MATCH(GroupMember[[#This Row],[1. Identifiant interne d’exploitation agricole*]],FarmUnit[1. Identifiant interne d’exploitation agricole*],0)),FALSE,TRUE))</f>
        <v>1</v>
      </c>
      <c r="AF372" s="9" t="str">
        <f t="shared" si="18"/>
        <v>TOURE  SEKOU</v>
      </c>
      <c r="AG372" s="243" t="str">
        <f t="shared" si="19"/>
        <v>12/8/2021</v>
      </c>
      <c r="AH372" s="51">
        <f>COUNTIFS(Z:Z,Z372,AG:AG,AG372)</f>
        <v>4</v>
      </c>
      <c r="AI372" s="49">
        <f t="shared" si="20"/>
        <v>0</v>
      </c>
    </row>
    <row r="373" spans="1:35" ht="15" x14ac:dyDescent="0.2">
      <c r="A373" s="190" t="s">
        <v>1804</v>
      </c>
      <c r="B373" s="146" t="s">
        <v>668</v>
      </c>
      <c r="C373" s="190" t="s">
        <v>1804</v>
      </c>
      <c r="D373" s="189" t="s">
        <v>1716</v>
      </c>
      <c r="E373" s="146" t="s">
        <v>670</v>
      </c>
      <c r="F373" s="146" t="s">
        <v>671</v>
      </c>
      <c r="G373" s="146" t="s">
        <v>672</v>
      </c>
      <c r="H373" s="148">
        <v>2.0699999999999998</v>
      </c>
      <c r="I373" s="146" t="s">
        <v>673</v>
      </c>
      <c r="J373" s="149">
        <v>1</v>
      </c>
      <c r="K373" s="150">
        <v>2021</v>
      </c>
      <c r="L373" s="151" t="s">
        <v>1805</v>
      </c>
      <c r="M373" s="151" t="s">
        <v>1806</v>
      </c>
      <c r="N373" s="172"/>
      <c r="O373" s="153"/>
      <c r="P373" s="154" t="s">
        <v>676</v>
      </c>
      <c r="Q373" s="154"/>
      <c r="R373" s="155">
        <v>8</v>
      </c>
      <c r="S373" s="168"/>
      <c r="T373" s="168"/>
      <c r="U373" s="146"/>
      <c r="V373" s="146"/>
      <c r="W373" s="146"/>
      <c r="X373" s="156">
        <v>0</v>
      </c>
      <c r="Y373" s="156">
        <v>0</v>
      </c>
      <c r="Z373" s="157" t="s">
        <v>1454</v>
      </c>
      <c r="AA373" s="158">
        <v>2021</v>
      </c>
      <c r="AB373" s="158">
        <v>8</v>
      </c>
      <c r="AC373" s="158">
        <v>14</v>
      </c>
      <c r="AD373" s="122" t="b">
        <f>IF(ISBLANK(GroupMember[[#This Row],[1. Identifiant interne d’exploitation agricole*]]),"",IF(ISERROR(MATCH(GroupMember[[#This Row],[1. Identifiant interne d’exploitation agricole*]],CertifiedCrop[1. Identifiant interne d’exploitation agricole*],0)),FALSE,TRUE))</f>
        <v>1</v>
      </c>
      <c r="AE373" s="122" t="b">
        <f>IF(ISBLANK(GroupMember[[#This Row],[1. Identifiant interne d’exploitation agricole*]]),"",IF(ISERROR(MATCH(GroupMember[[#This Row],[1. Identifiant interne d’exploitation agricole*]],FarmUnit[1. Identifiant interne d’exploitation agricole*],0)),FALSE,TRUE))</f>
        <v>1</v>
      </c>
      <c r="AF373" s="9" t="str">
        <f t="shared" si="18"/>
        <v>YAYA SAMANKE</v>
      </c>
      <c r="AG373" s="243" t="str">
        <f t="shared" si="19"/>
        <v>14/8/2021</v>
      </c>
      <c r="AH373" s="51">
        <f>COUNTIFS(Z:Z,Z373,AG:AG,AG373)</f>
        <v>4</v>
      </c>
      <c r="AI373" s="49">
        <f t="shared" si="20"/>
        <v>0</v>
      </c>
    </row>
    <row r="374" spans="1:35" ht="15" x14ac:dyDescent="0.2">
      <c r="A374" s="190" t="s">
        <v>1807</v>
      </c>
      <c r="B374" s="146" t="s">
        <v>668</v>
      </c>
      <c r="C374" s="190" t="s">
        <v>1807</v>
      </c>
      <c r="D374" s="189" t="s">
        <v>1716</v>
      </c>
      <c r="E374" s="146" t="s">
        <v>670</v>
      </c>
      <c r="F374" s="146" t="s">
        <v>671</v>
      </c>
      <c r="G374" s="146" t="s">
        <v>672</v>
      </c>
      <c r="H374" s="148">
        <v>2</v>
      </c>
      <c r="I374" s="146" t="s">
        <v>673</v>
      </c>
      <c r="J374" s="149">
        <v>1</v>
      </c>
      <c r="K374" s="150">
        <v>2021</v>
      </c>
      <c r="L374" s="151" t="s">
        <v>1193</v>
      </c>
      <c r="M374" s="151" t="s">
        <v>1808</v>
      </c>
      <c r="N374" s="152"/>
      <c r="O374" s="153"/>
      <c r="P374" s="154" t="s">
        <v>676</v>
      </c>
      <c r="Q374" s="154"/>
      <c r="R374" s="155">
        <v>7</v>
      </c>
      <c r="S374" s="168"/>
      <c r="T374" s="168"/>
      <c r="U374" s="146"/>
      <c r="V374" s="146"/>
      <c r="W374" s="146"/>
      <c r="X374" s="156">
        <v>0</v>
      </c>
      <c r="Y374" s="156">
        <v>0</v>
      </c>
      <c r="Z374" s="157" t="s">
        <v>1454</v>
      </c>
      <c r="AA374" s="158">
        <v>2021</v>
      </c>
      <c r="AB374" s="158">
        <v>8</v>
      </c>
      <c r="AC374" s="158">
        <v>16</v>
      </c>
      <c r="AD374" s="122" t="b">
        <f>IF(ISBLANK(GroupMember[[#This Row],[1. Identifiant interne d’exploitation agricole*]]),"",IF(ISERROR(MATCH(GroupMember[[#This Row],[1. Identifiant interne d’exploitation agricole*]],CertifiedCrop[1. Identifiant interne d’exploitation agricole*],0)),FALSE,TRUE))</f>
        <v>1</v>
      </c>
      <c r="AE374" s="122" t="b">
        <f>IF(ISBLANK(GroupMember[[#This Row],[1. Identifiant interne d’exploitation agricole*]]),"",IF(ISERROR(MATCH(GroupMember[[#This Row],[1. Identifiant interne d’exploitation agricole*]],FarmUnit[1. Identifiant interne d’exploitation agricole*],0)),FALSE,TRUE))</f>
        <v>1</v>
      </c>
      <c r="AF374" s="9" t="str">
        <f t="shared" si="18"/>
        <v>DIOMANDE SOLO</v>
      </c>
      <c r="AG374" s="243" t="str">
        <f t="shared" si="19"/>
        <v>16/8/2021</v>
      </c>
      <c r="AH374" s="51">
        <f>COUNTIFS(Z:Z,Z374,AG:AG,AG374)</f>
        <v>3</v>
      </c>
      <c r="AI374" s="49">
        <f t="shared" si="20"/>
        <v>0</v>
      </c>
    </row>
    <row r="375" spans="1:35" ht="15" x14ac:dyDescent="0.2">
      <c r="A375" s="190" t="s">
        <v>1809</v>
      </c>
      <c r="B375" s="146" t="s">
        <v>668</v>
      </c>
      <c r="C375" s="190" t="s">
        <v>1809</v>
      </c>
      <c r="D375" s="189" t="s">
        <v>1716</v>
      </c>
      <c r="E375" s="146" t="s">
        <v>670</v>
      </c>
      <c r="F375" s="146" t="s">
        <v>671</v>
      </c>
      <c r="G375" s="146" t="s">
        <v>672</v>
      </c>
      <c r="H375" s="148">
        <v>6.79</v>
      </c>
      <c r="I375" s="146" t="s">
        <v>673</v>
      </c>
      <c r="J375" s="149">
        <v>1</v>
      </c>
      <c r="K375" s="150">
        <v>2021</v>
      </c>
      <c r="L375" s="151" t="s">
        <v>1810</v>
      </c>
      <c r="M375" s="151" t="s">
        <v>1811</v>
      </c>
      <c r="N375" s="152" t="s">
        <v>1812</v>
      </c>
      <c r="O375" s="153"/>
      <c r="P375" s="154" t="s">
        <v>676</v>
      </c>
      <c r="Q375" s="154"/>
      <c r="R375" s="155">
        <v>4</v>
      </c>
      <c r="S375" s="168"/>
      <c r="T375" s="168"/>
      <c r="U375" s="146"/>
      <c r="V375" s="146"/>
      <c r="W375" s="146"/>
      <c r="X375" s="156">
        <v>0</v>
      </c>
      <c r="Y375" s="156">
        <v>0</v>
      </c>
      <c r="Z375" s="157" t="s">
        <v>1454</v>
      </c>
      <c r="AA375" s="158">
        <v>2021</v>
      </c>
      <c r="AB375" s="158">
        <v>8</v>
      </c>
      <c r="AC375" s="158">
        <v>10</v>
      </c>
      <c r="AD375" s="122" t="b">
        <f>IF(ISBLANK(GroupMember[[#This Row],[1. Identifiant interne d’exploitation agricole*]]),"",IF(ISERROR(MATCH(GroupMember[[#This Row],[1. Identifiant interne d’exploitation agricole*]],CertifiedCrop[1. Identifiant interne d’exploitation agricole*],0)),FALSE,TRUE))</f>
        <v>1</v>
      </c>
      <c r="AE375" s="122" t="b">
        <f>IF(ISBLANK(GroupMember[[#This Row],[1. Identifiant interne d’exploitation agricole*]]),"",IF(ISERROR(MATCH(GroupMember[[#This Row],[1. Identifiant interne d’exploitation agricole*]],FarmUnit[1. Identifiant interne d’exploitation agricole*],0)),FALSE,TRUE))</f>
        <v>1</v>
      </c>
      <c r="AF375" s="9" t="str">
        <f t="shared" si="18"/>
        <v>ZONA SEYDOU</v>
      </c>
      <c r="AG375" s="243" t="str">
        <f t="shared" si="19"/>
        <v>10/8/2021</v>
      </c>
      <c r="AH375" s="51">
        <f>COUNTIFS(Z:Z,Z375,AG:AG,AG375)</f>
        <v>4</v>
      </c>
      <c r="AI375" s="49">
        <f t="shared" si="20"/>
        <v>0</v>
      </c>
    </row>
    <row r="376" spans="1:35" ht="15" x14ac:dyDescent="0.2">
      <c r="A376" s="190" t="s">
        <v>1813</v>
      </c>
      <c r="B376" s="146" t="s">
        <v>668</v>
      </c>
      <c r="C376" s="190" t="s">
        <v>1813</v>
      </c>
      <c r="D376" s="189" t="s">
        <v>1716</v>
      </c>
      <c r="E376" s="146" t="s">
        <v>670</v>
      </c>
      <c r="F376" s="146" t="s">
        <v>671</v>
      </c>
      <c r="G376" s="146" t="s">
        <v>672</v>
      </c>
      <c r="H376" s="148">
        <v>3.49</v>
      </c>
      <c r="I376" s="146" t="s">
        <v>673</v>
      </c>
      <c r="J376" s="149">
        <v>1</v>
      </c>
      <c r="K376" s="150">
        <v>2021</v>
      </c>
      <c r="L376" s="151" t="s">
        <v>1814</v>
      </c>
      <c r="M376" s="151" t="s">
        <v>872</v>
      </c>
      <c r="N376" s="172"/>
      <c r="O376" s="153"/>
      <c r="P376" s="154" t="s">
        <v>676</v>
      </c>
      <c r="Q376" s="154"/>
      <c r="R376" s="155">
        <v>5</v>
      </c>
      <c r="S376" s="168"/>
      <c r="T376" s="168"/>
      <c r="U376" s="146"/>
      <c r="V376" s="146"/>
      <c r="W376" s="146"/>
      <c r="X376" s="156">
        <v>0</v>
      </c>
      <c r="Y376" s="156">
        <v>0</v>
      </c>
      <c r="Z376" s="157" t="s">
        <v>1454</v>
      </c>
      <c r="AA376" s="158">
        <v>2021</v>
      </c>
      <c r="AB376" s="158">
        <v>8</v>
      </c>
      <c r="AC376" s="158">
        <v>12</v>
      </c>
      <c r="AD376" s="122" t="b">
        <f>IF(ISBLANK(GroupMember[[#This Row],[1. Identifiant interne d’exploitation agricole*]]),"",IF(ISERROR(MATCH(GroupMember[[#This Row],[1. Identifiant interne d’exploitation agricole*]],CertifiedCrop[1. Identifiant interne d’exploitation agricole*],0)),FALSE,TRUE))</f>
        <v>1</v>
      </c>
      <c r="AE376" s="122" t="b">
        <f>IF(ISBLANK(GroupMember[[#This Row],[1. Identifiant interne d’exploitation agricole*]]),"",IF(ISERROR(MATCH(GroupMember[[#This Row],[1. Identifiant interne d’exploitation agricole*]],FarmUnit[1. Identifiant interne d’exploitation agricole*],0)),FALSE,TRUE))</f>
        <v>1</v>
      </c>
      <c r="AF376" s="9" t="str">
        <f t="shared" si="18"/>
        <v>SOW  ADAMA</v>
      </c>
      <c r="AG376" s="243" t="str">
        <f t="shared" si="19"/>
        <v>12/8/2021</v>
      </c>
      <c r="AH376" s="51">
        <f>COUNTIFS(Z:Z,Z376,AG:AG,AG376)</f>
        <v>4</v>
      </c>
      <c r="AI376" s="49">
        <f t="shared" si="20"/>
        <v>0</v>
      </c>
    </row>
    <row r="377" spans="1:35" ht="15" x14ac:dyDescent="0.2">
      <c r="A377" s="190" t="s">
        <v>1815</v>
      </c>
      <c r="B377" s="146" t="s">
        <v>668</v>
      </c>
      <c r="C377" s="190" t="s">
        <v>1815</v>
      </c>
      <c r="D377" s="189" t="s">
        <v>1716</v>
      </c>
      <c r="E377" s="146" t="s">
        <v>670</v>
      </c>
      <c r="F377" s="146" t="s">
        <v>671</v>
      </c>
      <c r="G377" s="146" t="s">
        <v>672</v>
      </c>
      <c r="H377" s="148">
        <v>1.07</v>
      </c>
      <c r="I377" s="146" t="s">
        <v>673</v>
      </c>
      <c r="J377" s="149">
        <v>1</v>
      </c>
      <c r="K377" s="150">
        <v>2021</v>
      </c>
      <c r="L377" s="151" t="s">
        <v>803</v>
      </c>
      <c r="M377" s="151" t="s">
        <v>1220</v>
      </c>
      <c r="N377" s="152" t="s">
        <v>1816</v>
      </c>
      <c r="O377" s="153"/>
      <c r="P377" s="154" t="s">
        <v>676</v>
      </c>
      <c r="Q377" s="154"/>
      <c r="R377" s="155">
        <v>7</v>
      </c>
      <c r="S377" s="168"/>
      <c r="T377" s="168"/>
      <c r="U377" s="146"/>
      <c r="V377" s="146"/>
      <c r="W377" s="146"/>
      <c r="X377" s="156">
        <v>0</v>
      </c>
      <c r="Y377" s="156">
        <v>0</v>
      </c>
      <c r="Z377" s="157" t="s">
        <v>1454</v>
      </c>
      <c r="AA377" s="158">
        <v>2021</v>
      </c>
      <c r="AB377" s="158">
        <v>8</v>
      </c>
      <c r="AC377" s="158">
        <v>14</v>
      </c>
      <c r="AD377" s="122" t="b">
        <f>IF(ISBLANK(GroupMember[[#This Row],[1. Identifiant interne d’exploitation agricole*]]),"",IF(ISERROR(MATCH(GroupMember[[#This Row],[1. Identifiant interne d’exploitation agricole*]],CertifiedCrop[1. Identifiant interne d’exploitation agricole*],0)),FALSE,TRUE))</f>
        <v>1</v>
      </c>
      <c r="AE377" s="122" t="b">
        <f>IF(ISBLANK(GroupMember[[#This Row],[1. Identifiant interne d’exploitation agricole*]]),"",IF(ISERROR(MATCH(GroupMember[[#This Row],[1. Identifiant interne d’exploitation agricole*]],FarmUnit[1. Identifiant interne d’exploitation agricole*],0)),FALSE,TRUE))</f>
        <v>1</v>
      </c>
      <c r="AF377" s="9" t="str">
        <f t="shared" si="18"/>
        <v>GUEU  EMMANUEL</v>
      </c>
      <c r="AG377" s="243" t="str">
        <f t="shared" si="19"/>
        <v>14/8/2021</v>
      </c>
      <c r="AH377" s="51">
        <f>COUNTIFS(Z:Z,Z377,AG:AG,AG377)</f>
        <v>4</v>
      </c>
      <c r="AI377" s="49">
        <f t="shared" si="20"/>
        <v>0</v>
      </c>
    </row>
    <row r="378" spans="1:35" ht="15" x14ac:dyDescent="0.2">
      <c r="A378" s="190" t="s">
        <v>1817</v>
      </c>
      <c r="B378" s="146" t="s">
        <v>668</v>
      </c>
      <c r="C378" s="190" t="s">
        <v>1817</v>
      </c>
      <c r="D378" s="189" t="s">
        <v>1716</v>
      </c>
      <c r="E378" s="146" t="s">
        <v>670</v>
      </c>
      <c r="F378" s="146" t="s">
        <v>671</v>
      </c>
      <c r="G378" s="146" t="s">
        <v>672</v>
      </c>
      <c r="H378" s="148">
        <v>1.1399999999999999</v>
      </c>
      <c r="I378" s="146" t="s">
        <v>673</v>
      </c>
      <c r="J378" s="149">
        <v>1</v>
      </c>
      <c r="K378" s="150">
        <v>2021</v>
      </c>
      <c r="L378" s="151" t="s">
        <v>1818</v>
      </c>
      <c r="M378" s="151" t="s">
        <v>1819</v>
      </c>
      <c r="N378" s="152" t="s">
        <v>1820</v>
      </c>
      <c r="O378" s="153"/>
      <c r="P378" s="154" t="s">
        <v>676</v>
      </c>
      <c r="Q378" s="154"/>
      <c r="R378" s="155">
        <v>45</v>
      </c>
      <c r="S378" s="168"/>
      <c r="T378" s="168"/>
      <c r="U378" s="146"/>
      <c r="V378" s="146"/>
      <c r="W378" s="146"/>
      <c r="X378" s="156">
        <v>0</v>
      </c>
      <c r="Y378" s="156">
        <v>0</v>
      </c>
      <c r="Z378" s="157" t="s">
        <v>1454</v>
      </c>
      <c r="AA378" s="158">
        <v>2021</v>
      </c>
      <c r="AB378" s="158">
        <v>8</v>
      </c>
      <c r="AC378" s="158">
        <v>11</v>
      </c>
      <c r="AD378" s="122" t="b">
        <f>IF(ISBLANK(GroupMember[[#This Row],[1. Identifiant interne d’exploitation agricole*]]),"",IF(ISERROR(MATCH(GroupMember[[#This Row],[1. Identifiant interne d’exploitation agricole*]],CertifiedCrop[1. Identifiant interne d’exploitation agricole*],0)),FALSE,TRUE))</f>
        <v>1</v>
      </c>
      <c r="AE378" s="122" t="b">
        <f>IF(ISBLANK(GroupMember[[#This Row],[1. Identifiant interne d’exploitation agricole*]]),"",IF(ISERROR(MATCH(GroupMember[[#This Row],[1. Identifiant interne d’exploitation agricole*]],FarmUnit[1. Identifiant interne d’exploitation agricole*],0)),FALSE,TRUE))</f>
        <v>1</v>
      </c>
      <c r="AF378" s="9" t="str">
        <f t="shared" si="18"/>
        <v>MANLE  BLE</v>
      </c>
      <c r="AG378" s="243" t="str">
        <f t="shared" si="19"/>
        <v>11/8/2021</v>
      </c>
      <c r="AH378" s="51">
        <f>COUNTIFS(Z:Z,Z378,AG:AG,AG378)</f>
        <v>4</v>
      </c>
      <c r="AI378" s="49">
        <f t="shared" si="20"/>
        <v>0</v>
      </c>
    </row>
    <row r="379" spans="1:35" ht="15" x14ac:dyDescent="0.2">
      <c r="A379" s="190" t="s">
        <v>1821</v>
      </c>
      <c r="B379" s="146" t="s">
        <v>668</v>
      </c>
      <c r="C379" s="190" t="s">
        <v>1821</v>
      </c>
      <c r="D379" s="189" t="s">
        <v>1716</v>
      </c>
      <c r="E379" s="146" t="s">
        <v>670</v>
      </c>
      <c r="F379" s="146" t="s">
        <v>671</v>
      </c>
      <c r="G379" s="146" t="s">
        <v>672</v>
      </c>
      <c r="H379" s="148">
        <v>2.86</v>
      </c>
      <c r="I379" s="146" t="s">
        <v>673</v>
      </c>
      <c r="J379" s="149">
        <v>1</v>
      </c>
      <c r="K379" s="150">
        <v>2021</v>
      </c>
      <c r="L379" s="151" t="s">
        <v>1547</v>
      </c>
      <c r="M379" s="151" t="s">
        <v>1822</v>
      </c>
      <c r="N379" s="152" t="s">
        <v>1823</v>
      </c>
      <c r="O379" s="153"/>
      <c r="P379" s="154" t="s">
        <v>676</v>
      </c>
      <c r="Q379" s="154"/>
      <c r="R379" s="155">
        <v>8</v>
      </c>
      <c r="S379" s="168"/>
      <c r="T379" s="168"/>
      <c r="U379" s="146"/>
      <c r="V379" s="146"/>
      <c r="W379" s="146"/>
      <c r="X379" s="156">
        <v>0</v>
      </c>
      <c r="Y379" s="156">
        <v>0</v>
      </c>
      <c r="Z379" s="157" t="s">
        <v>1454</v>
      </c>
      <c r="AA379" s="158">
        <v>2021</v>
      </c>
      <c r="AB379" s="158">
        <v>8</v>
      </c>
      <c r="AC379" s="158">
        <v>12</v>
      </c>
      <c r="AD379" s="122" t="b">
        <f>IF(ISBLANK(GroupMember[[#This Row],[1. Identifiant interne d’exploitation agricole*]]),"",IF(ISERROR(MATCH(GroupMember[[#This Row],[1. Identifiant interne d’exploitation agricole*]],CertifiedCrop[1. Identifiant interne d’exploitation agricole*],0)),FALSE,TRUE))</f>
        <v>1</v>
      </c>
      <c r="AE379" s="122" t="b">
        <f>IF(ISBLANK(GroupMember[[#This Row],[1. Identifiant interne d’exploitation agricole*]]),"",IF(ISERROR(MATCH(GroupMember[[#This Row],[1. Identifiant interne d’exploitation agricole*]],FarmUnit[1. Identifiant interne d’exploitation agricole*],0)),FALSE,TRUE))</f>
        <v>1</v>
      </c>
      <c r="AF379" s="9" t="str">
        <f t="shared" si="18"/>
        <v>BONI  GBEHO</v>
      </c>
      <c r="AG379" s="243" t="str">
        <f t="shared" si="19"/>
        <v>12/8/2021</v>
      </c>
      <c r="AH379" s="51">
        <f>COUNTIFS(Z:Z,Z379,AG:AG,AG379)</f>
        <v>4</v>
      </c>
      <c r="AI379" s="49">
        <f t="shared" si="20"/>
        <v>0</v>
      </c>
    </row>
    <row r="380" spans="1:35" ht="15" x14ac:dyDescent="0.2">
      <c r="A380" s="190" t="s">
        <v>1824</v>
      </c>
      <c r="B380" s="146" t="s">
        <v>668</v>
      </c>
      <c r="C380" s="190" t="s">
        <v>1824</v>
      </c>
      <c r="D380" s="189" t="s">
        <v>1716</v>
      </c>
      <c r="E380" s="146" t="s">
        <v>670</v>
      </c>
      <c r="F380" s="146" t="s">
        <v>671</v>
      </c>
      <c r="G380" s="146" t="s">
        <v>672</v>
      </c>
      <c r="H380" s="148">
        <v>1.21</v>
      </c>
      <c r="I380" s="146" t="s">
        <v>673</v>
      </c>
      <c r="J380" s="149">
        <v>1</v>
      </c>
      <c r="K380" s="150">
        <v>2021</v>
      </c>
      <c r="L380" s="151" t="s">
        <v>1825</v>
      </c>
      <c r="M380" s="151" t="s">
        <v>1826</v>
      </c>
      <c r="N380" s="152"/>
      <c r="O380" s="153"/>
      <c r="P380" s="154" t="s">
        <v>676</v>
      </c>
      <c r="Q380" s="154"/>
      <c r="R380" s="155">
        <v>6</v>
      </c>
      <c r="S380" s="168"/>
      <c r="T380" s="168"/>
      <c r="U380" s="146"/>
      <c r="V380" s="146"/>
      <c r="W380" s="146"/>
      <c r="X380" s="156">
        <v>0</v>
      </c>
      <c r="Y380" s="156">
        <v>0</v>
      </c>
      <c r="Z380" s="157" t="s">
        <v>1454</v>
      </c>
      <c r="AA380" s="158">
        <v>2021</v>
      </c>
      <c r="AB380" s="158">
        <v>8</v>
      </c>
      <c r="AC380" s="158">
        <v>10</v>
      </c>
      <c r="AD380" s="122" t="b">
        <f>IF(ISBLANK(GroupMember[[#This Row],[1. Identifiant interne d’exploitation agricole*]]),"",IF(ISERROR(MATCH(GroupMember[[#This Row],[1. Identifiant interne d’exploitation agricole*]],CertifiedCrop[1. Identifiant interne d’exploitation agricole*],0)),FALSE,TRUE))</f>
        <v>1</v>
      </c>
      <c r="AE380" s="122" t="b">
        <f>IF(ISBLANK(GroupMember[[#This Row],[1. Identifiant interne d’exploitation agricole*]]),"",IF(ISERROR(MATCH(GroupMember[[#This Row],[1. Identifiant interne d’exploitation agricole*]],FarmUnit[1. Identifiant interne d’exploitation agricole*],0)),FALSE,TRUE))</f>
        <v>1</v>
      </c>
      <c r="AF380" s="9" t="str">
        <f t="shared" si="18"/>
        <v>GOGBEU  FREDERIC</v>
      </c>
      <c r="AG380" s="243" t="str">
        <f t="shared" si="19"/>
        <v>10/8/2021</v>
      </c>
      <c r="AH380" s="51">
        <f>COUNTIFS(Z:Z,Z380,AG:AG,AG380)</f>
        <v>4</v>
      </c>
      <c r="AI380" s="49">
        <f t="shared" si="20"/>
        <v>0</v>
      </c>
    </row>
    <row r="381" spans="1:35" ht="15" x14ac:dyDescent="0.2">
      <c r="A381" s="190" t="s">
        <v>1827</v>
      </c>
      <c r="B381" s="146" t="s">
        <v>668</v>
      </c>
      <c r="C381" s="190" t="s">
        <v>1827</v>
      </c>
      <c r="D381" s="189" t="s">
        <v>1716</v>
      </c>
      <c r="E381" s="146" t="s">
        <v>670</v>
      </c>
      <c r="F381" s="146" t="s">
        <v>671</v>
      </c>
      <c r="G381" s="146" t="s">
        <v>672</v>
      </c>
      <c r="H381" s="148">
        <v>1.53</v>
      </c>
      <c r="I381" s="146" t="s">
        <v>673</v>
      </c>
      <c r="J381" s="149">
        <v>1</v>
      </c>
      <c r="K381" s="150">
        <v>2021</v>
      </c>
      <c r="L381" s="151" t="s">
        <v>1828</v>
      </c>
      <c r="M381" s="151" t="s">
        <v>1829</v>
      </c>
      <c r="N381" s="172"/>
      <c r="O381" s="153"/>
      <c r="P381" s="154" t="s">
        <v>676</v>
      </c>
      <c r="Q381" s="154"/>
      <c r="R381" s="155">
        <v>5</v>
      </c>
      <c r="S381" s="168"/>
      <c r="T381" s="168"/>
      <c r="U381" s="146"/>
      <c r="V381" s="146"/>
      <c r="W381" s="146"/>
      <c r="X381" s="156">
        <v>0</v>
      </c>
      <c r="Y381" s="156">
        <v>0</v>
      </c>
      <c r="Z381" s="157" t="s">
        <v>1454</v>
      </c>
      <c r="AA381" s="158">
        <v>2021</v>
      </c>
      <c r="AB381" s="158">
        <v>7</v>
      </c>
      <c r="AC381" s="158">
        <v>8</v>
      </c>
      <c r="AD381" s="122" t="b">
        <f>IF(ISBLANK(GroupMember[[#This Row],[1. Identifiant interne d’exploitation agricole*]]),"",IF(ISERROR(MATCH(GroupMember[[#This Row],[1. Identifiant interne d’exploitation agricole*]],CertifiedCrop[1. Identifiant interne d’exploitation agricole*],0)),FALSE,TRUE))</f>
        <v>1</v>
      </c>
      <c r="AE381" s="122" t="b">
        <f>IF(ISBLANK(GroupMember[[#This Row],[1. Identifiant interne d’exploitation agricole*]]),"",IF(ISERROR(MATCH(GroupMember[[#This Row],[1. Identifiant interne d’exploitation agricole*]],FarmUnit[1. Identifiant interne d’exploitation agricole*],0)),FALSE,TRUE))</f>
        <v>1</v>
      </c>
      <c r="AF381" s="9" t="str">
        <f t="shared" si="18"/>
        <v>GOH  JOSEPH</v>
      </c>
      <c r="AG381" s="243" t="str">
        <f t="shared" si="19"/>
        <v>8/7/2021</v>
      </c>
      <c r="AH381" s="51">
        <f>COUNTIFS(Z:Z,Z381,AG:AG,AG381)</f>
        <v>5</v>
      </c>
      <c r="AI381" s="49">
        <f t="shared" si="20"/>
        <v>0</v>
      </c>
    </row>
    <row r="382" spans="1:35" ht="15" x14ac:dyDescent="0.2">
      <c r="A382" s="190" t="s">
        <v>1830</v>
      </c>
      <c r="B382" s="146" t="s">
        <v>668</v>
      </c>
      <c r="C382" s="190" t="s">
        <v>1830</v>
      </c>
      <c r="D382" s="189" t="s">
        <v>1716</v>
      </c>
      <c r="E382" s="146" t="s">
        <v>670</v>
      </c>
      <c r="F382" s="146" t="s">
        <v>671</v>
      </c>
      <c r="G382" s="146" t="s">
        <v>672</v>
      </c>
      <c r="H382" s="148">
        <v>15.93</v>
      </c>
      <c r="I382" s="146" t="s">
        <v>673</v>
      </c>
      <c r="J382" s="149">
        <v>1</v>
      </c>
      <c r="K382" s="150">
        <v>2021</v>
      </c>
      <c r="L382" s="151" t="s">
        <v>1363</v>
      </c>
      <c r="M382" s="151" t="s">
        <v>1831</v>
      </c>
      <c r="N382" s="172"/>
      <c r="O382" s="153"/>
      <c r="P382" s="154" t="s">
        <v>676</v>
      </c>
      <c r="Q382" s="154"/>
      <c r="R382" s="155">
        <v>4</v>
      </c>
      <c r="S382" s="168"/>
      <c r="T382" s="168"/>
      <c r="U382" s="146"/>
      <c r="V382" s="146"/>
      <c r="W382" s="146"/>
      <c r="X382" s="156">
        <v>0</v>
      </c>
      <c r="Y382" s="156">
        <v>1</v>
      </c>
      <c r="Z382" s="157" t="s">
        <v>1454</v>
      </c>
      <c r="AA382" s="158">
        <v>2021</v>
      </c>
      <c r="AB382" s="158">
        <v>7</v>
      </c>
      <c r="AC382" s="158">
        <v>16</v>
      </c>
      <c r="AD382" s="122" t="b">
        <f>IF(ISBLANK(GroupMember[[#This Row],[1. Identifiant interne d’exploitation agricole*]]),"",IF(ISERROR(MATCH(GroupMember[[#This Row],[1. Identifiant interne d’exploitation agricole*]],CertifiedCrop[1. Identifiant interne d’exploitation agricole*],0)),FALSE,TRUE))</f>
        <v>1</v>
      </c>
      <c r="AE382" s="122" t="b">
        <f>IF(ISBLANK(GroupMember[[#This Row],[1. Identifiant interne d’exploitation agricole*]]),"",IF(ISERROR(MATCH(GroupMember[[#This Row],[1. Identifiant interne d’exploitation agricole*]],FarmUnit[1. Identifiant interne d’exploitation agricole*],0)),FALSE,TRUE))</f>
        <v>1</v>
      </c>
      <c r="AF382" s="9" t="str">
        <f t="shared" si="18"/>
        <v>OUMAROU  TRAORE</v>
      </c>
      <c r="AG382" s="243" t="str">
        <f t="shared" si="19"/>
        <v>16/7/2021</v>
      </c>
      <c r="AH382" s="51">
        <f>COUNTIFS(Z:Z,Z382,AG:AG,AG382)</f>
        <v>4</v>
      </c>
      <c r="AI382" s="49">
        <f t="shared" si="20"/>
        <v>8.3333333333333329E-2</v>
      </c>
    </row>
    <row r="383" spans="1:35" ht="15" x14ac:dyDescent="0.2">
      <c r="A383" s="190" t="s">
        <v>1832</v>
      </c>
      <c r="B383" s="146" t="s">
        <v>668</v>
      </c>
      <c r="C383" s="190" t="s">
        <v>1832</v>
      </c>
      <c r="D383" s="189" t="s">
        <v>1716</v>
      </c>
      <c r="E383" s="146" t="s">
        <v>670</v>
      </c>
      <c r="F383" s="146" t="s">
        <v>671</v>
      </c>
      <c r="G383" s="146" t="s">
        <v>672</v>
      </c>
      <c r="H383" s="148">
        <v>5.59</v>
      </c>
      <c r="I383" s="146" t="s">
        <v>673</v>
      </c>
      <c r="J383" s="149">
        <v>1</v>
      </c>
      <c r="K383" s="150">
        <v>2021</v>
      </c>
      <c r="L383" s="159" t="s">
        <v>1223</v>
      </c>
      <c r="M383" s="159" t="s">
        <v>1833</v>
      </c>
      <c r="N383" s="160" t="s">
        <v>1834</v>
      </c>
      <c r="O383" s="153"/>
      <c r="P383" s="154" t="s">
        <v>676</v>
      </c>
      <c r="Q383" s="154"/>
      <c r="R383" s="155">
        <v>7</v>
      </c>
      <c r="S383" s="168"/>
      <c r="T383" s="168"/>
      <c r="U383" s="146"/>
      <c r="V383" s="146"/>
      <c r="W383" s="146"/>
      <c r="X383" s="156">
        <v>0</v>
      </c>
      <c r="Y383" s="156">
        <v>0</v>
      </c>
      <c r="Z383" s="157" t="s">
        <v>1454</v>
      </c>
      <c r="AA383" s="158">
        <v>2021</v>
      </c>
      <c r="AB383" s="158">
        <v>8</v>
      </c>
      <c r="AC383" s="158">
        <v>12</v>
      </c>
      <c r="AD383" s="122" t="b">
        <f>IF(ISBLANK(GroupMember[[#This Row],[1. Identifiant interne d’exploitation agricole*]]),"",IF(ISERROR(MATCH(GroupMember[[#This Row],[1. Identifiant interne d’exploitation agricole*]],CertifiedCrop[1. Identifiant interne d’exploitation agricole*],0)),FALSE,TRUE))</f>
        <v>1</v>
      </c>
      <c r="AE383" s="122" t="b">
        <f>IF(ISBLANK(GroupMember[[#This Row],[1. Identifiant interne d’exploitation agricole*]]),"",IF(ISERROR(MATCH(GroupMember[[#This Row],[1. Identifiant interne d’exploitation agricole*]],FarmUnit[1. Identifiant interne d’exploitation agricole*],0)),FALSE,TRUE))</f>
        <v>1</v>
      </c>
      <c r="AF383" s="9" t="str">
        <f t="shared" si="18"/>
        <v>KONKOBO  AMBROISE</v>
      </c>
      <c r="AG383" s="243" t="str">
        <f t="shared" si="19"/>
        <v>12/8/2021</v>
      </c>
      <c r="AH383" s="51">
        <f>COUNTIFS(Z:Z,Z383,AG:AG,AG383)</f>
        <v>4</v>
      </c>
      <c r="AI383" s="49">
        <f t="shared" si="20"/>
        <v>0</v>
      </c>
    </row>
    <row r="384" spans="1:35" ht="15" x14ac:dyDescent="0.2">
      <c r="A384" s="190" t="s">
        <v>1835</v>
      </c>
      <c r="B384" s="146" t="s">
        <v>668</v>
      </c>
      <c r="C384" s="190" t="s">
        <v>1835</v>
      </c>
      <c r="D384" s="189" t="s">
        <v>1716</v>
      </c>
      <c r="E384" s="146" t="s">
        <v>670</v>
      </c>
      <c r="F384" s="146" t="s">
        <v>671</v>
      </c>
      <c r="G384" s="146" t="s">
        <v>672</v>
      </c>
      <c r="H384" s="148">
        <v>3.49</v>
      </c>
      <c r="I384" s="146" t="s">
        <v>673</v>
      </c>
      <c r="J384" s="149">
        <v>1</v>
      </c>
      <c r="K384" s="150">
        <v>2021</v>
      </c>
      <c r="L384" s="151" t="s">
        <v>1836</v>
      </c>
      <c r="M384" s="151" t="s">
        <v>1837</v>
      </c>
      <c r="N384" s="172" t="s">
        <v>1838</v>
      </c>
      <c r="O384" s="153"/>
      <c r="P384" s="154" t="s">
        <v>676</v>
      </c>
      <c r="Q384" s="154"/>
      <c r="R384" s="155">
        <v>4</v>
      </c>
      <c r="S384" s="168"/>
      <c r="T384" s="168"/>
      <c r="U384" s="146"/>
      <c r="V384" s="146"/>
      <c r="W384" s="146"/>
      <c r="X384" s="156">
        <v>0</v>
      </c>
      <c r="Y384" s="156">
        <v>0</v>
      </c>
      <c r="Z384" s="157" t="s">
        <v>1454</v>
      </c>
      <c r="AA384" s="158">
        <v>2021</v>
      </c>
      <c r="AB384" s="158">
        <v>8</v>
      </c>
      <c r="AC384" s="158">
        <v>14</v>
      </c>
      <c r="AD384" s="122" t="b">
        <f>IF(ISBLANK(GroupMember[[#This Row],[1. Identifiant interne d’exploitation agricole*]]),"",IF(ISERROR(MATCH(GroupMember[[#This Row],[1. Identifiant interne d’exploitation agricole*]],CertifiedCrop[1. Identifiant interne d’exploitation agricole*],0)),FALSE,TRUE))</f>
        <v>1</v>
      </c>
      <c r="AE384" s="122" t="b">
        <f>IF(ISBLANK(GroupMember[[#This Row],[1. Identifiant interne d’exploitation agricole*]]),"",IF(ISERROR(MATCH(GroupMember[[#This Row],[1. Identifiant interne d’exploitation agricole*]],FarmUnit[1. Identifiant interne d’exploitation agricole*],0)),FALSE,TRUE))</f>
        <v>1</v>
      </c>
      <c r="AF384" s="9" t="str">
        <f t="shared" si="18"/>
        <v>BATOIA  MARCEL</v>
      </c>
      <c r="AG384" s="243" t="str">
        <f t="shared" si="19"/>
        <v>14/8/2021</v>
      </c>
      <c r="AH384" s="51">
        <f>COUNTIFS(Z:Z,Z384,AG:AG,AG384)</f>
        <v>4</v>
      </c>
      <c r="AI384" s="49">
        <f t="shared" si="20"/>
        <v>0</v>
      </c>
    </row>
    <row r="385" spans="1:35" ht="15" x14ac:dyDescent="0.2">
      <c r="A385" s="190" t="s">
        <v>1839</v>
      </c>
      <c r="B385" s="146" t="s">
        <v>668</v>
      </c>
      <c r="C385" s="190" t="s">
        <v>1839</v>
      </c>
      <c r="D385" s="189" t="s">
        <v>1716</v>
      </c>
      <c r="E385" s="146" t="s">
        <v>670</v>
      </c>
      <c r="F385" s="146" t="s">
        <v>671</v>
      </c>
      <c r="G385" s="146" t="s">
        <v>672</v>
      </c>
      <c r="H385" s="148">
        <v>1.53</v>
      </c>
      <c r="I385" s="146" t="s">
        <v>673</v>
      </c>
      <c r="J385" s="149">
        <v>1</v>
      </c>
      <c r="K385" s="150">
        <v>2021</v>
      </c>
      <c r="L385" s="151" t="s">
        <v>1840</v>
      </c>
      <c r="M385" s="151" t="s">
        <v>1841</v>
      </c>
      <c r="N385" s="152" t="s">
        <v>1842</v>
      </c>
      <c r="O385" s="153"/>
      <c r="P385" s="154" t="s">
        <v>676</v>
      </c>
      <c r="Q385" s="154"/>
      <c r="R385" s="155">
        <v>5</v>
      </c>
      <c r="S385" s="168"/>
      <c r="T385" s="168"/>
      <c r="U385" s="146"/>
      <c r="V385" s="146"/>
      <c r="W385" s="146"/>
      <c r="X385" s="156">
        <v>0</v>
      </c>
      <c r="Y385" s="156">
        <v>0</v>
      </c>
      <c r="Z385" s="157" t="s">
        <v>1454</v>
      </c>
      <c r="AA385" s="158">
        <v>2021</v>
      </c>
      <c r="AB385" s="158">
        <v>8</v>
      </c>
      <c r="AC385" s="158">
        <v>11</v>
      </c>
      <c r="AD385" s="122" t="b">
        <f>IF(ISBLANK(GroupMember[[#This Row],[1. Identifiant interne d’exploitation agricole*]]),"",IF(ISERROR(MATCH(GroupMember[[#This Row],[1. Identifiant interne d’exploitation agricole*]],CertifiedCrop[1. Identifiant interne d’exploitation agricole*],0)),FALSE,TRUE))</f>
        <v>1</v>
      </c>
      <c r="AE385" s="122" t="b">
        <f>IF(ISBLANK(GroupMember[[#This Row],[1. Identifiant interne d’exploitation agricole*]]),"",IF(ISERROR(MATCH(GroupMember[[#This Row],[1. Identifiant interne d’exploitation agricole*]],FarmUnit[1. Identifiant interne d’exploitation agricole*],0)),FALSE,TRUE))</f>
        <v>1</v>
      </c>
      <c r="AF385" s="9" t="str">
        <f t="shared" si="18"/>
        <v>KOUAPLEU MARCEL</v>
      </c>
      <c r="AG385" s="243" t="str">
        <f t="shared" si="19"/>
        <v>11/8/2021</v>
      </c>
      <c r="AH385" s="51">
        <f>COUNTIFS(Z:Z,Z385,AG:AG,AG385)</f>
        <v>4</v>
      </c>
      <c r="AI385" s="49">
        <f t="shared" si="20"/>
        <v>0</v>
      </c>
    </row>
    <row r="386" spans="1:35" ht="15" x14ac:dyDescent="0.2">
      <c r="A386" s="190" t="s">
        <v>1843</v>
      </c>
      <c r="B386" s="146" t="s">
        <v>668</v>
      </c>
      <c r="C386" s="190" t="s">
        <v>1843</v>
      </c>
      <c r="D386" s="189" t="s">
        <v>1716</v>
      </c>
      <c r="E386" s="146" t="s">
        <v>670</v>
      </c>
      <c r="F386" s="146" t="s">
        <v>671</v>
      </c>
      <c r="G386" s="146" t="s">
        <v>672</v>
      </c>
      <c r="H386" s="148">
        <v>1.1100000000000001</v>
      </c>
      <c r="I386" s="146" t="s">
        <v>673</v>
      </c>
      <c r="J386" s="149">
        <v>1</v>
      </c>
      <c r="K386" s="150">
        <v>2021</v>
      </c>
      <c r="L386" s="151" t="s">
        <v>1844</v>
      </c>
      <c r="M386" s="151" t="s">
        <v>1013</v>
      </c>
      <c r="N386" s="172"/>
      <c r="O386" s="153"/>
      <c r="P386" s="154" t="s">
        <v>676</v>
      </c>
      <c r="Q386" s="154"/>
      <c r="R386" s="155">
        <v>8</v>
      </c>
      <c r="S386" s="168"/>
      <c r="T386" s="168"/>
      <c r="U386" s="146"/>
      <c r="V386" s="146"/>
      <c r="W386" s="146"/>
      <c r="X386" s="156">
        <v>0</v>
      </c>
      <c r="Y386" s="156">
        <v>0</v>
      </c>
      <c r="Z386" s="157" t="s">
        <v>1454</v>
      </c>
      <c r="AA386" s="158">
        <v>2021</v>
      </c>
      <c r="AB386" s="158">
        <v>8</v>
      </c>
      <c r="AC386" s="158">
        <v>17</v>
      </c>
      <c r="AD386" s="122" t="b">
        <f>IF(ISBLANK(GroupMember[[#This Row],[1. Identifiant interne d’exploitation agricole*]]),"",IF(ISERROR(MATCH(GroupMember[[#This Row],[1. Identifiant interne d’exploitation agricole*]],CertifiedCrop[1. Identifiant interne d’exploitation agricole*],0)),FALSE,TRUE))</f>
        <v>1</v>
      </c>
      <c r="AE386" s="122" t="b">
        <f>IF(ISBLANK(GroupMember[[#This Row],[1. Identifiant interne d’exploitation agricole*]]),"",IF(ISERROR(MATCH(GroupMember[[#This Row],[1. Identifiant interne d’exploitation agricole*]],FarmUnit[1. Identifiant interne d’exploitation agricole*],0)),FALSE,TRUE))</f>
        <v>1</v>
      </c>
      <c r="AF386" s="9" t="str">
        <f t="shared" si="18"/>
        <v>GONLI  RICHARD</v>
      </c>
      <c r="AG386" s="243" t="str">
        <f t="shared" si="19"/>
        <v>17/8/2021</v>
      </c>
      <c r="AH386" s="51">
        <f>COUNTIFS(Z:Z,Z386,AG:AG,AG386)</f>
        <v>3</v>
      </c>
      <c r="AI386" s="49">
        <f t="shared" si="20"/>
        <v>0</v>
      </c>
    </row>
    <row r="387" spans="1:35" ht="15" x14ac:dyDescent="0.2">
      <c r="A387" s="190" t="s">
        <v>1845</v>
      </c>
      <c r="B387" s="146" t="s">
        <v>668</v>
      </c>
      <c r="C387" s="190" t="s">
        <v>1845</v>
      </c>
      <c r="D387" s="189" t="s">
        <v>1716</v>
      </c>
      <c r="E387" s="146" t="s">
        <v>670</v>
      </c>
      <c r="F387" s="146" t="s">
        <v>671</v>
      </c>
      <c r="G387" s="146" t="s">
        <v>672</v>
      </c>
      <c r="H387" s="148">
        <v>3.7</v>
      </c>
      <c r="I387" s="146" t="s">
        <v>673</v>
      </c>
      <c r="J387" s="149">
        <v>1</v>
      </c>
      <c r="K387" s="150">
        <v>2021</v>
      </c>
      <c r="L387" s="178" t="s">
        <v>1846</v>
      </c>
      <c r="M387" s="178" t="s">
        <v>1847</v>
      </c>
      <c r="N387" s="152" t="s">
        <v>1848</v>
      </c>
      <c r="O387" s="153"/>
      <c r="P387" s="154" t="s">
        <v>676</v>
      </c>
      <c r="Q387" s="154"/>
      <c r="R387" s="155">
        <v>6</v>
      </c>
      <c r="S387" s="168"/>
      <c r="T387" s="168"/>
      <c r="U387" s="146"/>
      <c r="V387" s="146"/>
      <c r="W387" s="146"/>
      <c r="X387" s="156">
        <v>0</v>
      </c>
      <c r="Y387" s="156">
        <v>0</v>
      </c>
      <c r="Z387" s="157" t="s">
        <v>1454</v>
      </c>
      <c r="AA387" s="158">
        <v>2021</v>
      </c>
      <c r="AB387" s="158">
        <v>8</v>
      </c>
      <c r="AC387" s="158">
        <v>13</v>
      </c>
      <c r="AD387" s="122" t="b">
        <f>IF(ISBLANK(GroupMember[[#This Row],[1. Identifiant interne d’exploitation agricole*]]),"",IF(ISERROR(MATCH(GroupMember[[#This Row],[1. Identifiant interne d’exploitation agricole*]],CertifiedCrop[1. Identifiant interne d’exploitation agricole*],0)),FALSE,TRUE))</f>
        <v>1</v>
      </c>
      <c r="AE387" s="122" t="b">
        <f>IF(ISBLANK(GroupMember[[#This Row],[1. Identifiant interne d’exploitation agricole*]]),"",IF(ISERROR(MATCH(GroupMember[[#This Row],[1. Identifiant interne d’exploitation agricole*]],FarmUnit[1. Identifiant interne d’exploitation agricole*],0)),FALSE,TRUE))</f>
        <v>1</v>
      </c>
      <c r="AF387" s="9" t="str">
        <f t="shared" si="18"/>
        <v>KOUATO  ALEXIS</v>
      </c>
      <c r="AG387" s="243" t="str">
        <f t="shared" si="19"/>
        <v>13/8/2021</v>
      </c>
      <c r="AH387" s="51">
        <f>COUNTIFS(Z:Z,Z387,AG:AG,AG387)</f>
        <v>4</v>
      </c>
      <c r="AI387" s="49">
        <f t="shared" si="20"/>
        <v>0</v>
      </c>
    </row>
    <row r="388" spans="1:35" ht="15" x14ac:dyDescent="0.2">
      <c r="A388" s="190" t="s">
        <v>1849</v>
      </c>
      <c r="B388" s="146" t="s">
        <v>668</v>
      </c>
      <c r="C388" s="190" t="s">
        <v>1849</v>
      </c>
      <c r="D388" s="189" t="s">
        <v>1716</v>
      </c>
      <c r="E388" s="146" t="s">
        <v>670</v>
      </c>
      <c r="F388" s="146" t="s">
        <v>671</v>
      </c>
      <c r="G388" s="146" t="s">
        <v>672</v>
      </c>
      <c r="H388" s="148">
        <v>6.01</v>
      </c>
      <c r="I388" s="146" t="s">
        <v>673</v>
      </c>
      <c r="J388" s="149">
        <v>1</v>
      </c>
      <c r="K388" s="150">
        <v>2021</v>
      </c>
      <c r="L388" s="151" t="s">
        <v>1828</v>
      </c>
      <c r="M388" s="151" t="s">
        <v>1850</v>
      </c>
      <c r="N388" s="152" t="s">
        <v>1851</v>
      </c>
      <c r="O388" s="153"/>
      <c r="P388" s="154" t="s">
        <v>676</v>
      </c>
      <c r="Q388" s="154"/>
      <c r="R388" s="171">
        <v>7</v>
      </c>
      <c r="S388" s="168"/>
      <c r="T388" s="168"/>
      <c r="U388" s="146"/>
      <c r="V388" s="146"/>
      <c r="W388" s="146"/>
      <c r="X388" s="156">
        <v>0</v>
      </c>
      <c r="Y388" s="156">
        <v>0</v>
      </c>
      <c r="Z388" s="157" t="s">
        <v>1454</v>
      </c>
      <c r="AA388" s="158">
        <v>2021</v>
      </c>
      <c r="AB388" s="158">
        <v>8</v>
      </c>
      <c r="AC388" s="158">
        <v>17</v>
      </c>
      <c r="AD388" s="122" t="b">
        <f>IF(ISBLANK(GroupMember[[#This Row],[1. Identifiant interne d’exploitation agricole*]]),"",IF(ISERROR(MATCH(GroupMember[[#This Row],[1. Identifiant interne d’exploitation agricole*]],CertifiedCrop[1. Identifiant interne d’exploitation agricole*],0)),FALSE,TRUE))</f>
        <v>1</v>
      </c>
      <c r="AE388" s="122" t="b">
        <f>IF(ISBLANK(GroupMember[[#This Row],[1. Identifiant interne d’exploitation agricole*]]),"",IF(ISERROR(MATCH(GroupMember[[#This Row],[1. Identifiant interne d’exploitation agricole*]],FarmUnit[1. Identifiant interne d’exploitation agricole*],0)),FALSE,TRUE))</f>
        <v>1</v>
      </c>
      <c r="AF388" s="9" t="str">
        <f t="shared" si="18"/>
        <v>GOH EMMANUEL</v>
      </c>
      <c r="AG388" s="243" t="str">
        <f t="shared" si="19"/>
        <v>17/8/2021</v>
      </c>
      <c r="AH388" s="51">
        <f>COUNTIFS(Z:Z,Z388,AG:AG,AG388)</f>
        <v>3</v>
      </c>
      <c r="AI388" s="49">
        <f t="shared" si="20"/>
        <v>0</v>
      </c>
    </row>
    <row r="389" spans="1:35" ht="15" x14ac:dyDescent="0.2">
      <c r="A389" s="190" t="s">
        <v>1852</v>
      </c>
      <c r="B389" s="146" t="s">
        <v>668</v>
      </c>
      <c r="C389" s="190" t="s">
        <v>1852</v>
      </c>
      <c r="D389" s="189" t="s">
        <v>1853</v>
      </c>
      <c r="E389" s="146" t="s">
        <v>670</v>
      </c>
      <c r="F389" s="146" t="s">
        <v>671</v>
      </c>
      <c r="G389" s="146" t="s">
        <v>672</v>
      </c>
      <c r="H389" s="148">
        <v>1.02</v>
      </c>
      <c r="I389" s="146" t="s">
        <v>673</v>
      </c>
      <c r="J389" s="149">
        <v>1</v>
      </c>
      <c r="K389" s="150">
        <v>2021</v>
      </c>
      <c r="L389" s="151" t="s">
        <v>1854</v>
      </c>
      <c r="M389" s="151" t="s">
        <v>1855</v>
      </c>
      <c r="N389" s="172"/>
      <c r="O389" s="153"/>
      <c r="P389" s="154" t="s">
        <v>676</v>
      </c>
      <c r="Q389" s="154"/>
      <c r="R389" s="155">
        <v>8</v>
      </c>
      <c r="S389" s="168"/>
      <c r="T389" s="168"/>
      <c r="U389" s="146"/>
      <c r="V389" s="146"/>
      <c r="W389" s="146"/>
      <c r="X389" s="156">
        <v>0</v>
      </c>
      <c r="Y389" s="156">
        <v>0</v>
      </c>
      <c r="Z389" s="157" t="s">
        <v>1454</v>
      </c>
      <c r="AA389" s="158">
        <v>2021</v>
      </c>
      <c r="AB389" s="158">
        <v>8</v>
      </c>
      <c r="AC389" s="158">
        <v>11</v>
      </c>
      <c r="AD389" s="122" t="b">
        <f>IF(ISBLANK(GroupMember[[#This Row],[1. Identifiant interne d’exploitation agricole*]]),"",IF(ISERROR(MATCH(GroupMember[[#This Row],[1. Identifiant interne d’exploitation agricole*]],CertifiedCrop[1. Identifiant interne d’exploitation agricole*],0)),FALSE,TRUE))</f>
        <v>1</v>
      </c>
      <c r="AE389" s="122" t="b">
        <f>IF(ISBLANK(GroupMember[[#This Row],[1. Identifiant interne d’exploitation agricole*]]),"",IF(ISERROR(MATCH(GroupMember[[#This Row],[1. Identifiant interne d’exploitation agricole*]],FarmUnit[1. Identifiant interne d’exploitation agricole*],0)),FALSE,TRUE))</f>
        <v>1</v>
      </c>
      <c r="AF389" s="9" t="str">
        <f t="shared" si="18"/>
        <v>BOUIN SERGES</v>
      </c>
      <c r="AG389" s="243" t="str">
        <f t="shared" si="19"/>
        <v>11/8/2021</v>
      </c>
      <c r="AH389" s="51">
        <f>COUNTIFS(Z:Z,Z389,AG:AG,AG389)</f>
        <v>4</v>
      </c>
      <c r="AI389" s="49">
        <f t="shared" si="20"/>
        <v>0</v>
      </c>
    </row>
    <row r="390" spans="1:35" ht="15" x14ac:dyDescent="0.2">
      <c r="A390" s="150" t="s">
        <v>1856</v>
      </c>
      <c r="B390" s="146" t="s">
        <v>668</v>
      </c>
      <c r="C390" s="150" t="s">
        <v>1856</v>
      </c>
      <c r="D390" s="189" t="s">
        <v>1853</v>
      </c>
      <c r="E390" s="146" t="s">
        <v>670</v>
      </c>
      <c r="F390" s="146" t="s">
        <v>671</v>
      </c>
      <c r="G390" s="146" t="s">
        <v>672</v>
      </c>
      <c r="H390" s="148">
        <v>4</v>
      </c>
      <c r="I390" s="146" t="s">
        <v>673</v>
      </c>
      <c r="J390" s="149">
        <v>1</v>
      </c>
      <c r="K390" s="150">
        <v>2021</v>
      </c>
      <c r="L390" s="151" t="s">
        <v>1857</v>
      </c>
      <c r="M390" s="151" t="s">
        <v>991</v>
      </c>
      <c r="N390" s="152"/>
      <c r="O390" s="153"/>
      <c r="P390" s="154" t="s">
        <v>676</v>
      </c>
      <c r="Q390" s="154"/>
      <c r="R390" s="155">
        <v>7</v>
      </c>
      <c r="S390" s="168"/>
      <c r="T390" s="168"/>
      <c r="U390" s="146"/>
      <c r="V390" s="146"/>
      <c r="W390" s="146"/>
      <c r="X390" s="156">
        <v>0</v>
      </c>
      <c r="Y390" s="156">
        <v>0</v>
      </c>
      <c r="Z390" s="157" t="s">
        <v>1454</v>
      </c>
      <c r="AA390" s="158">
        <v>2021</v>
      </c>
      <c r="AB390" s="158">
        <v>8</v>
      </c>
      <c r="AC390" s="158">
        <v>13</v>
      </c>
      <c r="AD390" s="122" t="b">
        <f>IF(ISBLANK(GroupMember[[#This Row],[1. Identifiant interne d’exploitation agricole*]]),"",IF(ISERROR(MATCH(GroupMember[[#This Row],[1. Identifiant interne d’exploitation agricole*]],CertifiedCrop[1. Identifiant interne d’exploitation agricole*],0)),FALSE,TRUE))</f>
        <v>1</v>
      </c>
      <c r="AE390" s="122" t="b">
        <f>IF(ISBLANK(GroupMember[[#This Row],[1. Identifiant interne d’exploitation agricole*]]),"",IF(ISERROR(MATCH(GroupMember[[#This Row],[1. Identifiant interne d’exploitation agricole*]],FarmUnit[1. Identifiant interne d’exploitation agricole*],0)),FALSE,TRUE))</f>
        <v>1</v>
      </c>
      <c r="AF390" s="9" t="str">
        <f t="shared" si="18"/>
        <v>TROH OLIVIER</v>
      </c>
      <c r="AG390" s="243" t="str">
        <f t="shared" si="19"/>
        <v>13/8/2021</v>
      </c>
      <c r="AH390" s="51">
        <f>COUNTIFS(Z:Z,Z390,AG:AG,AG390)</f>
        <v>4</v>
      </c>
      <c r="AI390" s="49">
        <f t="shared" si="20"/>
        <v>0</v>
      </c>
    </row>
    <row r="391" spans="1:35" ht="15" x14ac:dyDescent="0.2">
      <c r="A391" s="150" t="s">
        <v>1858</v>
      </c>
      <c r="B391" s="146" t="s">
        <v>668</v>
      </c>
      <c r="C391" s="150" t="s">
        <v>1858</v>
      </c>
      <c r="D391" s="189" t="s">
        <v>1853</v>
      </c>
      <c r="E391" s="146" t="s">
        <v>670</v>
      </c>
      <c r="F391" s="146" t="s">
        <v>671</v>
      </c>
      <c r="G391" s="146" t="s">
        <v>672</v>
      </c>
      <c r="H391" s="148">
        <v>1.41</v>
      </c>
      <c r="I391" s="146" t="s">
        <v>673</v>
      </c>
      <c r="J391" s="149">
        <v>1</v>
      </c>
      <c r="K391" s="150">
        <v>2021</v>
      </c>
      <c r="L391" s="151" t="s">
        <v>1859</v>
      </c>
      <c r="M391" s="151" t="s">
        <v>1860</v>
      </c>
      <c r="N391" s="152"/>
      <c r="O391" s="153"/>
      <c r="P391" s="154" t="s">
        <v>676</v>
      </c>
      <c r="Q391" s="154"/>
      <c r="R391" s="155">
        <v>5</v>
      </c>
      <c r="S391" s="168"/>
      <c r="T391" s="168"/>
      <c r="U391" s="146"/>
      <c r="V391" s="146"/>
      <c r="W391" s="146"/>
      <c r="X391" s="156">
        <v>0</v>
      </c>
      <c r="Y391" s="156">
        <v>0</v>
      </c>
      <c r="Z391" s="157" t="s">
        <v>1454</v>
      </c>
      <c r="AA391" s="158">
        <v>2021</v>
      </c>
      <c r="AB391" s="158">
        <v>7</v>
      </c>
      <c r="AC391" s="158">
        <v>16</v>
      </c>
      <c r="AD391" s="122" t="b">
        <f>IF(ISBLANK(GroupMember[[#This Row],[1. Identifiant interne d’exploitation agricole*]]),"",IF(ISERROR(MATCH(GroupMember[[#This Row],[1. Identifiant interne d’exploitation agricole*]],CertifiedCrop[1. Identifiant interne d’exploitation agricole*],0)),FALSE,TRUE))</f>
        <v>1</v>
      </c>
      <c r="AE391" s="122" t="b">
        <f>IF(ISBLANK(GroupMember[[#This Row],[1. Identifiant interne d’exploitation agricole*]]),"",IF(ISERROR(MATCH(GroupMember[[#This Row],[1. Identifiant interne d’exploitation agricole*]],FarmUnit[1. Identifiant interne d’exploitation agricole*],0)),FALSE,TRUE))</f>
        <v>1</v>
      </c>
      <c r="AF391" s="9" t="str">
        <f t="shared" si="18"/>
        <v>KOKOSSE GUILLAUME</v>
      </c>
      <c r="AG391" s="243" t="str">
        <f t="shared" si="19"/>
        <v>16/7/2021</v>
      </c>
      <c r="AH391" s="51">
        <f>COUNTIFS(Z:Z,Z391,AG:AG,AG391)</f>
        <v>4</v>
      </c>
      <c r="AI391" s="49">
        <f t="shared" si="20"/>
        <v>0</v>
      </c>
    </row>
    <row r="392" spans="1:35" ht="15" x14ac:dyDescent="0.2">
      <c r="A392" s="150" t="s">
        <v>1861</v>
      </c>
      <c r="B392" s="146" t="s">
        <v>668</v>
      </c>
      <c r="C392" s="150" t="s">
        <v>1861</v>
      </c>
      <c r="D392" s="189" t="s">
        <v>1853</v>
      </c>
      <c r="E392" s="146" t="s">
        <v>670</v>
      </c>
      <c r="F392" s="146" t="s">
        <v>671</v>
      </c>
      <c r="G392" s="146" t="s">
        <v>672</v>
      </c>
      <c r="H392" s="148">
        <v>1.31</v>
      </c>
      <c r="I392" s="146" t="s">
        <v>673</v>
      </c>
      <c r="J392" s="149">
        <v>1</v>
      </c>
      <c r="K392" s="150">
        <v>2021</v>
      </c>
      <c r="L392" s="151" t="s">
        <v>1862</v>
      </c>
      <c r="M392" s="151" t="s">
        <v>1863</v>
      </c>
      <c r="N392" s="152"/>
      <c r="O392" s="153"/>
      <c r="P392" s="154" t="s">
        <v>676</v>
      </c>
      <c r="Q392" s="154"/>
      <c r="R392" s="155">
        <v>4</v>
      </c>
      <c r="S392" s="168"/>
      <c r="T392" s="168"/>
      <c r="U392" s="146"/>
      <c r="V392" s="146"/>
      <c r="W392" s="146"/>
      <c r="X392" s="156">
        <v>0</v>
      </c>
      <c r="Y392" s="156">
        <v>0</v>
      </c>
      <c r="Z392" s="157" t="s">
        <v>1454</v>
      </c>
      <c r="AA392" s="158">
        <v>2021</v>
      </c>
      <c r="AB392" s="158">
        <v>7</v>
      </c>
      <c r="AC392" s="158">
        <v>8</v>
      </c>
      <c r="AD392" s="122" t="b">
        <f>IF(ISBLANK(GroupMember[[#This Row],[1. Identifiant interne d’exploitation agricole*]]),"",IF(ISERROR(MATCH(GroupMember[[#This Row],[1. Identifiant interne d’exploitation agricole*]],CertifiedCrop[1. Identifiant interne d’exploitation agricole*],0)),FALSE,TRUE))</f>
        <v>1</v>
      </c>
      <c r="AE392" s="122" t="b">
        <f>IF(ISBLANK(GroupMember[[#This Row],[1. Identifiant interne d’exploitation agricole*]]),"",IF(ISERROR(MATCH(GroupMember[[#This Row],[1. Identifiant interne d’exploitation agricole*]],FarmUnit[1. Identifiant interne d’exploitation agricole*],0)),FALSE,TRUE))</f>
        <v>1</v>
      </c>
      <c r="AF392" s="9" t="str">
        <f t="shared" si="18"/>
        <v>DEKADO JEAN LUC</v>
      </c>
      <c r="AG392" s="243" t="str">
        <f t="shared" si="19"/>
        <v>8/7/2021</v>
      </c>
      <c r="AH392" s="51">
        <f>COUNTIFS(Z:Z,Z392,AG:AG,AG392)</f>
        <v>5</v>
      </c>
      <c r="AI392" s="49">
        <f t="shared" si="20"/>
        <v>0</v>
      </c>
    </row>
    <row r="393" spans="1:35" ht="15" x14ac:dyDescent="0.2">
      <c r="A393" s="150" t="s">
        <v>1864</v>
      </c>
      <c r="B393" s="146" t="s">
        <v>668</v>
      </c>
      <c r="C393" s="150" t="s">
        <v>1864</v>
      </c>
      <c r="D393" s="189" t="s">
        <v>1853</v>
      </c>
      <c r="E393" s="146" t="s">
        <v>670</v>
      </c>
      <c r="F393" s="146" t="s">
        <v>671</v>
      </c>
      <c r="G393" s="146" t="s">
        <v>672</v>
      </c>
      <c r="H393" s="148">
        <v>1.75</v>
      </c>
      <c r="I393" s="146" t="s">
        <v>673</v>
      </c>
      <c r="J393" s="149">
        <v>1</v>
      </c>
      <c r="K393" s="150">
        <v>2021</v>
      </c>
      <c r="L393" s="151" t="s">
        <v>1859</v>
      </c>
      <c r="M393" s="151" t="s">
        <v>1208</v>
      </c>
      <c r="N393" s="172"/>
      <c r="O393" s="153"/>
      <c r="P393" s="154" t="s">
        <v>676</v>
      </c>
      <c r="Q393" s="154"/>
      <c r="R393" s="155">
        <v>7</v>
      </c>
      <c r="S393" s="168"/>
      <c r="T393" s="168"/>
      <c r="U393" s="146"/>
      <c r="V393" s="146"/>
      <c r="W393" s="146"/>
      <c r="X393" s="156">
        <v>0</v>
      </c>
      <c r="Y393" s="156">
        <v>0</v>
      </c>
      <c r="Z393" s="157" t="s">
        <v>1454</v>
      </c>
      <c r="AA393" s="158">
        <v>2021</v>
      </c>
      <c r="AB393" s="158">
        <v>8</v>
      </c>
      <c r="AC393" s="158">
        <v>14</v>
      </c>
      <c r="AD393" s="122" t="b">
        <f>IF(ISBLANK(GroupMember[[#This Row],[1. Identifiant interne d’exploitation agricole*]]),"",IF(ISERROR(MATCH(GroupMember[[#This Row],[1. Identifiant interne d’exploitation agricole*]],CertifiedCrop[1. Identifiant interne d’exploitation agricole*],0)),FALSE,TRUE))</f>
        <v>1</v>
      </c>
      <c r="AE393" s="122" t="b">
        <f>IF(ISBLANK(GroupMember[[#This Row],[1. Identifiant interne d’exploitation agricole*]]),"",IF(ISERROR(MATCH(GroupMember[[#This Row],[1. Identifiant interne d’exploitation agricole*]],FarmUnit[1. Identifiant interne d’exploitation agricole*],0)),FALSE,TRUE))</f>
        <v>1</v>
      </c>
      <c r="AF393" s="9" t="str">
        <f t="shared" si="18"/>
        <v>KOKOSSE  FRANCK</v>
      </c>
      <c r="AG393" s="243" t="str">
        <f t="shared" si="19"/>
        <v>14/8/2021</v>
      </c>
      <c r="AH393" s="51">
        <f>COUNTIFS(Z:Z,Z393,AG:AG,AG393)</f>
        <v>4</v>
      </c>
      <c r="AI393" s="49">
        <f t="shared" si="20"/>
        <v>0</v>
      </c>
    </row>
    <row r="394" spans="1:35" ht="15" x14ac:dyDescent="0.2">
      <c r="A394" s="150" t="s">
        <v>1865</v>
      </c>
      <c r="B394" s="146" t="s">
        <v>668</v>
      </c>
      <c r="C394" s="150" t="s">
        <v>1865</v>
      </c>
      <c r="D394" s="189" t="s">
        <v>1853</v>
      </c>
      <c r="E394" s="146" t="s">
        <v>670</v>
      </c>
      <c r="F394" s="146" t="s">
        <v>671</v>
      </c>
      <c r="G394" s="146" t="s">
        <v>672</v>
      </c>
      <c r="H394" s="148">
        <v>2.58</v>
      </c>
      <c r="I394" s="146" t="s">
        <v>673</v>
      </c>
      <c r="J394" s="149">
        <v>1</v>
      </c>
      <c r="K394" s="150">
        <v>2021</v>
      </c>
      <c r="L394" s="151" t="s">
        <v>915</v>
      </c>
      <c r="M394" s="151" t="s">
        <v>1866</v>
      </c>
      <c r="N394" s="172"/>
      <c r="O394" s="153"/>
      <c r="P394" s="154" t="s">
        <v>676</v>
      </c>
      <c r="Q394" s="154"/>
      <c r="R394" s="155">
        <v>5</v>
      </c>
      <c r="S394" s="168"/>
      <c r="T394" s="168"/>
      <c r="U394" s="146"/>
      <c r="V394" s="146"/>
      <c r="W394" s="146"/>
      <c r="X394" s="156">
        <v>0</v>
      </c>
      <c r="Y394" s="156">
        <v>0</v>
      </c>
      <c r="Z394" s="157" t="s">
        <v>1454</v>
      </c>
      <c r="AA394" s="158">
        <v>2021</v>
      </c>
      <c r="AB394" s="158">
        <v>8</v>
      </c>
      <c r="AC394" s="158">
        <v>17</v>
      </c>
      <c r="AD394" s="122" t="b">
        <f>IF(ISBLANK(GroupMember[[#This Row],[1. Identifiant interne d’exploitation agricole*]]),"",IF(ISERROR(MATCH(GroupMember[[#This Row],[1. Identifiant interne d’exploitation agricole*]],CertifiedCrop[1. Identifiant interne d’exploitation agricole*],0)),FALSE,TRUE))</f>
        <v>1</v>
      </c>
      <c r="AE394" s="122" t="b">
        <f>IF(ISBLANK(GroupMember[[#This Row],[1. Identifiant interne d’exploitation agricole*]]),"",IF(ISERROR(MATCH(GroupMember[[#This Row],[1. Identifiant interne d’exploitation agricole*]],FarmUnit[1. Identifiant interne d’exploitation agricole*],0)),FALSE,TRUE))</f>
        <v>1</v>
      </c>
      <c r="AF394" s="9" t="str">
        <f t="shared" si="18"/>
        <v>MANHAN GOU ANDERSON</v>
      </c>
      <c r="AG394" s="243" t="str">
        <f t="shared" si="19"/>
        <v>17/8/2021</v>
      </c>
      <c r="AH394" s="51">
        <f>COUNTIFS(Z:Z,Z394,AG:AG,AG394)</f>
        <v>3</v>
      </c>
      <c r="AI394" s="49">
        <f t="shared" si="20"/>
        <v>0</v>
      </c>
    </row>
    <row r="395" spans="1:35" ht="15" x14ac:dyDescent="0.2">
      <c r="A395" s="150" t="s">
        <v>1867</v>
      </c>
      <c r="B395" s="146" t="s">
        <v>668</v>
      </c>
      <c r="C395" s="150" t="s">
        <v>1867</v>
      </c>
      <c r="D395" s="189" t="s">
        <v>1853</v>
      </c>
      <c r="E395" s="146" t="s">
        <v>670</v>
      </c>
      <c r="F395" s="146" t="s">
        <v>671</v>
      </c>
      <c r="G395" s="146" t="s">
        <v>672</v>
      </c>
      <c r="H395" s="148">
        <v>1.73</v>
      </c>
      <c r="I395" s="146" t="s">
        <v>673</v>
      </c>
      <c r="J395" s="149">
        <v>1</v>
      </c>
      <c r="K395" s="150">
        <v>2021</v>
      </c>
      <c r="L395" s="151" t="s">
        <v>1868</v>
      </c>
      <c r="M395" s="151" t="s">
        <v>1869</v>
      </c>
      <c r="N395" s="172" t="s">
        <v>1870</v>
      </c>
      <c r="O395" s="153"/>
      <c r="P395" s="154" t="s">
        <v>676</v>
      </c>
      <c r="Q395" s="154"/>
      <c r="R395" s="155">
        <v>6</v>
      </c>
      <c r="S395" s="168"/>
      <c r="T395" s="168"/>
      <c r="U395" s="146"/>
      <c r="V395" s="146"/>
      <c r="W395" s="146"/>
      <c r="X395" s="156">
        <v>0</v>
      </c>
      <c r="Y395" s="156">
        <v>0</v>
      </c>
      <c r="Z395" s="157" t="s">
        <v>1454</v>
      </c>
      <c r="AA395" s="158">
        <v>2021</v>
      </c>
      <c r="AB395" s="158">
        <v>8</v>
      </c>
      <c r="AC395" s="158">
        <v>19</v>
      </c>
      <c r="AD395" s="122" t="b">
        <f>IF(ISBLANK(GroupMember[[#This Row],[1. Identifiant interne d’exploitation agricole*]]),"",IF(ISERROR(MATCH(GroupMember[[#This Row],[1. Identifiant interne d’exploitation agricole*]],CertifiedCrop[1. Identifiant interne d’exploitation agricole*],0)),FALSE,TRUE))</f>
        <v>1</v>
      </c>
      <c r="AE395" s="122" t="b">
        <f>IF(ISBLANK(GroupMember[[#This Row],[1. Identifiant interne d’exploitation agricole*]]),"",IF(ISERROR(MATCH(GroupMember[[#This Row],[1. Identifiant interne d’exploitation agricole*]],FarmUnit[1. Identifiant interne d’exploitation agricole*],0)),FALSE,TRUE))</f>
        <v>1</v>
      </c>
      <c r="AF395" s="9" t="str">
        <f t="shared" si="18"/>
        <v>MANHANGO  CLOVIS</v>
      </c>
      <c r="AG395" s="243" t="str">
        <f t="shared" si="19"/>
        <v>19/8/2021</v>
      </c>
      <c r="AH395" s="51">
        <f>COUNTIFS(Z:Z,Z395,AG:AG,AG395)</f>
        <v>2</v>
      </c>
      <c r="AI395" s="49">
        <f t="shared" si="20"/>
        <v>0</v>
      </c>
    </row>
    <row r="396" spans="1:35" ht="15" x14ac:dyDescent="0.2">
      <c r="A396" s="150" t="s">
        <v>1871</v>
      </c>
      <c r="B396" s="146" t="s">
        <v>668</v>
      </c>
      <c r="C396" s="150" t="s">
        <v>1871</v>
      </c>
      <c r="D396" s="189" t="s">
        <v>1853</v>
      </c>
      <c r="E396" s="146" t="s">
        <v>670</v>
      </c>
      <c r="F396" s="146" t="s">
        <v>671</v>
      </c>
      <c r="G396" s="146" t="s">
        <v>672</v>
      </c>
      <c r="H396" s="148">
        <v>1.25</v>
      </c>
      <c r="I396" s="146" t="s">
        <v>673</v>
      </c>
      <c r="J396" s="149">
        <v>1</v>
      </c>
      <c r="K396" s="150">
        <v>2021</v>
      </c>
      <c r="L396" s="151" t="s">
        <v>1872</v>
      </c>
      <c r="M396" s="151" t="s">
        <v>1873</v>
      </c>
      <c r="N396" s="172"/>
      <c r="O396" s="153"/>
      <c r="P396" s="154" t="s">
        <v>676</v>
      </c>
      <c r="Q396" s="154"/>
      <c r="R396" s="155">
        <v>5</v>
      </c>
      <c r="S396" s="168"/>
      <c r="T396" s="168"/>
      <c r="U396" s="146"/>
      <c r="V396" s="146"/>
      <c r="W396" s="146"/>
      <c r="X396" s="156">
        <v>0</v>
      </c>
      <c r="Y396" s="156">
        <v>0</v>
      </c>
      <c r="Z396" s="157" t="s">
        <v>1454</v>
      </c>
      <c r="AA396" s="158">
        <v>2021</v>
      </c>
      <c r="AB396" s="158">
        <v>8</v>
      </c>
      <c r="AC396" s="158">
        <v>21</v>
      </c>
      <c r="AD396" s="122" t="b">
        <f>IF(ISBLANK(GroupMember[[#This Row],[1. Identifiant interne d’exploitation agricole*]]),"",IF(ISERROR(MATCH(GroupMember[[#This Row],[1. Identifiant interne d’exploitation agricole*]],CertifiedCrop[1. Identifiant interne d’exploitation agricole*],0)),FALSE,TRUE))</f>
        <v>1</v>
      </c>
      <c r="AE396" s="122" t="b">
        <f>IF(ISBLANK(GroupMember[[#This Row],[1. Identifiant interne d’exploitation agricole*]]),"",IF(ISERROR(MATCH(GroupMember[[#This Row],[1. Identifiant interne d’exploitation agricole*]],FarmUnit[1. Identifiant interne d’exploitation agricole*],0)),FALSE,TRUE))</f>
        <v>1</v>
      </c>
      <c r="AF396" s="9" t="str">
        <f t="shared" si="18"/>
        <v>GOME KPAN DENIS</v>
      </c>
      <c r="AG396" s="243" t="str">
        <f t="shared" si="19"/>
        <v>21/8/2021</v>
      </c>
      <c r="AH396" s="51">
        <f>COUNTIFS(Z:Z,Z396,AG:AG,AG396)</f>
        <v>5</v>
      </c>
      <c r="AI396" s="49">
        <f t="shared" si="20"/>
        <v>0</v>
      </c>
    </row>
    <row r="397" spans="1:35" ht="15" x14ac:dyDescent="0.2">
      <c r="A397" s="150" t="s">
        <v>1874</v>
      </c>
      <c r="B397" s="146" t="s">
        <v>668</v>
      </c>
      <c r="C397" s="150" t="s">
        <v>1874</v>
      </c>
      <c r="D397" s="189" t="s">
        <v>1853</v>
      </c>
      <c r="E397" s="146" t="s">
        <v>670</v>
      </c>
      <c r="F397" s="146" t="s">
        <v>671</v>
      </c>
      <c r="G397" s="146" t="s">
        <v>672</v>
      </c>
      <c r="H397" s="148">
        <v>1.35</v>
      </c>
      <c r="I397" s="146" t="s">
        <v>673</v>
      </c>
      <c r="J397" s="149">
        <v>1</v>
      </c>
      <c r="K397" s="150">
        <v>2021</v>
      </c>
      <c r="L397" s="151" t="s">
        <v>1872</v>
      </c>
      <c r="M397" s="151" t="s">
        <v>1244</v>
      </c>
      <c r="N397" s="172"/>
      <c r="O397" s="153"/>
      <c r="P397" s="154" t="s">
        <v>676</v>
      </c>
      <c r="Q397" s="154"/>
      <c r="R397" s="155">
        <v>4</v>
      </c>
      <c r="S397" s="168"/>
      <c r="T397" s="168"/>
      <c r="U397" s="146"/>
      <c r="V397" s="146"/>
      <c r="W397" s="146"/>
      <c r="X397" s="156">
        <v>0</v>
      </c>
      <c r="Y397" s="156">
        <v>0</v>
      </c>
      <c r="Z397" s="157" t="s">
        <v>1454</v>
      </c>
      <c r="AA397" s="158">
        <v>2021</v>
      </c>
      <c r="AB397" s="158">
        <v>8</v>
      </c>
      <c r="AC397" s="158">
        <v>19</v>
      </c>
      <c r="AD397" s="122" t="b">
        <f>IF(ISBLANK(GroupMember[[#This Row],[1. Identifiant interne d’exploitation agricole*]]),"",IF(ISERROR(MATCH(GroupMember[[#This Row],[1. Identifiant interne d’exploitation agricole*]],CertifiedCrop[1. Identifiant interne d’exploitation agricole*],0)),FALSE,TRUE))</f>
        <v>1</v>
      </c>
      <c r="AE397" s="122" t="b">
        <f>IF(ISBLANK(GroupMember[[#This Row],[1. Identifiant interne d’exploitation agricole*]]),"",IF(ISERROR(MATCH(GroupMember[[#This Row],[1. Identifiant interne d’exploitation agricole*]],FarmUnit[1. Identifiant interne d’exploitation agricole*],0)),FALSE,TRUE))</f>
        <v>1</v>
      </c>
      <c r="AF397" s="9" t="str">
        <f t="shared" si="18"/>
        <v>GOME  SERGES</v>
      </c>
      <c r="AG397" s="243" t="str">
        <f t="shared" si="19"/>
        <v>19/8/2021</v>
      </c>
      <c r="AH397" s="51">
        <f>COUNTIFS(Z:Z,Z397,AG:AG,AG397)</f>
        <v>2</v>
      </c>
      <c r="AI397" s="49">
        <f t="shared" si="20"/>
        <v>0</v>
      </c>
    </row>
    <row r="398" spans="1:35" ht="15" x14ac:dyDescent="0.2">
      <c r="A398" s="150" t="s">
        <v>1875</v>
      </c>
      <c r="B398" s="146" t="s">
        <v>668</v>
      </c>
      <c r="C398" s="150" t="s">
        <v>1875</v>
      </c>
      <c r="D398" s="189" t="s">
        <v>1853</v>
      </c>
      <c r="E398" s="146" t="s">
        <v>670</v>
      </c>
      <c r="F398" s="146" t="s">
        <v>671</v>
      </c>
      <c r="G398" s="146" t="s">
        <v>672</v>
      </c>
      <c r="H398" s="148">
        <v>1.49</v>
      </c>
      <c r="I398" s="146" t="s">
        <v>673</v>
      </c>
      <c r="J398" s="149">
        <v>1</v>
      </c>
      <c r="K398" s="150">
        <v>2021</v>
      </c>
      <c r="L398" s="151" t="s">
        <v>1876</v>
      </c>
      <c r="M398" s="151" t="s">
        <v>1877</v>
      </c>
      <c r="N398" s="172"/>
      <c r="O398" s="153"/>
      <c r="P398" s="154" t="s">
        <v>676</v>
      </c>
      <c r="Q398" s="154"/>
      <c r="R398" s="155">
        <v>7</v>
      </c>
      <c r="S398" s="168"/>
      <c r="T398" s="168"/>
      <c r="U398" s="146"/>
      <c r="V398" s="146"/>
      <c r="W398" s="146"/>
      <c r="X398" s="156">
        <v>0</v>
      </c>
      <c r="Y398" s="156">
        <v>0</v>
      </c>
      <c r="Z398" s="157" t="s">
        <v>1454</v>
      </c>
      <c r="AA398" s="158">
        <v>2021</v>
      </c>
      <c r="AB398" s="158">
        <v>8</v>
      </c>
      <c r="AC398" s="158">
        <v>13</v>
      </c>
      <c r="AD398" s="122" t="b">
        <f>IF(ISBLANK(GroupMember[[#This Row],[1. Identifiant interne d’exploitation agricole*]]),"",IF(ISERROR(MATCH(GroupMember[[#This Row],[1. Identifiant interne d’exploitation agricole*]],CertifiedCrop[1. Identifiant interne d’exploitation agricole*],0)),FALSE,TRUE))</f>
        <v>1</v>
      </c>
      <c r="AE398" s="122" t="b">
        <f>IF(ISBLANK(GroupMember[[#This Row],[1. Identifiant interne d’exploitation agricole*]]),"",IF(ISERROR(MATCH(GroupMember[[#This Row],[1. Identifiant interne d’exploitation agricole*]],FarmUnit[1. Identifiant interne d’exploitation agricole*],0)),FALSE,TRUE))</f>
        <v>1</v>
      </c>
      <c r="AF398" s="9" t="str">
        <f t="shared" si="18"/>
        <v>ZOUE MATHURIN</v>
      </c>
      <c r="AG398" s="243" t="str">
        <f t="shared" si="19"/>
        <v>13/8/2021</v>
      </c>
      <c r="AH398" s="51">
        <f>COUNTIFS(Z:Z,Z398,AG:AG,AG398)</f>
        <v>4</v>
      </c>
      <c r="AI398" s="49">
        <f t="shared" si="20"/>
        <v>0</v>
      </c>
    </row>
    <row r="399" spans="1:35" ht="15" x14ac:dyDescent="0.2">
      <c r="A399" s="150" t="s">
        <v>1878</v>
      </c>
      <c r="B399" s="146" t="s">
        <v>668</v>
      </c>
      <c r="C399" s="150" t="s">
        <v>1878</v>
      </c>
      <c r="D399" s="189" t="s">
        <v>1853</v>
      </c>
      <c r="E399" s="146" t="s">
        <v>670</v>
      </c>
      <c r="F399" s="146" t="s">
        <v>671</v>
      </c>
      <c r="G399" s="146" t="s">
        <v>672</v>
      </c>
      <c r="H399" s="148">
        <v>3.62</v>
      </c>
      <c r="I399" s="146" t="s">
        <v>673</v>
      </c>
      <c r="J399" s="149">
        <v>1</v>
      </c>
      <c r="K399" s="150">
        <v>2021</v>
      </c>
      <c r="L399" s="151" t="s">
        <v>1879</v>
      </c>
      <c r="M399" s="151" t="s">
        <v>1880</v>
      </c>
      <c r="N399" s="152" t="s">
        <v>1881</v>
      </c>
      <c r="O399" s="153"/>
      <c r="P399" s="154" t="s">
        <v>676</v>
      </c>
      <c r="Q399" s="154"/>
      <c r="R399" s="155">
        <v>8</v>
      </c>
      <c r="S399" s="168"/>
      <c r="T399" s="168"/>
      <c r="U399" s="146"/>
      <c r="V399" s="146"/>
      <c r="W399" s="146"/>
      <c r="X399" s="156">
        <v>0</v>
      </c>
      <c r="Y399" s="156">
        <v>0</v>
      </c>
      <c r="Z399" s="157" t="s">
        <v>1454</v>
      </c>
      <c r="AA399" s="158">
        <v>2021</v>
      </c>
      <c r="AB399" s="158">
        <v>8</v>
      </c>
      <c r="AC399" s="158">
        <v>9</v>
      </c>
      <c r="AD399" s="122" t="b">
        <f>IF(ISBLANK(GroupMember[[#This Row],[1. Identifiant interne d’exploitation agricole*]]),"",IF(ISERROR(MATCH(GroupMember[[#This Row],[1. Identifiant interne d’exploitation agricole*]],CertifiedCrop[1. Identifiant interne d’exploitation agricole*],0)),FALSE,TRUE))</f>
        <v>1</v>
      </c>
      <c r="AE399" s="122" t="b">
        <f>IF(ISBLANK(GroupMember[[#This Row],[1. Identifiant interne d’exploitation agricole*]]),"",IF(ISERROR(MATCH(GroupMember[[#This Row],[1. Identifiant interne d’exploitation agricole*]],FarmUnit[1. Identifiant interne d’exploitation agricole*],0)),FALSE,TRUE))</f>
        <v>1</v>
      </c>
      <c r="AF399" s="9" t="str">
        <f t="shared" si="18"/>
        <v>DIABI SECANA</v>
      </c>
      <c r="AG399" s="243" t="str">
        <f t="shared" si="19"/>
        <v>9/8/2021</v>
      </c>
      <c r="AH399" s="51">
        <f>COUNTIFS(Z:Z,Z399,AG:AG,AG399)</f>
        <v>5</v>
      </c>
      <c r="AI399" s="49">
        <f t="shared" si="20"/>
        <v>0</v>
      </c>
    </row>
    <row r="400" spans="1:35" ht="15" x14ac:dyDescent="0.2">
      <c r="A400" s="150" t="s">
        <v>1882</v>
      </c>
      <c r="B400" s="146" t="s">
        <v>668</v>
      </c>
      <c r="C400" s="150" t="s">
        <v>1882</v>
      </c>
      <c r="D400" s="189" t="s">
        <v>1853</v>
      </c>
      <c r="E400" s="146" t="s">
        <v>670</v>
      </c>
      <c r="F400" s="146" t="s">
        <v>671</v>
      </c>
      <c r="G400" s="146" t="s">
        <v>672</v>
      </c>
      <c r="H400" s="148">
        <v>2.64</v>
      </c>
      <c r="I400" s="146" t="s">
        <v>673</v>
      </c>
      <c r="J400" s="149">
        <v>1</v>
      </c>
      <c r="K400" s="150">
        <v>2021</v>
      </c>
      <c r="L400" s="151" t="s">
        <v>803</v>
      </c>
      <c r="M400" s="151" t="s">
        <v>1883</v>
      </c>
      <c r="N400" s="172"/>
      <c r="O400" s="153"/>
      <c r="P400" s="154" t="s">
        <v>676</v>
      </c>
      <c r="Q400" s="154"/>
      <c r="R400" s="155">
        <v>5</v>
      </c>
      <c r="S400" s="168"/>
      <c r="T400" s="168"/>
      <c r="U400" s="146"/>
      <c r="V400" s="146"/>
      <c r="W400" s="146"/>
      <c r="X400" s="156">
        <v>0</v>
      </c>
      <c r="Y400" s="156">
        <v>0</v>
      </c>
      <c r="Z400" s="157" t="s">
        <v>1454</v>
      </c>
      <c r="AA400" s="158">
        <v>2021</v>
      </c>
      <c r="AB400" s="158">
        <v>8</v>
      </c>
      <c r="AC400" s="158">
        <v>21</v>
      </c>
      <c r="AD400" s="122" t="b">
        <f>IF(ISBLANK(GroupMember[[#This Row],[1. Identifiant interne d’exploitation agricole*]]),"",IF(ISERROR(MATCH(GroupMember[[#This Row],[1. Identifiant interne d’exploitation agricole*]],CertifiedCrop[1. Identifiant interne d’exploitation agricole*],0)),FALSE,TRUE))</f>
        <v>1</v>
      </c>
      <c r="AE400" s="122" t="b">
        <f>IF(ISBLANK(GroupMember[[#This Row],[1. Identifiant interne d’exploitation agricole*]]),"",IF(ISERROR(MATCH(GroupMember[[#This Row],[1. Identifiant interne d’exploitation agricole*]],FarmUnit[1. Identifiant interne d’exploitation agricole*],0)),FALSE,TRUE))</f>
        <v>1</v>
      </c>
      <c r="AF400" s="9" t="str">
        <f t="shared" si="18"/>
        <v>GUEU DOMINIQUE</v>
      </c>
      <c r="AG400" s="243" t="str">
        <f t="shared" si="19"/>
        <v>21/8/2021</v>
      </c>
      <c r="AH400" s="51">
        <f>COUNTIFS(Z:Z,Z400,AG:AG,AG400)</f>
        <v>5</v>
      </c>
      <c r="AI400" s="49">
        <f t="shared" si="20"/>
        <v>0</v>
      </c>
    </row>
    <row r="401" spans="1:35" ht="15" x14ac:dyDescent="0.2">
      <c r="A401" s="150" t="s">
        <v>1884</v>
      </c>
      <c r="B401" s="146" t="s">
        <v>668</v>
      </c>
      <c r="C401" s="150" t="s">
        <v>1884</v>
      </c>
      <c r="D401" s="189" t="s">
        <v>1853</v>
      </c>
      <c r="E401" s="146" t="s">
        <v>670</v>
      </c>
      <c r="F401" s="146" t="s">
        <v>671</v>
      </c>
      <c r="G401" s="146" t="s">
        <v>672</v>
      </c>
      <c r="H401" s="148">
        <v>2.2599999999999998</v>
      </c>
      <c r="I401" s="146" t="s">
        <v>673</v>
      </c>
      <c r="J401" s="149">
        <v>1</v>
      </c>
      <c r="K401" s="150">
        <v>2021</v>
      </c>
      <c r="L401" s="151" t="s">
        <v>803</v>
      </c>
      <c r="M401" s="169" t="s">
        <v>1885</v>
      </c>
      <c r="N401" s="172" t="s">
        <v>1886</v>
      </c>
      <c r="O401" s="153"/>
      <c r="P401" s="154" t="s">
        <v>676</v>
      </c>
      <c r="Q401" s="154"/>
      <c r="R401" s="155">
        <v>5</v>
      </c>
      <c r="S401" s="168"/>
      <c r="T401" s="168"/>
      <c r="U401" s="146"/>
      <c r="V401" s="146"/>
      <c r="W401" s="146"/>
      <c r="X401" s="156">
        <v>0</v>
      </c>
      <c r="Y401" s="156">
        <v>0</v>
      </c>
      <c r="Z401" s="157" t="s">
        <v>1454</v>
      </c>
      <c r="AA401" s="158">
        <v>2021</v>
      </c>
      <c r="AB401" s="158">
        <v>8</v>
      </c>
      <c r="AC401" s="158">
        <v>20</v>
      </c>
      <c r="AD401" s="122" t="b">
        <f>IF(ISBLANK(GroupMember[[#This Row],[1. Identifiant interne d’exploitation agricole*]]),"",IF(ISERROR(MATCH(GroupMember[[#This Row],[1. Identifiant interne d’exploitation agricole*]],CertifiedCrop[1. Identifiant interne d’exploitation agricole*],0)),FALSE,TRUE))</f>
        <v>1</v>
      </c>
      <c r="AE401" s="122" t="b">
        <f>IF(ISBLANK(GroupMember[[#This Row],[1. Identifiant interne d’exploitation agricole*]]),"",IF(ISERROR(MATCH(GroupMember[[#This Row],[1. Identifiant interne d’exploitation agricole*]],FarmUnit[1. Identifiant interne d’exploitation agricole*],0)),FALSE,TRUE))</f>
        <v>1</v>
      </c>
      <c r="AF401" s="9" t="str">
        <f t="shared" si="18"/>
        <v>GUEU MIRAMOND</v>
      </c>
      <c r="AG401" s="243" t="str">
        <f t="shared" si="19"/>
        <v>20/8/2021</v>
      </c>
      <c r="AH401" s="51">
        <f>COUNTIFS(Z:Z,Z401,AG:AG,AG401)</f>
        <v>3</v>
      </c>
      <c r="AI401" s="49">
        <f t="shared" si="20"/>
        <v>0</v>
      </c>
    </row>
    <row r="402" spans="1:35" ht="15" x14ac:dyDescent="0.2">
      <c r="A402" s="150" t="s">
        <v>1887</v>
      </c>
      <c r="B402" s="146" t="s">
        <v>668</v>
      </c>
      <c r="C402" s="150" t="s">
        <v>1887</v>
      </c>
      <c r="D402" s="189" t="s">
        <v>1853</v>
      </c>
      <c r="E402" s="146" t="s">
        <v>670</v>
      </c>
      <c r="F402" s="146" t="s">
        <v>671</v>
      </c>
      <c r="G402" s="146" t="s">
        <v>672</v>
      </c>
      <c r="H402" s="148">
        <v>1.19</v>
      </c>
      <c r="I402" s="146" t="s">
        <v>673</v>
      </c>
      <c r="J402" s="149">
        <v>1</v>
      </c>
      <c r="K402" s="150">
        <v>2021</v>
      </c>
      <c r="L402" s="151" t="s">
        <v>803</v>
      </c>
      <c r="M402" s="151" t="s">
        <v>1888</v>
      </c>
      <c r="N402" s="152" t="s">
        <v>1889</v>
      </c>
      <c r="O402" s="153"/>
      <c r="P402" s="154" t="s">
        <v>676</v>
      </c>
      <c r="Q402" s="154"/>
      <c r="R402" s="155">
        <v>4</v>
      </c>
      <c r="S402" s="168"/>
      <c r="T402" s="168"/>
      <c r="U402" s="146"/>
      <c r="V402" s="146"/>
      <c r="W402" s="146"/>
      <c r="X402" s="156">
        <v>0</v>
      </c>
      <c r="Y402" s="156">
        <v>0</v>
      </c>
      <c r="Z402" s="157" t="s">
        <v>1454</v>
      </c>
      <c r="AA402" s="158">
        <v>2021</v>
      </c>
      <c r="AB402" s="158">
        <v>8</v>
      </c>
      <c r="AC402" s="158">
        <v>22</v>
      </c>
      <c r="AD402" s="122" t="b">
        <f>IF(ISBLANK(GroupMember[[#This Row],[1. Identifiant interne d’exploitation agricole*]]),"",IF(ISERROR(MATCH(GroupMember[[#This Row],[1. Identifiant interne d’exploitation agricole*]],CertifiedCrop[1. Identifiant interne d’exploitation agricole*],0)),FALSE,TRUE))</f>
        <v>1</v>
      </c>
      <c r="AE402" s="122" t="b">
        <f>IF(ISBLANK(GroupMember[[#This Row],[1. Identifiant interne d’exploitation agricole*]]),"",IF(ISERROR(MATCH(GroupMember[[#This Row],[1. Identifiant interne d’exploitation agricole*]],FarmUnit[1. Identifiant interne d’exploitation agricole*],0)),FALSE,TRUE))</f>
        <v>1</v>
      </c>
      <c r="AF402" s="9" t="str">
        <f t="shared" si="18"/>
        <v>GUEU SEVERIN</v>
      </c>
      <c r="AG402" s="243" t="str">
        <f t="shared" si="19"/>
        <v>22/8/2021</v>
      </c>
      <c r="AH402" s="51">
        <f>COUNTIFS(Z:Z,Z402,AG:AG,AG402)</f>
        <v>1</v>
      </c>
      <c r="AI402" s="49">
        <f t="shared" si="20"/>
        <v>0</v>
      </c>
    </row>
    <row r="403" spans="1:35" ht="15" x14ac:dyDescent="0.2">
      <c r="A403" s="150" t="s">
        <v>1890</v>
      </c>
      <c r="B403" s="146" t="s">
        <v>668</v>
      </c>
      <c r="C403" s="150" t="s">
        <v>1890</v>
      </c>
      <c r="D403" s="189" t="s">
        <v>1853</v>
      </c>
      <c r="E403" s="146" t="s">
        <v>670</v>
      </c>
      <c r="F403" s="146" t="s">
        <v>671</v>
      </c>
      <c r="G403" s="146" t="s">
        <v>672</v>
      </c>
      <c r="H403" s="148">
        <v>0.83</v>
      </c>
      <c r="I403" s="146" t="s">
        <v>673</v>
      </c>
      <c r="J403" s="149">
        <v>1</v>
      </c>
      <c r="K403" s="150">
        <v>2021</v>
      </c>
      <c r="L403" s="178" t="s">
        <v>803</v>
      </c>
      <c r="M403" s="178" t="s">
        <v>1891</v>
      </c>
      <c r="N403" s="152"/>
      <c r="O403" s="153"/>
      <c r="P403" s="154" t="s">
        <v>676</v>
      </c>
      <c r="Q403" s="154"/>
      <c r="R403" s="155">
        <v>4</v>
      </c>
      <c r="S403" s="168"/>
      <c r="T403" s="168"/>
      <c r="U403" s="146"/>
      <c r="V403" s="146"/>
      <c r="W403" s="146"/>
      <c r="X403" s="156">
        <v>0</v>
      </c>
      <c r="Y403" s="156">
        <v>0</v>
      </c>
      <c r="Z403" s="157" t="s">
        <v>1454</v>
      </c>
      <c r="AA403" s="158">
        <v>2021</v>
      </c>
      <c r="AB403" s="158">
        <v>8</v>
      </c>
      <c r="AC403" s="158">
        <v>21</v>
      </c>
      <c r="AD403" s="122" t="b">
        <f>IF(ISBLANK(GroupMember[[#This Row],[1. Identifiant interne d’exploitation agricole*]]),"",IF(ISERROR(MATCH(GroupMember[[#This Row],[1. Identifiant interne d’exploitation agricole*]],CertifiedCrop[1. Identifiant interne d’exploitation agricole*],0)),FALSE,TRUE))</f>
        <v>1</v>
      </c>
      <c r="AE403" s="122" t="b">
        <f>IF(ISBLANK(GroupMember[[#This Row],[1. Identifiant interne d’exploitation agricole*]]),"",IF(ISERROR(MATCH(GroupMember[[#This Row],[1. Identifiant interne d’exploitation agricole*]],FarmUnit[1. Identifiant interne d’exploitation agricole*],0)),FALSE,TRUE))</f>
        <v>1</v>
      </c>
      <c r="AF403" s="9" t="str">
        <f t="shared" si="18"/>
        <v>GUEU  SIMOND</v>
      </c>
      <c r="AG403" s="243" t="str">
        <f t="shared" si="19"/>
        <v>21/8/2021</v>
      </c>
      <c r="AH403" s="51">
        <f>COUNTIFS(Z:Z,Z403,AG:AG,AG403)</f>
        <v>5</v>
      </c>
      <c r="AI403" s="49">
        <f t="shared" si="20"/>
        <v>0</v>
      </c>
    </row>
    <row r="404" spans="1:35" ht="15" x14ac:dyDescent="0.2">
      <c r="A404" s="150" t="s">
        <v>1892</v>
      </c>
      <c r="B404" s="146" t="s">
        <v>668</v>
      </c>
      <c r="C404" s="150" t="s">
        <v>1892</v>
      </c>
      <c r="D404" s="189" t="s">
        <v>1853</v>
      </c>
      <c r="E404" s="146" t="s">
        <v>670</v>
      </c>
      <c r="F404" s="146" t="s">
        <v>671</v>
      </c>
      <c r="G404" s="146" t="s">
        <v>672</v>
      </c>
      <c r="H404" s="148">
        <v>1.37</v>
      </c>
      <c r="I404" s="146" t="s">
        <v>673</v>
      </c>
      <c r="J404" s="149">
        <v>1</v>
      </c>
      <c r="K404" s="150">
        <v>2021</v>
      </c>
      <c r="L404" s="178" t="s">
        <v>1297</v>
      </c>
      <c r="M404" s="178" t="s">
        <v>1893</v>
      </c>
      <c r="N404" s="152"/>
      <c r="O404" s="153"/>
      <c r="P404" s="154" t="s">
        <v>676</v>
      </c>
      <c r="Q404" s="154"/>
      <c r="R404" s="155">
        <v>7</v>
      </c>
      <c r="S404" s="168"/>
      <c r="T404" s="168"/>
      <c r="U404" s="146"/>
      <c r="V404" s="146"/>
      <c r="W404" s="146"/>
      <c r="X404" s="156">
        <v>0</v>
      </c>
      <c r="Y404" s="156">
        <v>0</v>
      </c>
      <c r="Z404" s="157" t="s">
        <v>1454</v>
      </c>
      <c r="AA404" s="158">
        <v>2021</v>
      </c>
      <c r="AB404" s="158">
        <v>8</v>
      </c>
      <c r="AC404" s="158">
        <v>20</v>
      </c>
      <c r="AD404" s="122" t="b">
        <f>IF(ISBLANK(GroupMember[[#This Row],[1. Identifiant interne d’exploitation agricole*]]),"",IF(ISERROR(MATCH(GroupMember[[#This Row],[1. Identifiant interne d’exploitation agricole*]],CertifiedCrop[1. Identifiant interne d’exploitation agricole*],0)),FALSE,TRUE))</f>
        <v>1</v>
      </c>
      <c r="AE404" s="122" t="b">
        <f>IF(ISBLANK(GroupMember[[#This Row],[1. Identifiant interne d’exploitation agricole*]]),"",IF(ISERROR(MATCH(GroupMember[[#This Row],[1. Identifiant interne d’exploitation agricole*]],FarmUnit[1. Identifiant interne d’exploitation agricole*],0)),FALSE,TRUE))</f>
        <v>1</v>
      </c>
      <c r="AF404" s="9" t="str">
        <f t="shared" si="18"/>
        <v>DOUAN AUGUSTIN</v>
      </c>
      <c r="AG404" s="243" t="str">
        <f t="shared" si="19"/>
        <v>20/8/2021</v>
      </c>
      <c r="AH404" s="51">
        <f>COUNTIFS(Z:Z,Z404,AG:AG,AG404)</f>
        <v>3</v>
      </c>
      <c r="AI404" s="49">
        <f t="shared" si="20"/>
        <v>0</v>
      </c>
    </row>
    <row r="405" spans="1:35" ht="15" x14ac:dyDescent="0.2">
      <c r="A405" s="150" t="s">
        <v>1894</v>
      </c>
      <c r="B405" s="146" t="s">
        <v>668</v>
      </c>
      <c r="C405" s="150" t="s">
        <v>1894</v>
      </c>
      <c r="D405" s="189" t="s">
        <v>1853</v>
      </c>
      <c r="E405" s="146" t="s">
        <v>670</v>
      </c>
      <c r="F405" s="146" t="s">
        <v>671</v>
      </c>
      <c r="G405" s="146" t="s">
        <v>672</v>
      </c>
      <c r="H405" s="148">
        <v>1.1499999999999999</v>
      </c>
      <c r="I405" s="146" t="s">
        <v>673</v>
      </c>
      <c r="J405" s="149">
        <v>1</v>
      </c>
      <c r="K405" s="150">
        <v>2021</v>
      </c>
      <c r="L405" s="151" t="s">
        <v>1895</v>
      </c>
      <c r="M405" s="151" t="s">
        <v>1896</v>
      </c>
      <c r="N405" s="152"/>
      <c r="O405" s="153"/>
      <c r="P405" s="154" t="s">
        <v>676</v>
      </c>
      <c r="Q405" s="154"/>
      <c r="R405" s="155">
        <v>8</v>
      </c>
      <c r="S405" s="168"/>
      <c r="T405" s="168"/>
      <c r="U405" s="146"/>
      <c r="V405" s="146"/>
      <c r="W405" s="146"/>
      <c r="X405" s="156">
        <v>0</v>
      </c>
      <c r="Y405" s="156">
        <v>0</v>
      </c>
      <c r="Z405" s="157" t="s">
        <v>1454</v>
      </c>
      <c r="AA405" s="158">
        <v>2021</v>
      </c>
      <c r="AB405" s="158">
        <v>8</v>
      </c>
      <c r="AC405" s="158">
        <v>21</v>
      </c>
      <c r="AD405" s="122" t="b">
        <f>IF(ISBLANK(GroupMember[[#This Row],[1. Identifiant interne d’exploitation agricole*]]),"",IF(ISERROR(MATCH(GroupMember[[#This Row],[1. Identifiant interne d’exploitation agricole*]],CertifiedCrop[1. Identifiant interne d’exploitation agricole*],0)),FALSE,TRUE))</f>
        <v>1</v>
      </c>
      <c r="AE405" s="122" t="b">
        <f>IF(ISBLANK(GroupMember[[#This Row],[1. Identifiant interne d’exploitation agricole*]]),"",IF(ISERROR(MATCH(GroupMember[[#This Row],[1. Identifiant interne d’exploitation agricole*]],FarmUnit[1. Identifiant interne d’exploitation agricole*],0)),FALSE,TRUE))</f>
        <v>1</v>
      </c>
      <c r="AF405" s="9" t="str">
        <f t="shared" si="18"/>
        <v>GOKAPIEU GERMAIN</v>
      </c>
      <c r="AG405" s="243" t="str">
        <f t="shared" si="19"/>
        <v>21/8/2021</v>
      </c>
      <c r="AH405" s="51">
        <f>COUNTIFS(Z:Z,Z405,AG:AG,AG405)</f>
        <v>5</v>
      </c>
      <c r="AI405" s="49">
        <f t="shared" si="20"/>
        <v>0</v>
      </c>
    </row>
    <row r="406" spans="1:35" ht="15" x14ac:dyDescent="0.2">
      <c r="A406" s="150" t="s">
        <v>1897</v>
      </c>
      <c r="B406" s="146" t="s">
        <v>668</v>
      </c>
      <c r="C406" s="150" t="s">
        <v>1897</v>
      </c>
      <c r="D406" s="189" t="s">
        <v>1853</v>
      </c>
      <c r="E406" s="146" t="s">
        <v>670</v>
      </c>
      <c r="F406" s="146" t="s">
        <v>671</v>
      </c>
      <c r="G406" s="146" t="s">
        <v>672</v>
      </c>
      <c r="H406" s="148">
        <v>1.1399999999999999</v>
      </c>
      <c r="I406" s="146" t="s">
        <v>673</v>
      </c>
      <c r="J406" s="149">
        <v>1</v>
      </c>
      <c r="K406" s="150">
        <v>2021</v>
      </c>
      <c r="L406" s="178" t="s">
        <v>1297</v>
      </c>
      <c r="M406" s="178" t="s">
        <v>1898</v>
      </c>
      <c r="N406" s="152"/>
      <c r="O406" s="153"/>
      <c r="P406" s="154" t="s">
        <v>676</v>
      </c>
      <c r="Q406" s="154"/>
      <c r="R406" s="155">
        <v>6</v>
      </c>
      <c r="S406" s="168"/>
      <c r="T406" s="168"/>
      <c r="U406" s="146"/>
      <c r="V406" s="146"/>
      <c r="W406" s="146"/>
      <c r="X406" s="156">
        <v>0</v>
      </c>
      <c r="Y406" s="156">
        <v>0</v>
      </c>
      <c r="Z406" s="157" t="s">
        <v>1454</v>
      </c>
      <c r="AA406" s="158">
        <v>2021</v>
      </c>
      <c r="AB406" s="158">
        <v>8</v>
      </c>
      <c r="AC406" s="158">
        <v>21</v>
      </c>
      <c r="AD406" s="122" t="b">
        <f>IF(ISBLANK(GroupMember[[#This Row],[1. Identifiant interne d’exploitation agricole*]]),"",IF(ISERROR(MATCH(GroupMember[[#This Row],[1. Identifiant interne d’exploitation agricole*]],CertifiedCrop[1. Identifiant interne d’exploitation agricole*],0)),FALSE,TRUE))</f>
        <v>1</v>
      </c>
      <c r="AE406" s="122" t="b">
        <f>IF(ISBLANK(GroupMember[[#This Row],[1. Identifiant interne d’exploitation agricole*]]),"",IF(ISERROR(MATCH(GroupMember[[#This Row],[1. Identifiant interne d’exploitation agricole*]],FarmUnit[1. Identifiant interne d’exploitation agricole*],0)),FALSE,TRUE))</f>
        <v>1</v>
      </c>
      <c r="AF406" s="9" t="str">
        <f t="shared" si="18"/>
        <v>DOUAN GERVAIN</v>
      </c>
      <c r="AG406" s="243" t="str">
        <f t="shared" si="19"/>
        <v>21/8/2021</v>
      </c>
      <c r="AH406" s="51">
        <f>COUNTIFS(Z:Z,Z406,AG:AG,AG406)</f>
        <v>5</v>
      </c>
      <c r="AI406" s="49">
        <f t="shared" si="20"/>
        <v>0</v>
      </c>
    </row>
    <row r="407" spans="1:35" ht="15" x14ac:dyDescent="0.2">
      <c r="A407" s="150" t="s">
        <v>1899</v>
      </c>
      <c r="B407" s="146" t="s">
        <v>668</v>
      </c>
      <c r="C407" s="150" t="s">
        <v>1899</v>
      </c>
      <c r="D407" s="189" t="s">
        <v>1853</v>
      </c>
      <c r="E407" s="146" t="s">
        <v>670</v>
      </c>
      <c r="F407" s="146" t="s">
        <v>671</v>
      </c>
      <c r="G407" s="146" t="s">
        <v>672</v>
      </c>
      <c r="H407" s="148">
        <v>2</v>
      </c>
      <c r="I407" s="146" t="s">
        <v>673</v>
      </c>
      <c r="J407" s="149">
        <v>1</v>
      </c>
      <c r="K407" s="150">
        <v>2021</v>
      </c>
      <c r="L407" s="178" t="s">
        <v>1900</v>
      </c>
      <c r="M407" s="178" t="s">
        <v>1436</v>
      </c>
      <c r="N407" s="152"/>
      <c r="O407" s="153"/>
      <c r="P407" s="154" t="s">
        <v>676</v>
      </c>
      <c r="Q407" s="154"/>
      <c r="R407" s="155">
        <v>5</v>
      </c>
      <c r="S407" s="168"/>
      <c r="T407" s="168"/>
      <c r="U407" s="146"/>
      <c r="V407" s="146"/>
      <c r="W407" s="146"/>
      <c r="X407" s="156">
        <v>0</v>
      </c>
      <c r="Y407" s="156">
        <v>0</v>
      </c>
      <c r="Z407" s="157" t="s">
        <v>1454</v>
      </c>
      <c r="AA407" s="158">
        <v>2021</v>
      </c>
      <c r="AB407" s="158">
        <v>8</v>
      </c>
      <c r="AC407" s="158">
        <v>20</v>
      </c>
      <c r="AD407" s="122" t="b">
        <f>IF(ISBLANK(GroupMember[[#This Row],[1. Identifiant interne d’exploitation agricole*]]),"",IF(ISERROR(MATCH(GroupMember[[#This Row],[1. Identifiant interne d’exploitation agricole*]],CertifiedCrop[1. Identifiant interne d’exploitation agricole*],0)),FALSE,TRUE))</f>
        <v>1</v>
      </c>
      <c r="AE407" s="122" t="b">
        <f>IF(ISBLANK(GroupMember[[#This Row],[1. Identifiant interne d’exploitation agricole*]]),"",IF(ISERROR(MATCH(GroupMember[[#This Row],[1. Identifiant interne d’exploitation agricole*]],FarmUnit[1. Identifiant interne d’exploitation agricole*],0)),FALSE,TRUE))</f>
        <v>1</v>
      </c>
      <c r="AF407" s="9" t="str">
        <f t="shared" si="18"/>
        <v>TIEMOKO CHARLES</v>
      </c>
      <c r="AG407" s="243" t="str">
        <f t="shared" si="19"/>
        <v>20/8/2021</v>
      </c>
      <c r="AH407" s="51">
        <f>COUNTIFS(Z:Z,Z407,AG:AG,AG407)</f>
        <v>3</v>
      </c>
      <c r="AI407" s="49">
        <f t="shared" si="20"/>
        <v>0</v>
      </c>
    </row>
    <row r="408" spans="1:35" ht="15" x14ac:dyDescent="0.2">
      <c r="A408" s="150" t="s">
        <v>1901</v>
      </c>
      <c r="B408" s="146" t="s">
        <v>668</v>
      </c>
      <c r="C408" s="150" t="s">
        <v>1901</v>
      </c>
      <c r="D408" s="189" t="s">
        <v>1853</v>
      </c>
      <c r="E408" s="146" t="s">
        <v>670</v>
      </c>
      <c r="F408" s="146" t="s">
        <v>671</v>
      </c>
      <c r="G408" s="146" t="s">
        <v>672</v>
      </c>
      <c r="H408" s="148">
        <v>1.45</v>
      </c>
      <c r="I408" s="146" t="s">
        <v>673</v>
      </c>
      <c r="J408" s="149">
        <v>1</v>
      </c>
      <c r="K408" s="150">
        <v>2021</v>
      </c>
      <c r="L408" s="178" t="s">
        <v>1902</v>
      </c>
      <c r="M408" s="178" t="s">
        <v>777</v>
      </c>
      <c r="N408" s="152"/>
      <c r="O408" s="153"/>
      <c r="P408" s="154" t="s">
        <v>676</v>
      </c>
      <c r="Q408" s="154"/>
      <c r="R408" s="155">
        <v>4</v>
      </c>
      <c r="S408" s="168"/>
      <c r="T408" s="168"/>
      <c r="U408" s="146"/>
      <c r="V408" s="146"/>
      <c r="W408" s="146"/>
      <c r="X408" s="156">
        <v>0</v>
      </c>
      <c r="Y408" s="156">
        <v>0</v>
      </c>
      <c r="Z408" s="157" t="s">
        <v>1454</v>
      </c>
      <c r="AA408" s="158">
        <v>2021</v>
      </c>
      <c r="AB408" s="158">
        <v>7</v>
      </c>
      <c r="AC408" s="158">
        <v>16</v>
      </c>
      <c r="AD408" s="122" t="b">
        <f>IF(ISBLANK(GroupMember[[#This Row],[1. Identifiant interne d’exploitation agricole*]]),"",IF(ISERROR(MATCH(GroupMember[[#This Row],[1. Identifiant interne d’exploitation agricole*]],CertifiedCrop[1. Identifiant interne d’exploitation agricole*],0)),FALSE,TRUE))</f>
        <v>1</v>
      </c>
      <c r="AE408" s="122" t="b">
        <f>IF(ISBLANK(GroupMember[[#This Row],[1. Identifiant interne d’exploitation agricole*]]),"",IF(ISERROR(MATCH(GroupMember[[#This Row],[1. Identifiant interne d’exploitation agricole*]],FarmUnit[1. Identifiant interne d’exploitation agricole*],0)),FALSE,TRUE))</f>
        <v>1</v>
      </c>
      <c r="AF408" s="9" t="str">
        <f t="shared" si="18"/>
        <v>TODIA  ALBERT</v>
      </c>
      <c r="AG408" s="243" t="str">
        <f t="shared" si="19"/>
        <v>16/7/2021</v>
      </c>
      <c r="AH408" s="51">
        <f>COUNTIFS(Z:Z,Z408,AG:AG,AG408)</f>
        <v>4</v>
      </c>
      <c r="AI408" s="49">
        <f t="shared" si="20"/>
        <v>0</v>
      </c>
    </row>
    <row r="409" spans="1:35" ht="15" x14ac:dyDescent="0.2">
      <c r="A409" s="150" t="s">
        <v>1903</v>
      </c>
      <c r="B409" s="146" t="s">
        <v>668</v>
      </c>
      <c r="C409" s="150" t="s">
        <v>1903</v>
      </c>
      <c r="D409" s="189" t="s">
        <v>1853</v>
      </c>
      <c r="E409" s="146" t="s">
        <v>670</v>
      </c>
      <c r="F409" s="146" t="s">
        <v>671</v>
      </c>
      <c r="G409" s="146" t="s">
        <v>672</v>
      </c>
      <c r="H409" s="148">
        <v>0.98</v>
      </c>
      <c r="I409" s="146" t="s">
        <v>673</v>
      </c>
      <c r="J409" s="149">
        <v>1</v>
      </c>
      <c r="K409" s="150">
        <v>2021</v>
      </c>
      <c r="L409" s="178" t="s">
        <v>1456</v>
      </c>
      <c r="M409" s="178" t="s">
        <v>758</v>
      </c>
      <c r="N409" s="152"/>
      <c r="O409" s="153"/>
      <c r="P409" s="154" t="s">
        <v>676</v>
      </c>
      <c r="Q409" s="154"/>
      <c r="R409" s="155">
        <v>5</v>
      </c>
      <c r="S409" s="168"/>
      <c r="T409" s="168"/>
      <c r="U409" s="146"/>
      <c r="V409" s="146"/>
      <c r="W409" s="146"/>
      <c r="X409" s="156">
        <v>0</v>
      </c>
      <c r="Y409" s="156">
        <v>0</v>
      </c>
      <c r="Z409" s="157" t="s">
        <v>1454</v>
      </c>
      <c r="AA409" s="158">
        <v>2021</v>
      </c>
      <c r="AB409" s="158">
        <v>7</v>
      </c>
      <c r="AC409" s="158">
        <v>9</v>
      </c>
      <c r="AD409" s="122" t="b">
        <f>IF(ISBLANK(GroupMember[[#This Row],[1. Identifiant interne d’exploitation agricole*]]),"",IF(ISERROR(MATCH(GroupMember[[#This Row],[1. Identifiant interne d’exploitation agricole*]],CertifiedCrop[1. Identifiant interne d’exploitation agricole*],0)),FALSE,TRUE))</f>
        <v>1</v>
      </c>
      <c r="AE409" s="122" t="b">
        <f>IF(ISBLANK(GroupMember[[#This Row],[1. Identifiant interne d’exploitation agricole*]]),"",IF(ISERROR(MATCH(GroupMember[[#This Row],[1. Identifiant interne d’exploitation agricole*]],FarmUnit[1. Identifiant interne d’exploitation agricole*],0)),FALSE,TRUE))</f>
        <v>1</v>
      </c>
      <c r="AF409" s="9" t="str">
        <f t="shared" si="18"/>
        <v>ZANOU PIERRE</v>
      </c>
      <c r="AG409" s="243" t="str">
        <f t="shared" si="19"/>
        <v>9/7/2021</v>
      </c>
      <c r="AH409" s="51">
        <f>COUNTIFS(Z:Z,Z409,AG:AG,AG409)</f>
        <v>4</v>
      </c>
      <c r="AI409" s="49">
        <f t="shared" si="20"/>
        <v>0</v>
      </c>
    </row>
    <row r="410" spans="1:35" ht="15" x14ac:dyDescent="0.2">
      <c r="A410" s="150" t="s">
        <v>1904</v>
      </c>
      <c r="B410" s="146" t="s">
        <v>668</v>
      </c>
      <c r="C410" s="150" t="s">
        <v>1904</v>
      </c>
      <c r="D410" s="189" t="s">
        <v>1853</v>
      </c>
      <c r="E410" s="146" t="s">
        <v>670</v>
      </c>
      <c r="F410" s="146" t="s">
        <v>671</v>
      </c>
      <c r="G410" s="146" t="s">
        <v>672</v>
      </c>
      <c r="H410" s="148">
        <v>2.19</v>
      </c>
      <c r="I410" s="146" t="s">
        <v>673</v>
      </c>
      <c r="J410" s="149">
        <v>1</v>
      </c>
      <c r="K410" s="150">
        <v>2021</v>
      </c>
      <c r="L410" s="178" t="s">
        <v>1905</v>
      </c>
      <c r="M410" s="178" t="s">
        <v>1906</v>
      </c>
      <c r="N410" s="152"/>
      <c r="O410" s="153"/>
      <c r="P410" s="154" t="s">
        <v>676</v>
      </c>
      <c r="Q410" s="154"/>
      <c r="R410" s="155">
        <v>8</v>
      </c>
      <c r="S410" s="168"/>
      <c r="T410" s="168"/>
      <c r="U410" s="146"/>
      <c r="V410" s="146"/>
      <c r="W410" s="146"/>
      <c r="X410" s="156">
        <v>0</v>
      </c>
      <c r="Y410" s="156">
        <v>0</v>
      </c>
      <c r="Z410" s="157" t="s">
        <v>1454</v>
      </c>
      <c r="AA410" s="158">
        <v>2021</v>
      </c>
      <c r="AB410" s="158">
        <v>8</v>
      </c>
      <c r="AC410" s="158">
        <v>23</v>
      </c>
      <c r="AD410" s="122" t="b">
        <f>IF(ISBLANK(GroupMember[[#This Row],[1. Identifiant interne d’exploitation agricole*]]),"",IF(ISERROR(MATCH(GroupMember[[#This Row],[1. Identifiant interne d’exploitation agricole*]],CertifiedCrop[1. Identifiant interne d’exploitation agricole*],0)),FALSE,TRUE))</f>
        <v>1</v>
      </c>
      <c r="AE410" s="122" t="b">
        <f>IF(ISBLANK(GroupMember[[#This Row],[1. Identifiant interne d’exploitation agricole*]]),"",IF(ISERROR(MATCH(GroupMember[[#This Row],[1. Identifiant interne d’exploitation agricole*]],FarmUnit[1. Identifiant interne d’exploitation agricole*],0)),FALSE,TRUE))</f>
        <v>1</v>
      </c>
      <c r="AF410" s="9" t="str">
        <f t="shared" si="18"/>
        <v>KAMAIN BERTIN</v>
      </c>
      <c r="AG410" s="243" t="str">
        <f t="shared" si="19"/>
        <v>23/8/2021</v>
      </c>
      <c r="AH410" s="51">
        <f>COUNTIFS(Z:Z,Z410,AG:AG,AG410)</f>
        <v>4</v>
      </c>
      <c r="AI410" s="49">
        <f t="shared" si="20"/>
        <v>0</v>
      </c>
    </row>
    <row r="411" spans="1:35" ht="15" x14ac:dyDescent="0.2">
      <c r="A411" s="150" t="s">
        <v>1907</v>
      </c>
      <c r="B411" s="146" t="s">
        <v>668</v>
      </c>
      <c r="C411" s="150" t="s">
        <v>1907</v>
      </c>
      <c r="D411" s="189" t="s">
        <v>1853</v>
      </c>
      <c r="E411" s="146" t="s">
        <v>670</v>
      </c>
      <c r="F411" s="146" t="s">
        <v>671</v>
      </c>
      <c r="G411" s="146" t="s">
        <v>672</v>
      </c>
      <c r="H411" s="148">
        <v>1.84</v>
      </c>
      <c r="I411" s="146" t="s">
        <v>673</v>
      </c>
      <c r="J411" s="149">
        <v>1</v>
      </c>
      <c r="K411" s="150">
        <v>2021</v>
      </c>
      <c r="L411" s="178" t="s">
        <v>1456</v>
      </c>
      <c r="M411" s="178" t="s">
        <v>1908</v>
      </c>
      <c r="N411" s="152"/>
      <c r="O411" s="153"/>
      <c r="P411" s="154" t="s">
        <v>676</v>
      </c>
      <c r="Q411" s="154"/>
      <c r="R411" s="155">
        <v>5</v>
      </c>
      <c r="S411" s="168"/>
      <c r="T411" s="168"/>
      <c r="U411" s="146"/>
      <c r="V411" s="146"/>
      <c r="W411" s="146"/>
      <c r="X411" s="156">
        <v>0</v>
      </c>
      <c r="Y411" s="156">
        <v>0</v>
      </c>
      <c r="Z411" s="157" t="s">
        <v>1454</v>
      </c>
      <c r="AA411" s="158">
        <v>2021</v>
      </c>
      <c r="AB411" s="158">
        <v>8</v>
      </c>
      <c r="AC411" s="158">
        <v>24</v>
      </c>
      <c r="AD411" s="122" t="b">
        <f>IF(ISBLANK(GroupMember[[#This Row],[1. Identifiant interne d’exploitation agricole*]]),"",IF(ISERROR(MATCH(GroupMember[[#This Row],[1. Identifiant interne d’exploitation agricole*]],CertifiedCrop[1. Identifiant interne d’exploitation agricole*],0)),FALSE,TRUE))</f>
        <v>1</v>
      </c>
      <c r="AE411" s="122" t="b">
        <f>IF(ISBLANK(GroupMember[[#This Row],[1. Identifiant interne d’exploitation agricole*]]),"",IF(ISERROR(MATCH(GroupMember[[#This Row],[1. Identifiant interne d’exploitation agricole*]],FarmUnit[1. Identifiant interne d’exploitation agricole*],0)),FALSE,TRUE))</f>
        <v>1</v>
      </c>
      <c r="AF411" s="9" t="str">
        <f t="shared" si="18"/>
        <v>ZANOU  JEAN MARC</v>
      </c>
      <c r="AG411" s="243" t="str">
        <f t="shared" si="19"/>
        <v>24/8/2021</v>
      </c>
      <c r="AH411" s="51">
        <f>COUNTIFS(Z:Z,Z411,AG:AG,AG411)</f>
        <v>3</v>
      </c>
      <c r="AI411" s="49">
        <f t="shared" si="20"/>
        <v>0</v>
      </c>
    </row>
    <row r="412" spans="1:35" ht="15" x14ac:dyDescent="0.2">
      <c r="A412" s="150" t="s">
        <v>1909</v>
      </c>
      <c r="B412" s="146" t="s">
        <v>668</v>
      </c>
      <c r="C412" s="150" t="s">
        <v>1909</v>
      </c>
      <c r="D412" s="191" t="s">
        <v>1853</v>
      </c>
      <c r="E412" s="146" t="s">
        <v>670</v>
      </c>
      <c r="F412" s="146" t="s">
        <v>671</v>
      </c>
      <c r="G412" s="146" t="s">
        <v>672</v>
      </c>
      <c r="H412" s="148">
        <v>1.32</v>
      </c>
      <c r="I412" s="146" t="s">
        <v>673</v>
      </c>
      <c r="J412" s="149">
        <v>1</v>
      </c>
      <c r="K412" s="150">
        <v>2021</v>
      </c>
      <c r="L412" s="151" t="s">
        <v>1910</v>
      </c>
      <c r="M412" s="151" t="s">
        <v>1841</v>
      </c>
      <c r="N412" s="152"/>
      <c r="O412" s="153"/>
      <c r="P412" s="154" t="s">
        <v>676</v>
      </c>
      <c r="Q412" s="154"/>
      <c r="R412" s="155">
        <v>8</v>
      </c>
      <c r="S412" s="168"/>
      <c r="T412" s="168"/>
      <c r="U412" s="146"/>
      <c r="V412" s="146"/>
      <c r="W412" s="146"/>
      <c r="X412" s="156">
        <v>0</v>
      </c>
      <c r="Y412" s="156">
        <v>0</v>
      </c>
      <c r="Z412" s="157" t="s">
        <v>1454</v>
      </c>
      <c r="AA412" s="158">
        <v>2021</v>
      </c>
      <c r="AB412" s="158">
        <v>8</v>
      </c>
      <c r="AC412" s="158">
        <v>26</v>
      </c>
      <c r="AD412" s="122" t="b">
        <f>IF(ISBLANK(GroupMember[[#This Row],[1. Identifiant interne d’exploitation agricole*]]),"",IF(ISERROR(MATCH(GroupMember[[#This Row],[1. Identifiant interne d’exploitation agricole*]],CertifiedCrop[1. Identifiant interne d’exploitation agricole*],0)),FALSE,TRUE))</f>
        <v>1</v>
      </c>
      <c r="AE412" s="122" t="b">
        <f>IF(ISBLANK(GroupMember[[#This Row],[1. Identifiant interne d’exploitation agricole*]]),"",IF(ISERROR(MATCH(GroupMember[[#This Row],[1. Identifiant interne d’exploitation agricole*]],FarmUnit[1. Identifiant interne d’exploitation agricole*],0)),FALSE,TRUE))</f>
        <v>1</v>
      </c>
      <c r="AF412" s="9" t="str">
        <f t="shared" si="18"/>
        <v>MANGO MARCEL</v>
      </c>
      <c r="AG412" s="243" t="str">
        <f t="shared" si="19"/>
        <v>26/8/2021</v>
      </c>
      <c r="AH412" s="51">
        <f>COUNTIFS(Z:Z,Z412,AG:AG,AG412)</f>
        <v>3</v>
      </c>
      <c r="AI412" s="49">
        <f t="shared" si="20"/>
        <v>0</v>
      </c>
    </row>
    <row r="413" spans="1:35" ht="15" x14ac:dyDescent="0.2">
      <c r="A413" s="150" t="s">
        <v>1911</v>
      </c>
      <c r="B413" s="146" t="s">
        <v>668</v>
      </c>
      <c r="C413" s="150" t="s">
        <v>1911</v>
      </c>
      <c r="D413" s="191" t="s">
        <v>1853</v>
      </c>
      <c r="E413" s="146" t="s">
        <v>670</v>
      </c>
      <c r="F413" s="146" t="s">
        <v>671</v>
      </c>
      <c r="G413" s="146" t="s">
        <v>672</v>
      </c>
      <c r="H413" s="148">
        <v>2.5299999999999998</v>
      </c>
      <c r="I413" s="146" t="s">
        <v>673</v>
      </c>
      <c r="J413" s="149">
        <v>1</v>
      </c>
      <c r="K413" s="150">
        <v>2021</v>
      </c>
      <c r="L413" s="151" t="s">
        <v>1098</v>
      </c>
      <c r="M413" s="151" t="s">
        <v>1620</v>
      </c>
      <c r="N413" s="152" t="s">
        <v>1912</v>
      </c>
      <c r="O413" s="153" t="s">
        <v>1913</v>
      </c>
      <c r="P413" s="154" t="s">
        <v>676</v>
      </c>
      <c r="Q413" s="154">
        <v>1970</v>
      </c>
      <c r="R413" s="155">
        <v>7</v>
      </c>
      <c r="S413" s="168"/>
      <c r="T413" s="168"/>
      <c r="U413" s="146"/>
      <c r="V413" s="146"/>
      <c r="W413" s="146"/>
      <c r="X413" s="156">
        <v>0</v>
      </c>
      <c r="Y413" s="156">
        <v>0</v>
      </c>
      <c r="Z413" s="157" t="s">
        <v>1454</v>
      </c>
      <c r="AA413" s="158">
        <v>2021</v>
      </c>
      <c r="AB413" s="158">
        <v>7</v>
      </c>
      <c r="AC413" s="158">
        <v>17</v>
      </c>
      <c r="AD413" s="122" t="b">
        <f>IF(ISBLANK(GroupMember[[#This Row],[1. Identifiant interne d’exploitation agricole*]]),"",IF(ISERROR(MATCH(GroupMember[[#This Row],[1. Identifiant interne d’exploitation agricole*]],CertifiedCrop[1. Identifiant interne d’exploitation agricole*],0)),FALSE,TRUE))</f>
        <v>1</v>
      </c>
      <c r="AE413" s="122" t="b">
        <f>IF(ISBLANK(GroupMember[[#This Row],[1. Identifiant interne d’exploitation agricole*]]),"",IF(ISERROR(MATCH(GroupMember[[#This Row],[1. Identifiant interne d’exploitation agricole*]],FarmUnit[1. Identifiant interne d’exploitation agricole*],0)),FALSE,TRUE))</f>
        <v>1</v>
      </c>
      <c r="AF413" s="9" t="str">
        <f t="shared" si="18"/>
        <v>SANKARA  ZAKARIA</v>
      </c>
      <c r="AG413" s="243" t="str">
        <f t="shared" si="19"/>
        <v>17/7/2021</v>
      </c>
      <c r="AH413" s="51">
        <f>COUNTIFS(Z:Z,Z413,AG:AG,AG413)</f>
        <v>4</v>
      </c>
      <c r="AI413" s="49">
        <f t="shared" si="20"/>
        <v>0</v>
      </c>
    </row>
    <row r="414" spans="1:35" ht="15" x14ac:dyDescent="0.2">
      <c r="A414" s="150" t="s">
        <v>1914</v>
      </c>
      <c r="B414" s="146" t="s">
        <v>668</v>
      </c>
      <c r="C414" s="150" t="s">
        <v>1914</v>
      </c>
      <c r="D414" s="191" t="s">
        <v>1853</v>
      </c>
      <c r="E414" s="146" t="s">
        <v>670</v>
      </c>
      <c r="F414" s="146" t="s">
        <v>671</v>
      </c>
      <c r="G414" s="146" t="s">
        <v>672</v>
      </c>
      <c r="H414" s="148">
        <v>3.67</v>
      </c>
      <c r="I414" s="146" t="s">
        <v>673</v>
      </c>
      <c r="J414" s="149">
        <v>1</v>
      </c>
      <c r="K414" s="150">
        <v>2021</v>
      </c>
      <c r="L414" s="151" t="s">
        <v>1915</v>
      </c>
      <c r="M414" s="151" t="s">
        <v>1916</v>
      </c>
      <c r="N414" s="172" t="s">
        <v>1917</v>
      </c>
      <c r="O414" s="153" t="s">
        <v>1918</v>
      </c>
      <c r="P414" s="154" t="s">
        <v>676</v>
      </c>
      <c r="Q414" s="154">
        <v>1945</v>
      </c>
      <c r="R414" s="155">
        <v>5</v>
      </c>
      <c r="S414" s="168"/>
      <c r="T414" s="168"/>
      <c r="U414" s="146"/>
      <c r="V414" s="146"/>
      <c r="W414" s="146"/>
      <c r="X414" s="156">
        <v>0</v>
      </c>
      <c r="Y414" s="156">
        <v>0</v>
      </c>
      <c r="Z414" s="157" t="s">
        <v>1454</v>
      </c>
      <c r="AA414" s="158">
        <v>2021</v>
      </c>
      <c r="AB414" s="158">
        <v>8</v>
      </c>
      <c r="AC414" s="158">
        <v>23</v>
      </c>
      <c r="AD414" s="122" t="b">
        <f>IF(ISBLANK(GroupMember[[#This Row],[1. Identifiant interne d’exploitation agricole*]]),"",IF(ISERROR(MATCH(GroupMember[[#This Row],[1. Identifiant interne d’exploitation agricole*]],CertifiedCrop[1. Identifiant interne d’exploitation agricole*],0)),FALSE,TRUE))</f>
        <v>1</v>
      </c>
      <c r="AE414" s="122" t="b">
        <f>IF(ISBLANK(GroupMember[[#This Row],[1. Identifiant interne d’exploitation agricole*]]),"",IF(ISERROR(MATCH(GroupMember[[#This Row],[1. Identifiant interne d’exploitation agricole*]],FarmUnit[1. Identifiant interne d’exploitation agricole*],0)),FALSE,TRUE))</f>
        <v>1</v>
      </c>
      <c r="AF414" s="9" t="str">
        <f t="shared" si="18"/>
        <v>DEMBELE  YOBI</v>
      </c>
      <c r="AG414" s="243" t="str">
        <f t="shared" si="19"/>
        <v>23/8/2021</v>
      </c>
      <c r="AH414" s="51">
        <f>COUNTIFS(Z:Z,Z414,AG:AG,AG414)</f>
        <v>4</v>
      </c>
      <c r="AI414" s="49">
        <f t="shared" si="20"/>
        <v>0</v>
      </c>
    </row>
    <row r="415" spans="1:35" ht="15" x14ac:dyDescent="0.2">
      <c r="A415" s="150" t="s">
        <v>1919</v>
      </c>
      <c r="B415" s="146" t="s">
        <v>668</v>
      </c>
      <c r="C415" s="150" t="s">
        <v>1919</v>
      </c>
      <c r="D415" s="191" t="s">
        <v>1853</v>
      </c>
      <c r="E415" s="146" t="s">
        <v>670</v>
      </c>
      <c r="F415" s="146" t="s">
        <v>671</v>
      </c>
      <c r="G415" s="146" t="s">
        <v>672</v>
      </c>
      <c r="H415" s="148">
        <v>1.62</v>
      </c>
      <c r="I415" s="146" t="s">
        <v>673</v>
      </c>
      <c r="J415" s="149">
        <v>1</v>
      </c>
      <c r="K415" s="150">
        <v>2021</v>
      </c>
      <c r="L415" s="151" t="s">
        <v>715</v>
      </c>
      <c r="M415" s="151" t="s">
        <v>1920</v>
      </c>
      <c r="N415" s="152" t="s">
        <v>1921</v>
      </c>
      <c r="O415" s="153"/>
      <c r="P415" s="154" t="s">
        <v>676</v>
      </c>
      <c r="Q415" s="154"/>
      <c r="R415" s="155">
        <v>9</v>
      </c>
      <c r="S415" s="168"/>
      <c r="T415" s="168"/>
      <c r="U415" s="146"/>
      <c r="V415" s="146"/>
      <c r="W415" s="146"/>
      <c r="X415" s="156">
        <v>0</v>
      </c>
      <c r="Y415" s="156">
        <v>0</v>
      </c>
      <c r="Z415" s="157" t="s">
        <v>1454</v>
      </c>
      <c r="AA415" s="158">
        <v>2021</v>
      </c>
      <c r="AB415" s="158">
        <v>8</v>
      </c>
      <c r="AC415" s="158">
        <v>27</v>
      </c>
      <c r="AD415" s="122" t="b">
        <f>IF(ISBLANK(GroupMember[[#This Row],[1. Identifiant interne d’exploitation agricole*]]),"",IF(ISERROR(MATCH(GroupMember[[#This Row],[1. Identifiant interne d’exploitation agricole*]],CertifiedCrop[1. Identifiant interne d’exploitation agricole*],0)),FALSE,TRUE))</f>
        <v>1</v>
      </c>
      <c r="AE415" s="122" t="b">
        <f>IF(ISBLANK(GroupMember[[#This Row],[1. Identifiant interne d’exploitation agricole*]]),"",IF(ISERROR(MATCH(GroupMember[[#This Row],[1. Identifiant interne d’exploitation agricole*]],FarmUnit[1. Identifiant interne d’exploitation agricole*],0)),FALSE,TRUE))</f>
        <v>1</v>
      </c>
      <c r="AF415" s="9" t="str">
        <f t="shared" si="18"/>
        <v>TRAORE ALASSANE</v>
      </c>
      <c r="AG415" s="243" t="str">
        <f t="shared" si="19"/>
        <v>27/8/2021</v>
      </c>
      <c r="AH415" s="51">
        <f>COUNTIFS(Z:Z,Z415,AG:AG,AG415)</f>
        <v>4</v>
      </c>
      <c r="AI415" s="49">
        <f t="shared" si="20"/>
        <v>0</v>
      </c>
    </row>
    <row r="416" spans="1:35" ht="15" x14ac:dyDescent="0.2">
      <c r="A416" s="150" t="s">
        <v>1922</v>
      </c>
      <c r="B416" s="146" t="s">
        <v>668</v>
      </c>
      <c r="C416" s="150" t="s">
        <v>1922</v>
      </c>
      <c r="D416" s="191" t="s">
        <v>1853</v>
      </c>
      <c r="E416" s="146" t="s">
        <v>670</v>
      </c>
      <c r="F416" s="146" t="s">
        <v>671</v>
      </c>
      <c r="G416" s="146" t="s">
        <v>672</v>
      </c>
      <c r="H416" s="148">
        <v>2.46</v>
      </c>
      <c r="I416" s="146" t="s">
        <v>673</v>
      </c>
      <c r="J416" s="149">
        <v>1</v>
      </c>
      <c r="K416" s="150">
        <v>2021</v>
      </c>
      <c r="L416" s="178" t="s">
        <v>707</v>
      </c>
      <c r="M416" s="178" t="s">
        <v>1923</v>
      </c>
      <c r="N416" s="172"/>
      <c r="O416" s="153" t="s">
        <v>1924</v>
      </c>
      <c r="P416" s="154" t="s">
        <v>676</v>
      </c>
      <c r="Q416" s="154">
        <v>1983</v>
      </c>
      <c r="R416" s="155">
        <v>7</v>
      </c>
      <c r="S416" s="168"/>
      <c r="T416" s="168"/>
      <c r="U416" s="146"/>
      <c r="V416" s="146"/>
      <c r="W416" s="146"/>
      <c r="X416" s="156">
        <v>0</v>
      </c>
      <c r="Y416" s="156">
        <v>0</v>
      </c>
      <c r="Z416" s="157" t="s">
        <v>1454</v>
      </c>
      <c r="AA416" s="158">
        <v>2021</v>
      </c>
      <c r="AB416" s="158">
        <v>8</v>
      </c>
      <c r="AC416" s="158">
        <v>28</v>
      </c>
      <c r="AD416" s="122" t="b">
        <f>IF(ISBLANK(GroupMember[[#This Row],[1. Identifiant interne d’exploitation agricole*]]),"",IF(ISERROR(MATCH(GroupMember[[#This Row],[1. Identifiant interne d’exploitation agricole*]],CertifiedCrop[1. Identifiant interne d’exploitation agricole*],0)),FALSE,TRUE))</f>
        <v>1</v>
      </c>
      <c r="AE416" s="122" t="b">
        <f>IF(ISBLANK(GroupMember[[#This Row],[1. Identifiant interne d’exploitation agricole*]]),"",IF(ISERROR(MATCH(GroupMember[[#This Row],[1. Identifiant interne d’exploitation agricole*]],FarmUnit[1. Identifiant interne d’exploitation agricole*],0)),FALSE,TRUE))</f>
        <v>1</v>
      </c>
      <c r="AF416" s="9" t="str">
        <f t="shared" si="18"/>
        <v>OUEDRAOGO  ALASSANE</v>
      </c>
      <c r="AG416" s="243" t="str">
        <f t="shared" si="19"/>
        <v>28/8/2021</v>
      </c>
      <c r="AH416" s="51">
        <f>COUNTIFS(Z:Z,Z416,AG:AG,AG416)</f>
        <v>4</v>
      </c>
      <c r="AI416" s="49">
        <f t="shared" si="20"/>
        <v>0</v>
      </c>
    </row>
    <row r="417" spans="1:35" ht="15" x14ac:dyDescent="0.2">
      <c r="A417" s="150" t="s">
        <v>1925</v>
      </c>
      <c r="B417" s="146" t="s">
        <v>668</v>
      </c>
      <c r="C417" s="150" t="s">
        <v>1925</v>
      </c>
      <c r="D417" s="191" t="s">
        <v>1853</v>
      </c>
      <c r="E417" s="146" t="s">
        <v>670</v>
      </c>
      <c r="F417" s="146" t="s">
        <v>671</v>
      </c>
      <c r="G417" s="146" t="s">
        <v>672</v>
      </c>
      <c r="H417" s="148">
        <v>1.75</v>
      </c>
      <c r="I417" s="146" t="s">
        <v>673</v>
      </c>
      <c r="J417" s="149">
        <v>1</v>
      </c>
      <c r="K417" s="150">
        <v>2021</v>
      </c>
      <c r="L417" s="178" t="s">
        <v>1926</v>
      </c>
      <c r="M417" s="178" t="s">
        <v>1927</v>
      </c>
      <c r="N417" s="152" t="s">
        <v>1928</v>
      </c>
      <c r="O417" s="153" t="s">
        <v>1929</v>
      </c>
      <c r="P417" s="154" t="s">
        <v>676</v>
      </c>
      <c r="Q417" s="154">
        <v>1944</v>
      </c>
      <c r="R417" s="155">
        <v>5</v>
      </c>
      <c r="S417" s="168"/>
      <c r="T417" s="168"/>
      <c r="U417" s="146"/>
      <c r="V417" s="146"/>
      <c r="W417" s="146"/>
      <c r="X417" s="156">
        <v>0</v>
      </c>
      <c r="Y417" s="156">
        <v>0</v>
      </c>
      <c r="Z417" s="157" t="s">
        <v>1454</v>
      </c>
      <c r="AA417" s="158">
        <v>2021</v>
      </c>
      <c r="AB417" s="158">
        <v>8</v>
      </c>
      <c r="AC417" s="158">
        <v>23</v>
      </c>
      <c r="AD417" s="122" t="b">
        <f>IF(ISBLANK(GroupMember[[#This Row],[1. Identifiant interne d’exploitation agricole*]]),"",IF(ISERROR(MATCH(GroupMember[[#This Row],[1. Identifiant interne d’exploitation agricole*]],CertifiedCrop[1. Identifiant interne d’exploitation agricole*],0)),FALSE,TRUE))</f>
        <v>1</v>
      </c>
      <c r="AE417" s="122" t="b">
        <f>IF(ISBLANK(GroupMember[[#This Row],[1. Identifiant interne d’exploitation agricole*]]),"",IF(ISERROR(MATCH(GroupMember[[#This Row],[1. Identifiant interne d’exploitation agricole*]],FarmUnit[1. Identifiant interne d’exploitation agricole*],0)),FALSE,TRUE))</f>
        <v>1</v>
      </c>
      <c r="AF417" s="9" t="str">
        <f t="shared" si="18"/>
        <v>ZOUNGRANA  MATHIAS</v>
      </c>
      <c r="AG417" s="243" t="str">
        <f t="shared" si="19"/>
        <v>23/8/2021</v>
      </c>
      <c r="AH417" s="51">
        <f>COUNTIFS(Z:Z,Z417,AG:AG,AG417)</f>
        <v>4</v>
      </c>
      <c r="AI417" s="49">
        <f t="shared" si="20"/>
        <v>0</v>
      </c>
    </row>
    <row r="418" spans="1:35" ht="15" x14ac:dyDescent="0.2">
      <c r="A418" s="150" t="s">
        <v>1930</v>
      </c>
      <c r="B418" s="146" t="s">
        <v>668</v>
      </c>
      <c r="C418" s="150" t="s">
        <v>1930</v>
      </c>
      <c r="D418" s="191" t="s">
        <v>1853</v>
      </c>
      <c r="E418" s="146" t="s">
        <v>670</v>
      </c>
      <c r="F418" s="146" t="s">
        <v>671</v>
      </c>
      <c r="G418" s="146" t="s">
        <v>672</v>
      </c>
      <c r="H418" s="148">
        <v>2</v>
      </c>
      <c r="I418" s="146" t="s">
        <v>673</v>
      </c>
      <c r="J418" s="149">
        <v>1</v>
      </c>
      <c r="K418" s="150">
        <v>2021</v>
      </c>
      <c r="L418" s="178" t="s">
        <v>707</v>
      </c>
      <c r="M418" s="178" t="s">
        <v>1931</v>
      </c>
      <c r="N418" s="172"/>
      <c r="O418" s="153"/>
      <c r="P418" s="154" t="s">
        <v>676</v>
      </c>
      <c r="Q418" s="154"/>
      <c r="R418" s="155">
        <v>9</v>
      </c>
      <c r="S418" s="168"/>
      <c r="T418" s="168"/>
      <c r="U418" s="146"/>
      <c r="V418" s="146"/>
      <c r="W418" s="146"/>
      <c r="X418" s="156">
        <v>0</v>
      </c>
      <c r="Y418" s="156">
        <v>0</v>
      </c>
      <c r="Z418" s="157" t="s">
        <v>1454</v>
      </c>
      <c r="AA418" s="158">
        <v>2021</v>
      </c>
      <c r="AB418" s="158">
        <v>8</v>
      </c>
      <c r="AC418" s="158">
        <v>27</v>
      </c>
      <c r="AD418" s="122" t="b">
        <f>IF(ISBLANK(GroupMember[[#This Row],[1. Identifiant interne d’exploitation agricole*]]),"",IF(ISERROR(MATCH(GroupMember[[#This Row],[1. Identifiant interne d’exploitation agricole*]],CertifiedCrop[1. Identifiant interne d’exploitation agricole*],0)),FALSE,TRUE))</f>
        <v>1</v>
      </c>
      <c r="AE418" s="122" t="b">
        <f>IF(ISBLANK(GroupMember[[#This Row],[1. Identifiant interne d’exploitation agricole*]]),"",IF(ISERROR(MATCH(GroupMember[[#This Row],[1. Identifiant interne d’exploitation agricole*]],FarmUnit[1. Identifiant interne d’exploitation agricole*],0)),FALSE,TRUE))</f>
        <v>1</v>
      </c>
      <c r="AF418" s="9" t="str">
        <f t="shared" si="18"/>
        <v>OUEDRAOGO  TIBO DIT SALIFOU</v>
      </c>
      <c r="AG418" s="243" t="str">
        <f t="shared" si="19"/>
        <v>27/8/2021</v>
      </c>
      <c r="AH418" s="51">
        <f>COUNTIFS(Z:Z,Z418,AG:AG,AG418)</f>
        <v>4</v>
      </c>
      <c r="AI418" s="49">
        <f t="shared" si="20"/>
        <v>0</v>
      </c>
    </row>
    <row r="419" spans="1:35" ht="15" x14ac:dyDescent="0.2">
      <c r="A419" s="150" t="s">
        <v>1932</v>
      </c>
      <c r="B419" s="146" t="s">
        <v>668</v>
      </c>
      <c r="C419" s="150" t="s">
        <v>1932</v>
      </c>
      <c r="D419" s="191" t="s">
        <v>1853</v>
      </c>
      <c r="E419" s="146" t="s">
        <v>670</v>
      </c>
      <c r="F419" s="146" t="s">
        <v>671</v>
      </c>
      <c r="G419" s="146" t="s">
        <v>672</v>
      </c>
      <c r="H419" s="148">
        <v>1.59</v>
      </c>
      <c r="I419" s="146" t="s">
        <v>673</v>
      </c>
      <c r="J419" s="149">
        <v>1</v>
      </c>
      <c r="K419" s="150">
        <v>2021</v>
      </c>
      <c r="L419" s="151" t="s">
        <v>1223</v>
      </c>
      <c r="M419" s="151" t="s">
        <v>1933</v>
      </c>
      <c r="N419" s="172" t="s">
        <v>1934</v>
      </c>
      <c r="O419" s="153"/>
      <c r="P419" s="154" t="s">
        <v>676</v>
      </c>
      <c r="Q419" s="154"/>
      <c r="R419" s="155">
        <v>6</v>
      </c>
      <c r="S419" s="168"/>
      <c r="T419" s="168"/>
      <c r="U419" s="146"/>
      <c r="V419" s="146"/>
      <c r="W419" s="146"/>
      <c r="X419" s="156">
        <v>0</v>
      </c>
      <c r="Y419" s="156">
        <v>0</v>
      </c>
      <c r="Z419" s="157" t="s">
        <v>1454</v>
      </c>
      <c r="AA419" s="158">
        <v>2021</v>
      </c>
      <c r="AB419" s="158">
        <v>7</v>
      </c>
      <c r="AC419" s="158">
        <v>9</v>
      </c>
      <c r="AD419" s="122" t="b">
        <f>IF(ISBLANK(GroupMember[[#This Row],[1. Identifiant interne d’exploitation agricole*]]),"",IF(ISERROR(MATCH(GroupMember[[#This Row],[1. Identifiant interne d’exploitation agricole*]],CertifiedCrop[1. Identifiant interne d’exploitation agricole*],0)),FALSE,TRUE))</f>
        <v>1</v>
      </c>
      <c r="AE419" s="122" t="b">
        <f>IF(ISBLANK(GroupMember[[#This Row],[1. Identifiant interne d’exploitation agricole*]]),"",IF(ISERROR(MATCH(GroupMember[[#This Row],[1. Identifiant interne d’exploitation agricole*]],FarmUnit[1. Identifiant interne d’exploitation agricole*],0)),FALSE,TRUE))</f>
        <v>1</v>
      </c>
      <c r="AF419" s="9" t="str">
        <f t="shared" si="18"/>
        <v>KONKOBO THOMAS</v>
      </c>
      <c r="AG419" s="243" t="str">
        <f t="shared" si="19"/>
        <v>9/7/2021</v>
      </c>
      <c r="AH419" s="51">
        <f>COUNTIFS(Z:Z,Z419,AG:AG,AG419)</f>
        <v>4</v>
      </c>
      <c r="AI419" s="49">
        <f t="shared" si="20"/>
        <v>0</v>
      </c>
    </row>
    <row r="420" spans="1:35" ht="15" x14ac:dyDescent="0.2">
      <c r="A420" s="150" t="s">
        <v>1935</v>
      </c>
      <c r="B420" s="146" t="s">
        <v>668</v>
      </c>
      <c r="C420" s="150" t="s">
        <v>1935</v>
      </c>
      <c r="D420" s="191" t="s">
        <v>1853</v>
      </c>
      <c r="E420" s="146" t="s">
        <v>670</v>
      </c>
      <c r="F420" s="146" t="s">
        <v>671</v>
      </c>
      <c r="G420" s="146" t="s">
        <v>672</v>
      </c>
      <c r="H420" s="148">
        <v>1.75</v>
      </c>
      <c r="I420" s="146" t="s">
        <v>673</v>
      </c>
      <c r="J420" s="149">
        <v>1</v>
      </c>
      <c r="K420" s="150">
        <v>2021</v>
      </c>
      <c r="L420" s="151" t="s">
        <v>1936</v>
      </c>
      <c r="M420" s="151" t="s">
        <v>1937</v>
      </c>
      <c r="N420" s="172" t="s">
        <v>1938</v>
      </c>
      <c r="O420" s="153"/>
      <c r="P420" s="154" t="s">
        <v>676</v>
      </c>
      <c r="Q420" s="154"/>
      <c r="R420" s="155">
        <v>6</v>
      </c>
      <c r="S420" s="168"/>
      <c r="T420" s="168"/>
      <c r="U420" s="146"/>
      <c r="V420" s="146"/>
      <c r="W420" s="146"/>
      <c r="X420" s="156">
        <v>0</v>
      </c>
      <c r="Y420" s="156">
        <v>0</v>
      </c>
      <c r="Z420" s="157" t="s">
        <v>1454</v>
      </c>
      <c r="AA420" s="158">
        <v>2021</v>
      </c>
      <c r="AB420" s="158">
        <v>7</v>
      </c>
      <c r="AC420" s="158">
        <v>17</v>
      </c>
      <c r="AD420" s="122" t="b">
        <f>IF(ISBLANK(GroupMember[[#This Row],[1. Identifiant interne d’exploitation agricole*]]),"",IF(ISERROR(MATCH(GroupMember[[#This Row],[1. Identifiant interne d’exploitation agricole*]],CertifiedCrop[1. Identifiant interne d’exploitation agricole*],0)),FALSE,TRUE))</f>
        <v>1</v>
      </c>
      <c r="AE420" s="122" t="b">
        <f>IF(ISBLANK(GroupMember[[#This Row],[1. Identifiant interne d’exploitation agricole*]]),"",IF(ISERROR(MATCH(GroupMember[[#This Row],[1. Identifiant interne d’exploitation agricole*]],FarmUnit[1. Identifiant interne d’exploitation agricole*],0)),FALSE,TRUE))</f>
        <v>1</v>
      </c>
      <c r="AF420" s="9" t="str">
        <f t="shared" si="18"/>
        <v>NANEMA  BENJAMIN</v>
      </c>
      <c r="AG420" s="243" t="str">
        <f t="shared" si="19"/>
        <v>17/7/2021</v>
      </c>
      <c r="AH420" s="51">
        <f>COUNTIFS(Z:Z,Z420,AG:AG,AG420)</f>
        <v>4</v>
      </c>
      <c r="AI420" s="49">
        <f t="shared" si="20"/>
        <v>0</v>
      </c>
    </row>
    <row r="421" spans="1:35" ht="15" x14ac:dyDescent="0.2">
      <c r="A421" s="150" t="s">
        <v>1939</v>
      </c>
      <c r="B421" s="146" t="s">
        <v>668</v>
      </c>
      <c r="C421" s="150" t="s">
        <v>1939</v>
      </c>
      <c r="D421" s="191" t="s">
        <v>1853</v>
      </c>
      <c r="E421" s="146" t="s">
        <v>670</v>
      </c>
      <c r="F421" s="146" t="s">
        <v>671</v>
      </c>
      <c r="G421" s="146" t="s">
        <v>672</v>
      </c>
      <c r="H421" s="148">
        <v>2.96</v>
      </c>
      <c r="I421" s="146" t="s">
        <v>673</v>
      </c>
      <c r="J421" s="149">
        <v>1</v>
      </c>
      <c r="K421" s="150">
        <v>2021</v>
      </c>
      <c r="L421" s="151" t="s">
        <v>1940</v>
      </c>
      <c r="M421" s="151" t="s">
        <v>753</v>
      </c>
      <c r="N421" s="172"/>
      <c r="O421" s="153"/>
      <c r="P421" s="154" t="s">
        <v>676</v>
      </c>
      <c r="Q421" s="154"/>
      <c r="R421" s="155">
        <v>4</v>
      </c>
      <c r="S421" s="168"/>
      <c r="T421" s="168"/>
      <c r="U421" s="146"/>
      <c r="V421" s="146"/>
      <c r="W421" s="146"/>
      <c r="X421" s="156">
        <v>0</v>
      </c>
      <c r="Y421" s="156">
        <v>0</v>
      </c>
      <c r="Z421" s="157" t="s">
        <v>1454</v>
      </c>
      <c r="AA421" s="158">
        <v>2021</v>
      </c>
      <c r="AB421" s="158">
        <v>8</v>
      </c>
      <c r="AC421" s="158">
        <v>28</v>
      </c>
      <c r="AD421" s="122" t="b">
        <f>IF(ISBLANK(GroupMember[[#This Row],[1. Identifiant interne d’exploitation agricole*]]),"",IF(ISERROR(MATCH(GroupMember[[#This Row],[1. Identifiant interne d’exploitation agricole*]],CertifiedCrop[1. Identifiant interne d’exploitation agricole*],0)),FALSE,TRUE))</f>
        <v>1</v>
      </c>
      <c r="AE421" s="122" t="b">
        <f>IF(ISBLANK(GroupMember[[#This Row],[1. Identifiant interne d’exploitation agricole*]]),"",IF(ISERROR(MATCH(GroupMember[[#This Row],[1. Identifiant interne d’exploitation agricole*]],FarmUnit[1. Identifiant interne d’exploitation agricole*],0)),FALSE,TRUE))</f>
        <v>1</v>
      </c>
      <c r="AF421" s="9" t="str">
        <f t="shared" si="18"/>
        <v>DIANDA ADAMA</v>
      </c>
      <c r="AG421" s="243" t="str">
        <f t="shared" si="19"/>
        <v>28/8/2021</v>
      </c>
      <c r="AH421" s="51">
        <f>COUNTIFS(Z:Z,Z421,AG:AG,AG421)</f>
        <v>4</v>
      </c>
      <c r="AI421" s="49">
        <f t="shared" si="20"/>
        <v>0</v>
      </c>
    </row>
    <row r="422" spans="1:35" ht="15" x14ac:dyDescent="0.2">
      <c r="A422" s="150" t="s">
        <v>1941</v>
      </c>
      <c r="B422" s="146" t="s">
        <v>668</v>
      </c>
      <c r="C422" s="150" t="s">
        <v>1941</v>
      </c>
      <c r="D422" s="191" t="s">
        <v>1853</v>
      </c>
      <c r="E422" s="146" t="s">
        <v>670</v>
      </c>
      <c r="F422" s="146" t="s">
        <v>671</v>
      </c>
      <c r="G422" s="146" t="s">
        <v>672</v>
      </c>
      <c r="H422" s="148">
        <v>2.54</v>
      </c>
      <c r="I422" s="146" t="s">
        <v>673</v>
      </c>
      <c r="J422" s="149">
        <v>1</v>
      </c>
      <c r="K422" s="150">
        <v>2021</v>
      </c>
      <c r="L422" s="151" t="s">
        <v>1002</v>
      </c>
      <c r="M422" s="151" t="s">
        <v>1942</v>
      </c>
      <c r="N422" s="172" t="s">
        <v>1943</v>
      </c>
      <c r="O422" s="153" t="s">
        <v>1944</v>
      </c>
      <c r="P422" s="154" t="s">
        <v>676</v>
      </c>
      <c r="Q422" s="154">
        <v>1980</v>
      </c>
      <c r="R422" s="155">
        <v>8</v>
      </c>
      <c r="S422" s="168"/>
      <c r="T422" s="168"/>
      <c r="U422" s="146"/>
      <c r="V422" s="146"/>
      <c r="W422" s="146"/>
      <c r="X422" s="156">
        <v>0</v>
      </c>
      <c r="Y422" s="156">
        <v>0</v>
      </c>
      <c r="Z422" s="157" t="s">
        <v>1454</v>
      </c>
      <c r="AA422" s="158">
        <v>2021</v>
      </c>
      <c r="AB422" s="158">
        <v>8</v>
      </c>
      <c r="AC422" s="158">
        <v>27</v>
      </c>
      <c r="AD422" s="122" t="b">
        <f>IF(ISBLANK(GroupMember[[#This Row],[1. Identifiant interne d’exploitation agricole*]]),"",IF(ISERROR(MATCH(GroupMember[[#This Row],[1. Identifiant interne d’exploitation agricole*]],CertifiedCrop[1. Identifiant interne d’exploitation agricole*],0)),FALSE,TRUE))</f>
        <v>1</v>
      </c>
      <c r="AE422" s="122" t="b">
        <f>IF(ISBLANK(GroupMember[[#This Row],[1. Identifiant interne d’exploitation agricole*]]),"",IF(ISERROR(MATCH(GroupMember[[#This Row],[1. Identifiant interne d’exploitation agricole*]],FarmUnit[1. Identifiant interne d’exploitation agricole*],0)),FALSE,TRUE))</f>
        <v>1</v>
      </c>
      <c r="AF422" s="9" t="str">
        <f t="shared" si="18"/>
        <v>SAVADOGO  OUSSEINI</v>
      </c>
      <c r="AG422" s="243" t="str">
        <f t="shared" si="19"/>
        <v>27/8/2021</v>
      </c>
      <c r="AH422" s="51">
        <f>COUNTIFS(Z:Z,Z422,AG:AG,AG422)</f>
        <v>4</v>
      </c>
      <c r="AI422" s="49">
        <f t="shared" si="20"/>
        <v>0</v>
      </c>
    </row>
    <row r="423" spans="1:35" ht="15" x14ac:dyDescent="0.2">
      <c r="A423" s="150" t="s">
        <v>1945</v>
      </c>
      <c r="B423" s="146" t="s">
        <v>668</v>
      </c>
      <c r="C423" s="150" t="s">
        <v>1945</v>
      </c>
      <c r="D423" s="191" t="s">
        <v>1853</v>
      </c>
      <c r="E423" s="146" t="s">
        <v>670</v>
      </c>
      <c r="F423" s="146" t="s">
        <v>671</v>
      </c>
      <c r="G423" s="146" t="s">
        <v>672</v>
      </c>
      <c r="H423" s="148">
        <v>4.4800000000000004</v>
      </c>
      <c r="I423" s="146" t="s">
        <v>673</v>
      </c>
      <c r="J423" s="149">
        <v>1</v>
      </c>
      <c r="K423" s="150">
        <v>2021</v>
      </c>
      <c r="L423" s="151" t="s">
        <v>1063</v>
      </c>
      <c r="M423" s="151" t="s">
        <v>1946</v>
      </c>
      <c r="N423" s="172" t="s">
        <v>1947</v>
      </c>
      <c r="O423" s="153"/>
      <c r="P423" s="154" t="s">
        <v>676</v>
      </c>
      <c r="Q423" s="154"/>
      <c r="R423" s="155">
        <v>7</v>
      </c>
      <c r="S423" s="168"/>
      <c r="T423" s="168"/>
      <c r="U423" s="146"/>
      <c r="V423" s="146"/>
      <c r="W423" s="146"/>
      <c r="X423" s="156">
        <v>0</v>
      </c>
      <c r="Y423" s="156">
        <v>0</v>
      </c>
      <c r="Z423" s="157" t="s">
        <v>1454</v>
      </c>
      <c r="AA423" s="158">
        <v>2021</v>
      </c>
      <c r="AB423" s="158">
        <v>8</v>
      </c>
      <c r="AC423" s="158">
        <v>28</v>
      </c>
      <c r="AD423" s="122" t="b">
        <f>IF(ISBLANK(GroupMember[[#This Row],[1. Identifiant interne d’exploitation agricole*]]),"",IF(ISERROR(MATCH(GroupMember[[#This Row],[1. Identifiant interne d’exploitation agricole*]],CertifiedCrop[1. Identifiant interne d’exploitation agricole*],0)),FALSE,TRUE))</f>
        <v>1</v>
      </c>
      <c r="AE423" s="122" t="b">
        <f>IF(ISBLANK(GroupMember[[#This Row],[1. Identifiant interne d’exploitation agricole*]]),"",IF(ISERROR(MATCH(GroupMember[[#This Row],[1. Identifiant interne d’exploitation agricole*]],FarmUnit[1. Identifiant interne d’exploitation agricole*],0)),FALSE,TRUE))</f>
        <v>1</v>
      </c>
      <c r="AF423" s="9" t="str">
        <f t="shared" si="18"/>
        <v>ZONGO TIMBI</v>
      </c>
      <c r="AG423" s="243" t="str">
        <f t="shared" si="19"/>
        <v>28/8/2021</v>
      </c>
      <c r="AH423" s="51">
        <f>COUNTIFS(Z:Z,Z423,AG:AG,AG423)</f>
        <v>4</v>
      </c>
      <c r="AI423" s="49">
        <f t="shared" si="20"/>
        <v>0</v>
      </c>
    </row>
    <row r="424" spans="1:35" ht="15" x14ac:dyDescent="0.2">
      <c r="A424" s="150" t="s">
        <v>1948</v>
      </c>
      <c r="B424" s="146" t="s">
        <v>668</v>
      </c>
      <c r="C424" s="150" t="s">
        <v>1948</v>
      </c>
      <c r="D424" s="191" t="s">
        <v>1853</v>
      </c>
      <c r="E424" s="146" t="s">
        <v>670</v>
      </c>
      <c r="F424" s="146" t="s">
        <v>671</v>
      </c>
      <c r="G424" s="146" t="s">
        <v>672</v>
      </c>
      <c r="H424" s="148">
        <v>1.05</v>
      </c>
      <c r="I424" s="146" t="s">
        <v>673</v>
      </c>
      <c r="J424" s="149">
        <v>1</v>
      </c>
      <c r="K424" s="150">
        <v>2021</v>
      </c>
      <c r="L424" s="151" t="s">
        <v>1063</v>
      </c>
      <c r="M424" s="151" t="s">
        <v>1949</v>
      </c>
      <c r="N424" s="172" t="s">
        <v>1950</v>
      </c>
      <c r="O424" s="153"/>
      <c r="P424" s="154" t="s">
        <v>676</v>
      </c>
      <c r="Q424" s="154"/>
      <c r="R424" s="155">
        <v>5</v>
      </c>
      <c r="S424" s="168"/>
      <c r="T424" s="168"/>
      <c r="U424" s="146"/>
      <c r="V424" s="146"/>
      <c r="W424" s="146"/>
      <c r="X424" s="156">
        <v>0</v>
      </c>
      <c r="Y424" s="156">
        <v>0</v>
      </c>
      <c r="Z424" s="157" t="s">
        <v>1454</v>
      </c>
      <c r="AA424" s="158">
        <v>2021</v>
      </c>
      <c r="AB424" s="158">
        <v>8</v>
      </c>
      <c r="AC424" s="158">
        <v>28</v>
      </c>
      <c r="AD424" s="122" t="b">
        <f>IF(ISBLANK(GroupMember[[#This Row],[1. Identifiant interne d’exploitation agricole*]]),"",IF(ISERROR(MATCH(GroupMember[[#This Row],[1. Identifiant interne d’exploitation agricole*]],CertifiedCrop[1. Identifiant interne d’exploitation agricole*],0)),FALSE,TRUE))</f>
        <v>1</v>
      </c>
      <c r="AE424" s="122" t="b">
        <f>IF(ISBLANK(GroupMember[[#This Row],[1. Identifiant interne d’exploitation agricole*]]),"",IF(ISERROR(MATCH(GroupMember[[#This Row],[1. Identifiant interne d’exploitation agricole*]],FarmUnit[1. Identifiant interne d’exploitation agricole*],0)),FALSE,TRUE))</f>
        <v>1</v>
      </c>
      <c r="AF424" s="9" t="str">
        <f t="shared" si="18"/>
        <v>ZONGO SAIDOU</v>
      </c>
      <c r="AG424" s="243" t="str">
        <f t="shared" si="19"/>
        <v>28/8/2021</v>
      </c>
      <c r="AH424" s="51">
        <f>COUNTIFS(Z:Z,Z424,AG:AG,AG424)</f>
        <v>4</v>
      </c>
      <c r="AI424" s="49">
        <f t="shared" si="20"/>
        <v>0</v>
      </c>
    </row>
    <row r="425" spans="1:35" ht="15" x14ac:dyDescent="0.2">
      <c r="A425" s="150" t="s">
        <v>1951</v>
      </c>
      <c r="B425" s="146" t="s">
        <v>668</v>
      </c>
      <c r="C425" s="150" t="s">
        <v>1951</v>
      </c>
      <c r="D425" s="191" t="s">
        <v>1853</v>
      </c>
      <c r="E425" s="146" t="s">
        <v>670</v>
      </c>
      <c r="F425" s="146" t="s">
        <v>671</v>
      </c>
      <c r="G425" s="146" t="s">
        <v>672</v>
      </c>
      <c r="H425" s="148">
        <v>2.27</v>
      </c>
      <c r="I425" s="146" t="s">
        <v>673</v>
      </c>
      <c r="J425" s="149">
        <v>1</v>
      </c>
      <c r="K425" s="150">
        <v>2021</v>
      </c>
      <c r="L425" s="151" t="s">
        <v>715</v>
      </c>
      <c r="M425" s="151" t="s">
        <v>1952</v>
      </c>
      <c r="N425" s="172"/>
      <c r="O425" s="153"/>
      <c r="P425" s="154" t="s">
        <v>676</v>
      </c>
      <c r="Q425" s="154"/>
      <c r="R425" s="155">
        <v>7</v>
      </c>
      <c r="S425" s="168"/>
      <c r="T425" s="168"/>
      <c r="U425" s="146"/>
      <c r="V425" s="146"/>
      <c r="W425" s="146"/>
      <c r="X425" s="156">
        <v>0</v>
      </c>
      <c r="Y425" s="156">
        <v>0</v>
      </c>
      <c r="Z425" s="157" t="s">
        <v>1454</v>
      </c>
      <c r="AA425" s="158">
        <v>2021</v>
      </c>
      <c r="AB425" s="158">
        <v>8</v>
      </c>
      <c r="AC425" s="158">
        <v>30</v>
      </c>
      <c r="AD425" s="122" t="b">
        <f>IF(ISBLANK(GroupMember[[#This Row],[1. Identifiant interne d’exploitation agricole*]]),"",IF(ISERROR(MATCH(GroupMember[[#This Row],[1. Identifiant interne d’exploitation agricole*]],CertifiedCrop[1. Identifiant interne d’exploitation agricole*],0)),FALSE,TRUE))</f>
        <v>1</v>
      </c>
      <c r="AE425" s="122" t="b">
        <f>IF(ISBLANK(GroupMember[[#This Row],[1. Identifiant interne d’exploitation agricole*]]),"",IF(ISERROR(MATCH(GroupMember[[#This Row],[1. Identifiant interne d’exploitation agricole*]],FarmUnit[1. Identifiant interne d’exploitation agricole*],0)),FALSE,TRUE))</f>
        <v>1</v>
      </c>
      <c r="AF425" s="9" t="str">
        <f t="shared" si="18"/>
        <v>TRAORE  BOUBA</v>
      </c>
      <c r="AG425" s="243" t="str">
        <f t="shared" si="19"/>
        <v>30/8/2021</v>
      </c>
      <c r="AH425" s="51">
        <f>COUNTIFS(Z:Z,Z425,AG:AG,AG425)</f>
        <v>1</v>
      </c>
      <c r="AI425" s="49">
        <f t="shared" si="20"/>
        <v>0</v>
      </c>
    </row>
    <row r="426" spans="1:35" ht="15" x14ac:dyDescent="0.2">
      <c r="A426" s="150" t="s">
        <v>1953</v>
      </c>
      <c r="B426" s="146" t="s">
        <v>668</v>
      </c>
      <c r="C426" s="150" t="s">
        <v>1953</v>
      </c>
      <c r="D426" s="191" t="s">
        <v>1853</v>
      </c>
      <c r="E426" s="146" t="s">
        <v>670</v>
      </c>
      <c r="F426" s="146" t="s">
        <v>671</v>
      </c>
      <c r="G426" s="146" t="s">
        <v>672</v>
      </c>
      <c r="H426" s="148">
        <v>4</v>
      </c>
      <c r="I426" s="146" t="s">
        <v>673</v>
      </c>
      <c r="J426" s="149">
        <v>1</v>
      </c>
      <c r="K426" s="150">
        <v>2021</v>
      </c>
      <c r="L426" s="151" t="s">
        <v>1420</v>
      </c>
      <c r="M426" s="151" t="s">
        <v>1954</v>
      </c>
      <c r="N426" s="172"/>
      <c r="O426" s="153"/>
      <c r="P426" s="154" t="s">
        <v>676</v>
      </c>
      <c r="Q426" s="154"/>
      <c r="R426" s="155">
        <v>5</v>
      </c>
      <c r="S426" s="168"/>
      <c r="T426" s="168"/>
      <c r="U426" s="146"/>
      <c r="V426" s="146"/>
      <c r="W426" s="146"/>
      <c r="X426" s="156">
        <v>0</v>
      </c>
      <c r="Y426" s="156">
        <v>0</v>
      </c>
      <c r="Z426" s="157" t="s">
        <v>1454</v>
      </c>
      <c r="AA426" s="158">
        <v>2021</v>
      </c>
      <c r="AB426" s="158">
        <v>8</v>
      </c>
      <c r="AC426" s="158">
        <v>26</v>
      </c>
      <c r="AD426" s="122" t="b">
        <f>IF(ISBLANK(GroupMember[[#This Row],[1. Identifiant interne d’exploitation agricole*]]),"",IF(ISERROR(MATCH(GroupMember[[#This Row],[1. Identifiant interne d’exploitation agricole*]],CertifiedCrop[1. Identifiant interne d’exploitation agricole*],0)),FALSE,TRUE))</f>
        <v>1</v>
      </c>
      <c r="AE426" s="122" t="b">
        <f>IF(ISBLANK(GroupMember[[#This Row],[1. Identifiant interne d’exploitation agricole*]]),"",IF(ISERROR(MATCH(GroupMember[[#This Row],[1. Identifiant interne d’exploitation agricole*]],FarmUnit[1. Identifiant interne d’exploitation agricole*],0)),FALSE,TRUE))</f>
        <v>1</v>
      </c>
      <c r="AF426" s="9" t="str">
        <f t="shared" si="18"/>
        <v>NAYAGA  DIEUDONNE</v>
      </c>
      <c r="AG426" s="243" t="str">
        <f t="shared" si="19"/>
        <v>26/8/2021</v>
      </c>
      <c r="AH426" s="51">
        <f>COUNTIFS(Z:Z,Z426,AG:AG,AG426)</f>
        <v>3</v>
      </c>
      <c r="AI426" s="49">
        <f t="shared" si="20"/>
        <v>0</v>
      </c>
    </row>
    <row r="427" spans="1:35" ht="15" x14ac:dyDescent="0.2">
      <c r="A427" s="150" t="s">
        <v>1955</v>
      </c>
      <c r="B427" s="146" t="s">
        <v>668</v>
      </c>
      <c r="C427" s="150" t="s">
        <v>1955</v>
      </c>
      <c r="D427" s="191" t="s">
        <v>1853</v>
      </c>
      <c r="E427" s="146" t="s">
        <v>670</v>
      </c>
      <c r="F427" s="146" t="s">
        <v>671</v>
      </c>
      <c r="G427" s="146" t="s">
        <v>672</v>
      </c>
      <c r="H427" s="148">
        <v>2</v>
      </c>
      <c r="I427" s="146" t="s">
        <v>673</v>
      </c>
      <c r="J427" s="149">
        <v>1</v>
      </c>
      <c r="K427" s="150">
        <v>2021</v>
      </c>
      <c r="L427" s="151" t="s">
        <v>1186</v>
      </c>
      <c r="M427" s="151" t="s">
        <v>1219</v>
      </c>
      <c r="N427" s="172"/>
      <c r="O427" s="153"/>
      <c r="P427" s="154" t="s">
        <v>676</v>
      </c>
      <c r="Q427" s="154"/>
      <c r="R427" s="155">
        <v>4</v>
      </c>
      <c r="S427" s="168"/>
      <c r="T427" s="168"/>
      <c r="U427" s="146"/>
      <c r="V427" s="146"/>
      <c r="W427" s="146"/>
      <c r="X427" s="156">
        <v>0</v>
      </c>
      <c r="Y427" s="156">
        <v>0</v>
      </c>
      <c r="Z427" s="157" t="s">
        <v>1454</v>
      </c>
      <c r="AA427" s="158">
        <v>2021</v>
      </c>
      <c r="AB427" s="158">
        <v>7</v>
      </c>
      <c r="AC427" s="158">
        <v>9</v>
      </c>
      <c r="AD427" s="122" t="b">
        <f>IF(ISBLANK(GroupMember[[#This Row],[1. Identifiant interne d’exploitation agricole*]]),"",IF(ISERROR(MATCH(GroupMember[[#This Row],[1. Identifiant interne d’exploitation agricole*]],CertifiedCrop[1. Identifiant interne d’exploitation agricole*],0)),FALSE,TRUE))</f>
        <v>1</v>
      </c>
      <c r="AE427" s="122" t="b">
        <f>IF(ISBLANK(GroupMember[[#This Row],[1. Identifiant interne d’exploitation agricole*]]),"",IF(ISERROR(MATCH(GroupMember[[#This Row],[1. Identifiant interne d’exploitation agricole*]],FarmUnit[1. Identifiant interne d’exploitation agricole*],0)),FALSE,TRUE))</f>
        <v>1</v>
      </c>
      <c r="AF427" s="9" t="str">
        <f t="shared" si="18"/>
        <v>DAN BLEU</v>
      </c>
      <c r="AG427" s="243" t="str">
        <f t="shared" si="19"/>
        <v>9/7/2021</v>
      </c>
      <c r="AH427" s="51">
        <f>COUNTIFS(Z:Z,Z427,AG:AG,AG427)</f>
        <v>4</v>
      </c>
      <c r="AI427" s="49">
        <f t="shared" si="20"/>
        <v>0</v>
      </c>
    </row>
    <row r="428" spans="1:35" ht="15" x14ac:dyDescent="0.2">
      <c r="A428" s="150" t="s">
        <v>1956</v>
      </c>
      <c r="B428" s="146" t="s">
        <v>668</v>
      </c>
      <c r="C428" s="150" t="s">
        <v>1956</v>
      </c>
      <c r="D428" s="191" t="s">
        <v>1853</v>
      </c>
      <c r="E428" s="146" t="s">
        <v>670</v>
      </c>
      <c r="F428" s="146" t="s">
        <v>671</v>
      </c>
      <c r="G428" s="146" t="s">
        <v>672</v>
      </c>
      <c r="H428" s="148">
        <v>1.34</v>
      </c>
      <c r="I428" s="146" t="s">
        <v>673</v>
      </c>
      <c r="J428" s="149">
        <v>1</v>
      </c>
      <c r="K428" s="150">
        <v>2021</v>
      </c>
      <c r="L428" s="151" t="s">
        <v>1063</v>
      </c>
      <c r="M428" s="151" t="s">
        <v>1343</v>
      </c>
      <c r="N428" s="152"/>
      <c r="O428" s="153"/>
      <c r="P428" s="154" t="s">
        <v>676</v>
      </c>
      <c r="Q428" s="154"/>
      <c r="R428" s="155">
        <v>8</v>
      </c>
      <c r="S428" s="168"/>
      <c r="T428" s="168"/>
      <c r="U428" s="146"/>
      <c r="V428" s="146"/>
      <c r="W428" s="146"/>
      <c r="X428" s="156">
        <v>0</v>
      </c>
      <c r="Y428" s="156">
        <v>0</v>
      </c>
      <c r="Z428" s="157" t="s">
        <v>1454</v>
      </c>
      <c r="AA428" s="158">
        <v>2021</v>
      </c>
      <c r="AB428" s="158">
        <v>8</v>
      </c>
      <c r="AC428" s="158">
        <v>24</v>
      </c>
      <c r="AD428" s="122" t="b">
        <f>IF(ISBLANK(GroupMember[[#This Row],[1. Identifiant interne d’exploitation agricole*]]),"",IF(ISERROR(MATCH(GroupMember[[#This Row],[1. Identifiant interne d’exploitation agricole*]],CertifiedCrop[1. Identifiant interne d’exploitation agricole*],0)),FALSE,TRUE))</f>
        <v>1</v>
      </c>
      <c r="AE428" s="122" t="b">
        <f>IF(ISBLANK(GroupMember[[#This Row],[1. Identifiant interne d’exploitation agricole*]]),"",IF(ISERROR(MATCH(GroupMember[[#This Row],[1. Identifiant interne d’exploitation agricole*]],FarmUnit[1. Identifiant interne d’exploitation agricole*],0)),FALSE,TRUE))</f>
        <v>1</v>
      </c>
      <c r="AF428" s="9" t="str">
        <f t="shared" si="18"/>
        <v>ZONGO  ISSA</v>
      </c>
      <c r="AG428" s="243" t="str">
        <f t="shared" si="19"/>
        <v>24/8/2021</v>
      </c>
      <c r="AH428" s="51">
        <f>COUNTIFS(Z:Z,Z428,AG:AG,AG428)</f>
        <v>3</v>
      </c>
      <c r="AI428" s="49">
        <f t="shared" si="20"/>
        <v>0</v>
      </c>
    </row>
    <row r="429" spans="1:35" ht="15" x14ac:dyDescent="0.2">
      <c r="A429" s="150" t="s">
        <v>1957</v>
      </c>
      <c r="B429" s="146" t="s">
        <v>668</v>
      </c>
      <c r="C429" s="150" t="s">
        <v>1957</v>
      </c>
      <c r="D429" s="191" t="s">
        <v>1853</v>
      </c>
      <c r="E429" s="146" t="s">
        <v>670</v>
      </c>
      <c r="F429" s="146" t="s">
        <v>671</v>
      </c>
      <c r="G429" s="146" t="s">
        <v>672</v>
      </c>
      <c r="H429" s="148">
        <v>1.68</v>
      </c>
      <c r="I429" s="146" t="s">
        <v>673</v>
      </c>
      <c r="J429" s="149">
        <v>1</v>
      </c>
      <c r="K429" s="150">
        <v>2021</v>
      </c>
      <c r="L429" s="151" t="s">
        <v>1958</v>
      </c>
      <c r="M429" s="151" t="s">
        <v>687</v>
      </c>
      <c r="N429" s="152"/>
      <c r="O429" s="153"/>
      <c r="P429" s="154" t="s">
        <v>676</v>
      </c>
      <c r="Q429" s="154"/>
      <c r="R429" s="155">
        <v>6</v>
      </c>
      <c r="S429" s="168"/>
      <c r="T429" s="168"/>
      <c r="U429" s="146"/>
      <c r="V429" s="146"/>
      <c r="W429" s="146"/>
      <c r="X429" s="156">
        <v>0</v>
      </c>
      <c r="Y429" s="156">
        <v>0</v>
      </c>
      <c r="Z429" s="157" t="s">
        <v>1454</v>
      </c>
      <c r="AA429" s="158">
        <v>2021</v>
      </c>
      <c r="AB429" s="158">
        <v>7</v>
      </c>
      <c r="AC429" s="158">
        <v>17</v>
      </c>
      <c r="AD429" s="122" t="b">
        <f>IF(ISBLANK(GroupMember[[#This Row],[1. Identifiant interne d’exploitation agricole*]]),"",IF(ISERROR(MATCH(GroupMember[[#This Row],[1. Identifiant interne d’exploitation agricole*]],CertifiedCrop[1. Identifiant interne d’exploitation agricole*],0)),FALSE,TRUE))</f>
        <v>1</v>
      </c>
      <c r="AE429" s="122" t="b">
        <f>IF(ISBLANK(GroupMember[[#This Row],[1. Identifiant interne d’exploitation agricole*]]),"",IF(ISERROR(MATCH(GroupMember[[#This Row],[1. Identifiant interne d’exploitation agricole*]],FarmUnit[1. Identifiant interne d’exploitation agricole*],0)),FALSE,TRUE))</f>
        <v>1</v>
      </c>
      <c r="AF429" s="9" t="str">
        <f t="shared" si="18"/>
        <v>GUIRO PASCAL</v>
      </c>
      <c r="AG429" s="243" t="str">
        <f t="shared" si="19"/>
        <v>17/7/2021</v>
      </c>
      <c r="AH429" s="51">
        <f>COUNTIFS(Z:Z,Z429,AG:AG,AG429)</f>
        <v>4</v>
      </c>
      <c r="AI429" s="49">
        <f t="shared" si="20"/>
        <v>0</v>
      </c>
    </row>
    <row r="430" spans="1:35" ht="15" x14ac:dyDescent="0.2">
      <c r="A430" s="150" t="s">
        <v>1959</v>
      </c>
      <c r="B430" s="146" t="s">
        <v>668</v>
      </c>
      <c r="C430" s="150" t="s">
        <v>1959</v>
      </c>
      <c r="D430" s="191" t="s">
        <v>1853</v>
      </c>
      <c r="E430" s="146" t="s">
        <v>670</v>
      </c>
      <c r="F430" s="146" t="s">
        <v>671</v>
      </c>
      <c r="G430" s="146" t="s">
        <v>672</v>
      </c>
      <c r="H430" s="148">
        <v>2.1800000000000002</v>
      </c>
      <c r="I430" s="146" t="s">
        <v>673</v>
      </c>
      <c r="J430" s="149">
        <v>1</v>
      </c>
      <c r="K430" s="150">
        <v>2021</v>
      </c>
      <c r="L430" s="151" t="s">
        <v>1958</v>
      </c>
      <c r="M430" s="151" t="s">
        <v>1933</v>
      </c>
      <c r="N430" s="152"/>
      <c r="O430" s="153"/>
      <c r="P430" s="154" t="s">
        <v>676</v>
      </c>
      <c r="Q430" s="154"/>
      <c r="R430" s="155">
        <v>7</v>
      </c>
      <c r="S430" s="168"/>
      <c r="T430" s="168"/>
      <c r="U430" s="146"/>
      <c r="V430" s="146"/>
      <c r="W430" s="146"/>
      <c r="X430" s="156">
        <v>0</v>
      </c>
      <c r="Y430" s="156">
        <v>0</v>
      </c>
      <c r="Z430" s="157" t="s">
        <v>1454</v>
      </c>
      <c r="AA430" s="158">
        <v>2021</v>
      </c>
      <c r="AB430" s="158">
        <v>8</v>
      </c>
      <c r="AC430" s="158">
        <v>27</v>
      </c>
      <c r="AD430" s="122" t="b">
        <f>IF(ISBLANK(GroupMember[[#This Row],[1. Identifiant interne d’exploitation agricole*]]),"",IF(ISERROR(MATCH(GroupMember[[#This Row],[1. Identifiant interne d’exploitation agricole*]],CertifiedCrop[1. Identifiant interne d’exploitation agricole*],0)),FALSE,TRUE))</f>
        <v>1</v>
      </c>
      <c r="AE430" s="122" t="b">
        <f>IF(ISBLANK(GroupMember[[#This Row],[1. Identifiant interne d’exploitation agricole*]]),"",IF(ISERROR(MATCH(GroupMember[[#This Row],[1. Identifiant interne d’exploitation agricole*]],FarmUnit[1. Identifiant interne d’exploitation agricole*],0)),FALSE,TRUE))</f>
        <v>1</v>
      </c>
      <c r="AF430" s="9" t="str">
        <f t="shared" si="18"/>
        <v>GUIRO THOMAS</v>
      </c>
      <c r="AG430" s="243" t="str">
        <f t="shared" si="19"/>
        <v>27/8/2021</v>
      </c>
      <c r="AH430" s="51">
        <f>COUNTIFS(Z:Z,Z430,AG:AG,AG430)</f>
        <v>4</v>
      </c>
      <c r="AI430" s="49">
        <f t="shared" si="20"/>
        <v>0</v>
      </c>
    </row>
    <row r="431" spans="1:35" ht="15" x14ac:dyDescent="0.2">
      <c r="A431" s="150" t="s">
        <v>1960</v>
      </c>
      <c r="B431" s="146" t="s">
        <v>668</v>
      </c>
      <c r="C431" s="150" t="s">
        <v>1960</v>
      </c>
      <c r="D431" s="191" t="s">
        <v>1853</v>
      </c>
      <c r="E431" s="146" t="s">
        <v>670</v>
      </c>
      <c r="F431" s="146" t="s">
        <v>671</v>
      </c>
      <c r="G431" s="146" t="s">
        <v>672</v>
      </c>
      <c r="H431" s="148">
        <v>2</v>
      </c>
      <c r="I431" s="146" t="s">
        <v>673</v>
      </c>
      <c r="J431" s="149">
        <v>1</v>
      </c>
      <c r="K431" s="150">
        <v>2021</v>
      </c>
      <c r="L431" s="151" t="s">
        <v>768</v>
      </c>
      <c r="M431" s="151" t="s">
        <v>1961</v>
      </c>
      <c r="N431" s="152"/>
      <c r="O431" s="153"/>
      <c r="P431" s="154" t="s">
        <v>676</v>
      </c>
      <c r="Q431" s="154"/>
      <c r="R431" s="155">
        <v>8</v>
      </c>
      <c r="S431" s="168"/>
      <c r="T431" s="168"/>
      <c r="U431" s="146"/>
      <c r="V431" s="146"/>
      <c r="W431" s="146"/>
      <c r="X431" s="156">
        <v>0</v>
      </c>
      <c r="Y431" s="156">
        <v>0</v>
      </c>
      <c r="Z431" s="157" t="s">
        <v>1454</v>
      </c>
      <c r="AA431" s="158">
        <v>2021</v>
      </c>
      <c r="AB431" s="158">
        <v>8</v>
      </c>
      <c r="AC431" s="158">
        <v>26</v>
      </c>
      <c r="AD431" s="122" t="b">
        <f>IF(ISBLANK(GroupMember[[#This Row],[1. Identifiant interne d’exploitation agricole*]]),"",IF(ISERROR(MATCH(GroupMember[[#This Row],[1. Identifiant interne d’exploitation agricole*]],CertifiedCrop[1. Identifiant interne d’exploitation agricole*],0)),FALSE,TRUE))</f>
        <v>1</v>
      </c>
      <c r="AE431" s="122" t="b">
        <f>IF(ISBLANK(GroupMember[[#This Row],[1. Identifiant interne d’exploitation agricole*]]),"",IF(ISERROR(MATCH(GroupMember[[#This Row],[1. Identifiant interne d’exploitation agricole*]],FarmUnit[1. Identifiant interne d’exploitation agricole*],0)),FALSE,TRUE))</f>
        <v>1</v>
      </c>
      <c r="AF431" s="9" t="str">
        <f t="shared" si="18"/>
        <v>GUEI MODESTE</v>
      </c>
      <c r="AG431" s="243" t="str">
        <f t="shared" si="19"/>
        <v>26/8/2021</v>
      </c>
      <c r="AH431" s="51">
        <f>COUNTIFS(Z:Z,Z431,AG:AG,AG431)</f>
        <v>3</v>
      </c>
      <c r="AI431" s="49">
        <f t="shared" si="20"/>
        <v>0</v>
      </c>
    </row>
    <row r="432" spans="1:35" ht="15" x14ac:dyDescent="0.2">
      <c r="A432" s="150" t="s">
        <v>1962</v>
      </c>
      <c r="B432" s="146" t="s">
        <v>668</v>
      </c>
      <c r="C432" s="150" t="s">
        <v>1962</v>
      </c>
      <c r="D432" s="191" t="s">
        <v>1853</v>
      </c>
      <c r="E432" s="146" t="s">
        <v>670</v>
      </c>
      <c r="F432" s="146" t="s">
        <v>671</v>
      </c>
      <c r="G432" s="146" t="s">
        <v>672</v>
      </c>
      <c r="H432" s="148">
        <v>3.71</v>
      </c>
      <c r="I432" s="146" t="s">
        <v>673</v>
      </c>
      <c r="J432" s="149">
        <v>1</v>
      </c>
      <c r="K432" s="150">
        <v>2021</v>
      </c>
      <c r="L432" s="151" t="s">
        <v>1727</v>
      </c>
      <c r="M432" s="151" t="s">
        <v>1963</v>
      </c>
      <c r="N432" s="152"/>
      <c r="O432" s="153"/>
      <c r="P432" s="154" t="s">
        <v>676</v>
      </c>
      <c r="Q432" s="154"/>
      <c r="R432" s="155">
        <v>6</v>
      </c>
      <c r="S432" s="168"/>
      <c r="T432" s="168"/>
      <c r="U432" s="146"/>
      <c r="V432" s="146"/>
      <c r="W432" s="146"/>
      <c r="X432" s="156">
        <v>0</v>
      </c>
      <c r="Y432" s="156">
        <v>0</v>
      </c>
      <c r="Z432" s="157" t="s">
        <v>1454</v>
      </c>
      <c r="AA432" s="158">
        <v>2021</v>
      </c>
      <c r="AB432" s="158">
        <v>8</v>
      </c>
      <c r="AC432" s="158">
        <v>24</v>
      </c>
      <c r="AD432" s="122" t="b">
        <f>IF(ISBLANK(GroupMember[[#This Row],[1. Identifiant interne d’exploitation agricole*]]),"",IF(ISERROR(MATCH(GroupMember[[#This Row],[1. Identifiant interne d’exploitation agricole*]],CertifiedCrop[1. Identifiant interne d’exploitation agricole*],0)),FALSE,TRUE))</f>
        <v>1</v>
      </c>
      <c r="AE432" s="122" t="b">
        <f>IF(ISBLANK(GroupMember[[#This Row],[1. Identifiant interne d’exploitation agricole*]]),"",IF(ISERROR(MATCH(GroupMember[[#This Row],[1. Identifiant interne d’exploitation agricole*]],FarmUnit[1. Identifiant interne d’exploitation agricole*],0)),FALSE,TRUE))</f>
        <v>1</v>
      </c>
      <c r="AF432" s="9" t="str">
        <f t="shared" si="18"/>
        <v>DOSSO  GBONGUE</v>
      </c>
      <c r="AG432" s="243" t="str">
        <f t="shared" si="19"/>
        <v>24/8/2021</v>
      </c>
      <c r="AH432" s="51">
        <f>COUNTIFS(Z:Z,Z432,AG:AG,AG432)</f>
        <v>3</v>
      </c>
      <c r="AI432" s="49">
        <f t="shared" si="20"/>
        <v>0</v>
      </c>
    </row>
    <row r="433" spans="1:35" ht="15" x14ac:dyDescent="0.2">
      <c r="A433" s="150" t="s">
        <v>1964</v>
      </c>
      <c r="B433" s="146" t="s">
        <v>668</v>
      </c>
      <c r="C433" s="150" t="s">
        <v>1964</v>
      </c>
      <c r="D433" s="191" t="s">
        <v>1853</v>
      </c>
      <c r="E433" s="146" t="s">
        <v>670</v>
      </c>
      <c r="F433" s="146" t="s">
        <v>671</v>
      </c>
      <c r="G433" s="146" t="s">
        <v>672</v>
      </c>
      <c r="H433" s="148">
        <v>2</v>
      </c>
      <c r="I433" s="146" t="s">
        <v>673</v>
      </c>
      <c r="J433" s="149">
        <v>1</v>
      </c>
      <c r="K433" s="150">
        <v>2021</v>
      </c>
      <c r="L433" s="151" t="s">
        <v>1186</v>
      </c>
      <c r="M433" s="151" t="s">
        <v>983</v>
      </c>
      <c r="N433" s="152"/>
      <c r="O433" s="153"/>
      <c r="P433" s="154" t="s">
        <v>676</v>
      </c>
      <c r="Q433" s="154"/>
      <c r="R433" s="155">
        <v>8</v>
      </c>
      <c r="S433" s="168"/>
      <c r="T433" s="168"/>
      <c r="U433" s="146"/>
      <c r="V433" s="146"/>
      <c r="W433" s="146"/>
      <c r="X433" s="156">
        <v>0</v>
      </c>
      <c r="Y433" s="156">
        <v>0</v>
      </c>
      <c r="Z433" s="157" t="s">
        <v>1454</v>
      </c>
      <c r="AA433" s="158">
        <v>2021</v>
      </c>
      <c r="AB433" s="158">
        <v>7</v>
      </c>
      <c r="AC433" s="158">
        <v>19</v>
      </c>
      <c r="AD433" s="122" t="b">
        <f>IF(ISBLANK(GroupMember[[#This Row],[1. Identifiant interne d’exploitation agricole*]]),"",IF(ISERROR(MATCH(GroupMember[[#This Row],[1. Identifiant interne d’exploitation agricole*]],CertifiedCrop[1. Identifiant interne d’exploitation agricole*],0)),FALSE,TRUE))</f>
        <v>1</v>
      </c>
      <c r="AE433" s="122" t="b">
        <f>IF(ISBLANK(GroupMember[[#This Row],[1. Identifiant interne d’exploitation agricole*]]),"",IF(ISERROR(MATCH(GroupMember[[#This Row],[1. Identifiant interne d’exploitation agricole*]],FarmUnit[1. Identifiant interne d’exploitation agricole*],0)),FALSE,TRUE))</f>
        <v>1</v>
      </c>
      <c r="AF433" s="9" t="str">
        <f t="shared" si="18"/>
        <v>DAN  FABRICE</v>
      </c>
      <c r="AG433" s="243" t="str">
        <f t="shared" si="19"/>
        <v>19/7/2021</v>
      </c>
      <c r="AH433" s="51">
        <f>COUNTIFS(Z:Z,Z433,AG:AG,AG433)</f>
        <v>4</v>
      </c>
      <c r="AI433" s="49">
        <f t="shared" si="20"/>
        <v>0</v>
      </c>
    </row>
    <row r="434" spans="1:35" ht="15" x14ac:dyDescent="0.2">
      <c r="A434" s="150" t="s">
        <v>1965</v>
      </c>
      <c r="B434" s="146" t="s">
        <v>668</v>
      </c>
      <c r="C434" s="150" t="s">
        <v>1965</v>
      </c>
      <c r="D434" s="191" t="s">
        <v>1853</v>
      </c>
      <c r="E434" s="146" t="s">
        <v>670</v>
      </c>
      <c r="F434" s="146" t="s">
        <v>671</v>
      </c>
      <c r="G434" s="146" t="s">
        <v>672</v>
      </c>
      <c r="H434" s="148">
        <v>2.2599999999999998</v>
      </c>
      <c r="I434" s="146" t="s">
        <v>673</v>
      </c>
      <c r="J434" s="149">
        <v>1</v>
      </c>
      <c r="K434" s="150">
        <v>2021</v>
      </c>
      <c r="L434" s="151" t="s">
        <v>1420</v>
      </c>
      <c r="M434" s="151" t="s">
        <v>1681</v>
      </c>
      <c r="N434" s="172"/>
      <c r="O434" s="153"/>
      <c r="P434" s="154" t="s">
        <v>676</v>
      </c>
      <c r="Q434" s="154"/>
      <c r="R434" s="155">
        <v>7</v>
      </c>
      <c r="S434" s="168"/>
      <c r="T434" s="168"/>
      <c r="U434" s="146"/>
      <c r="V434" s="146"/>
      <c r="W434" s="146"/>
      <c r="X434" s="156">
        <v>0</v>
      </c>
      <c r="Y434" s="156">
        <v>0</v>
      </c>
      <c r="Z434" s="157" t="s">
        <v>1454</v>
      </c>
      <c r="AA434" s="158">
        <v>2021</v>
      </c>
      <c r="AB434" s="158">
        <v>7</v>
      </c>
      <c r="AC434" s="158">
        <v>9</v>
      </c>
      <c r="AD434" s="122" t="b">
        <f>IF(ISBLANK(GroupMember[[#This Row],[1. Identifiant interne d’exploitation agricole*]]),"",IF(ISERROR(MATCH(GroupMember[[#This Row],[1. Identifiant interne d’exploitation agricole*]],CertifiedCrop[1. Identifiant interne d’exploitation agricole*],0)),FALSE,TRUE))</f>
        <v>1</v>
      </c>
      <c r="AE434" s="122" t="b">
        <f>IF(ISBLANK(GroupMember[[#This Row],[1. Identifiant interne d’exploitation agricole*]]),"",IF(ISERROR(MATCH(GroupMember[[#This Row],[1. Identifiant interne d’exploitation agricole*]],FarmUnit[1. Identifiant interne d’exploitation agricole*],0)),FALSE,TRUE))</f>
        <v>1</v>
      </c>
      <c r="AF434" s="9" t="str">
        <f t="shared" si="18"/>
        <v>NAYAGA  DANIEL</v>
      </c>
      <c r="AG434" s="243" t="str">
        <f t="shared" si="19"/>
        <v>9/7/2021</v>
      </c>
      <c r="AH434" s="51">
        <f>COUNTIFS(Z:Z,Z434,AG:AG,AG434)</f>
        <v>4</v>
      </c>
      <c r="AI434" s="49">
        <f t="shared" si="20"/>
        <v>0</v>
      </c>
    </row>
    <row r="435" spans="1:35" ht="15" x14ac:dyDescent="0.2">
      <c r="A435" s="150" t="s">
        <v>1966</v>
      </c>
      <c r="B435" s="146" t="s">
        <v>668</v>
      </c>
      <c r="C435" s="150" t="s">
        <v>1966</v>
      </c>
      <c r="D435" s="192" t="s">
        <v>1716</v>
      </c>
      <c r="E435" s="146" t="s">
        <v>670</v>
      </c>
      <c r="F435" s="146" t="s">
        <v>671</v>
      </c>
      <c r="G435" s="146" t="s">
        <v>672</v>
      </c>
      <c r="H435" s="148">
        <v>2.5299999999999998</v>
      </c>
      <c r="I435" s="146" t="s">
        <v>673</v>
      </c>
      <c r="J435" s="149">
        <v>1</v>
      </c>
      <c r="K435" s="150">
        <v>2021</v>
      </c>
      <c r="L435" s="151" t="s">
        <v>1967</v>
      </c>
      <c r="M435" s="151" t="s">
        <v>1968</v>
      </c>
      <c r="N435" s="172"/>
      <c r="O435" s="153"/>
      <c r="P435" s="154" t="s">
        <v>676</v>
      </c>
      <c r="Q435" s="154"/>
      <c r="R435" s="155">
        <v>6</v>
      </c>
      <c r="S435" s="168"/>
      <c r="T435" s="168"/>
      <c r="U435" s="146"/>
      <c r="V435" s="146"/>
      <c r="W435" s="146"/>
      <c r="X435" s="156">
        <v>0</v>
      </c>
      <c r="Y435" s="156">
        <v>0</v>
      </c>
      <c r="Z435" s="157" t="s">
        <v>1454</v>
      </c>
      <c r="AA435" s="158">
        <v>2021</v>
      </c>
      <c r="AB435" s="158">
        <v>7</v>
      </c>
      <c r="AC435" s="158">
        <v>19</v>
      </c>
      <c r="AD435" s="122" t="b">
        <f>IF(ISBLANK(GroupMember[[#This Row],[1. Identifiant interne d’exploitation agricole*]]),"",IF(ISERROR(MATCH(GroupMember[[#This Row],[1. Identifiant interne d’exploitation agricole*]],CertifiedCrop[1. Identifiant interne d’exploitation agricole*],0)),FALSE,TRUE))</f>
        <v>1</v>
      </c>
      <c r="AE435" s="122" t="b">
        <f>IF(ISBLANK(GroupMember[[#This Row],[1. Identifiant interne d’exploitation agricole*]]),"",IF(ISERROR(MATCH(GroupMember[[#This Row],[1. Identifiant interne d’exploitation agricole*]],FarmUnit[1. Identifiant interne d’exploitation agricole*],0)),FALSE,TRUE))</f>
        <v>1</v>
      </c>
      <c r="AF435" s="9" t="str">
        <f t="shared" ref="AF435:AF498" si="21">IFERROR(CONCATENATE(L435," ",M435),"")</f>
        <v>OULAI KLA ANTOINE</v>
      </c>
      <c r="AG435" s="243" t="str">
        <f t="shared" ref="AG435:AG498" si="22">CONCATENATE(AC435,"/",AB435,"/",AA435)</f>
        <v>19/7/2021</v>
      </c>
      <c r="AH435" s="51">
        <f>COUNTIFS(Z:Z,Z435,AG:AG,AG435)</f>
        <v>4</v>
      </c>
      <c r="AI435" s="49">
        <f t="shared" ref="AI435:AI498" si="23">IF((X435+Y435/12)&lt;0,"",(X435+Y435/12))</f>
        <v>0</v>
      </c>
    </row>
    <row r="436" spans="1:35" ht="15" x14ac:dyDescent="0.2">
      <c r="A436" s="193" t="s">
        <v>1969</v>
      </c>
      <c r="B436" s="146" t="s">
        <v>668</v>
      </c>
      <c r="C436" s="193" t="s">
        <v>1969</v>
      </c>
      <c r="D436" s="192" t="s">
        <v>1716</v>
      </c>
      <c r="E436" s="146" t="s">
        <v>670</v>
      </c>
      <c r="F436" s="146" t="s">
        <v>671</v>
      </c>
      <c r="G436" s="146" t="s">
        <v>672</v>
      </c>
      <c r="H436" s="148">
        <v>2</v>
      </c>
      <c r="I436" s="146" t="s">
        <v>673</v>
      </c>
      <c r="J436" s="149">
        <v>1</v>
      </c>
      <c r="K436" s="150">
        <v>2021</v>
      </c>
      <c r="L436" s="194" t="s">
        <v>1010</v>
      </c>
      <c r="M436" s="194" t="s">
        <v>1970</v>
      </c>
      <c r="N436" s="195" t="s">
        <v>1971</v>
      </c>
      <c r="O436" s="196" t="s">
        <v>1972</v>
      </c>
      <c r="P436" s="193" t="s">
        <v>676</v>
      </c>
      <c r="Q436" s="193">
        <v>1960</v>
      </c>
      <c r="R436" s="155">
        <v>10</v>
      </c>
      <c r="S436" s="168"/>
      <c r="T436" s="168"/>
      <c r="U436" s="146"/>
      <c r="V436" s="146"/>
      <c r="W436" s="146"/>
      <c r="X436" s="156">
        <v>0</v>
      </c>
      <c r="Y436" s="156">
        <v>0</v>
      </c>
      <c r="Z436" s="157" t="s">
        <v>1454</v>
      </c>
      <c r="AA436" s="158">
        <v>2021</v>
      </c>
      <c r="AB436" s="158">
        <v>7</v>
      </c>
      <c r="AC436" s="158">
        <v>17</v>
      </c>
      <c r="AD436" s="122" t="b">
        <f>IF(ISBLANK(GroupMember[[#This Row],[1. Identifiant interne d’exploitation agricole*]]),"",IF(ISERROR(MATCH(GroupMember[[#This Row],[1. Identifiant interne d’exploitation agricole*]],CertifiedCrop[1. Identifiant interne d’exploitation agricole*],0)),FALSE,TRUE))</f>
        <v>1</v>
      </c>
      <c r="AE436" s="122" t="b">
        <f>IF(ISBLANK(GroupMember[[#This Row],[1. Identifiant interne d’exploitation agricole*]]),"",IF(ISERROR(MATCH(GroupMember[[#This Row],[1. Identifiant interne d’exploitation agricole*]],FarmUnit[1. Identifiant interne d’exploitation agricole*],0)),FALSE,TRUE))</f>
        <v>1</v>
      </c>
      <c r="AF436" s="9" t="str">
        <f t="shared" si="21"/>
        <v>BAMBA  TIAFE</v>
      </c>
      <c r="AG436" s="243" t="str">
        <f t="shared" si="22"/>
        <v>17/7/2021</v>
      </c>
      <c r="AH436" s="51">
        <f>COUNTIFS(Z:Z,Z436,AG:AG,AG436)</f>
        <v>4</v>
      </c>
      <c r="AI436" s="49">
        <f t="shared" si="23"/>
        <v>0</v>
      </c>
    </row>
    <row r="437" spans="1:35" ht="15" x14ac:dyDescent="0.2">
      <c r="A437" s="193" t="s">
        <v>1973</v>
      </c>
      <c r="B437" s="146" t="s">
        <v>668</v>
      </c>
      <c r="C437" s="193" t="s">
        <v>1973</v>
      </c>
      <c r="D437" s="192" t="s">
        <v>1716</v>
      </c>
      <c r="E437" s="146" t="s">
        <v>670</v>
      </c>
      <c r="F437" s="146" t="s">
        <v>671</v>
      </c>
      <c r="G437" s="146" t="s">
        <v>672</v>
      </c>
      <c r="H437" s="148">
        <v>2</v>
      </c>
      <c r="I437" s="146" t="s">
        <v>673</v>
      </c>
      <c r="J437" s="149">
        <v>1</v>
      </c>
      <c r="K437" s="150">
        <v>2021</v>
      </c>
      <c r="L437" s="197" t="s">
        <v>1193</v>
      </c>
      <c r="M437" s="197" t="s">
        <v>825</v>
      </c>
      <c r="N437" s="198" t="s">
        <v>1974</v>
      </c>
      <c r="O437" s="196" t="s">
        <v>1975</v>
      </c>
      <c r="P437" s="193" t="s">
        <v>676</v>
      </c>
      <c r="Q437" s="193">
        <v>1976</v>
      </c>
      <c r="R437" s="155">
        <v>5</v>
      </c>
      <c r="S437" s="168"/>
      <c r="T437" s="168"/>
      <c r="U437" s="146"/>
      <c r="V437" s="146"/>
      <c r="W437" s="146"/>
      <c r="X437" s="156">
        <v>0</v>
      </c>
      <c r="Y437" s="156">
        <v>0</v>
      </c>
      <c r="Z437" s="157" t="s">
        <v>1454</v>
      </c>
      <c r="AA437" s="174">
        <v>2021</v>
      </c>
      <c r="AB437" s="174">
        <v>7</v>
      </c>
      <c r="AC437" s="174">
        <v>26</v>
      </c>
      <c r="AD437" s="122" t="b">
        <f>IF(ISBLANK(GroupMember[[#This Row],[1. Identifiant interne d’exploitation agricole*]]),"",IF(ISERROR(MATCH(GroupMember[[#This Row],[1. Identifiant interne d’exploitation agricole*]],CertifiedCrop[1. Identifiant interne d’exploitation agricole*],0)),FALSE,TRUE))</f>
        <v>1</v>
      </c>
      <c r="AE437" s="122" t="b">
        <f>IF(ISBLANK(GroupMember[[#This Row],[1. Identifiant interne d’exploitation agricole*]]),"",IF(ISERROR(MATCH(GroupMember[[#This Row],[1. Identifiant interne d’exploitation agricole*]],FarmUnit[1. Identifiant interne d’exploitation agricole*],0)),FALSE,TRUE))</f>
        <v>1</v>
      </c>
      <c r="AF437" s="9" t="str">
        <f t="shared" si="21"/>
        <v>DIOMANDE  MAMADOU</v>
      </c>
      <c r="AG437" s="243" t="str">
        <f t="shared" si="22"/>
        <v>26/7/2021</v>
      </c>
      <c r="AH437" s="51">
        <f>COUNTIFS(Z:Z,Z437,AG:AG,AG437)</f>
        <v>4</v>
      </c>
      <c r="AI437" s="49">
        <f t="shared" si="23"/>
        <v>0</v>
      </c>
    </row>
    <row r="438" spans="1:35" ht="15" x14ac:dyDescent="0.2">
      <c r="A438" s="193" t="s">
        <v>1976</v>
      </c>
      <c r="B438" s="146" t="s">
        <v>668</v>
      </c>
      <c r="C438" s="193" t="s">
        <v>1976</v>
      </c>
      <c r="D438" s="192" t="s">
        <v>1716</v>
      </c>
      <c r="E438" s="146" t="s">
        <v>670</v>
      </c>
      <c r="F438" s="146" t="s">
        <v>671</v>
      </c>
      <c r="G438" s="146" t="s">
        <v>672</v>
      </c>
      <c r="H438" s="148">
        <v>2.65</v>
      </c>
      <c r="I438" s="146" t="s">
        <v>673</v>
      </c>
      <c r="J438" s="149">
        <v>1</v>
      </c>
      <c r="K438" s="150">
        <v>2021</v>
      </c>
      <c r="L438" s="197" t="s">
        <v>1977</v>
      </c>
      <c r="M438" s="197" t="s">
        <v>1978</v>
      </c>
      <c r="N438" s="198"/>
      <c r="O438" s="196"/>
      <c r="P438" s="193" t="s">
        <v>676</v>
      </c>
      <c r="Q438" s="193"/>
      <c r="R438" s="155">
        <v>6</v>
      </c>
      <c r="S438" s="168"/>
      <c r="T438" s="168"/>
      <c r="U438" s="146"/>
      <c r="V438" s="146"/>
      <c r="W438" s="146"/>
      <c r="X438" s="156">
        <v>0</v>
      </c>
      <c r="Y438" s="156">
        <v>0</v>
      </c>
      <c r="Z438" s="157" t="s">
        <v>1454</v>
      </c>
      <c r="AA438" s="174">
        <v>2021</v>
      </c>
      <c r="AB438" s="175">
        <v>9</v>
      </c>
      <c r="AC438" s="175">
        <v>8</v>
      </c>
      <c r="AD438" s="122" t="b">
        <f>IF(ISBLANK(GroupMember[[#This Row],[1. Identifiant interne d’exploitation agricole*]]),"",IF(ISERROR(MATCH(GroupMember[[#This Row],[1. Identifiant interne d’exploitation agricole*]],CertifiedCrop[1. Identifiant interne d’exploitation agricole*],0)),FALSE,TRUE))</f>
        <v>1</v>
      </c>
      <c r="AE438" s="122" t="b">
        <f>IF(ISBLANK(GroupMember[[#This Row],[1. Identifiant interne d’exploitation agricole*]]),"",IF(ISERROR(MATCH(GroupMember[[#This Row],[1. Identifiant interne d’exploitation agricole*]],FarmUnit[1. Identifiant interne d’exploitation agricole*],0)),FALSE,TRUE))</f>
        <v>1</v>
      </c>
      <c r="AF438" s="9" t="str">
        <f t="shared" si="21"/>
        <v>MANH GON BASIL</v>
      </c>
      <c r="AG438" s="243" t="str">
        <f t="shared" si="22"/>
        <v>8/9/2021</v>
      </c>
      <c r="AH438" s="51">
        <f>COUNTIFS(Z:Z,Z438,AG:AG,AG438)</f>
        <v>5</v>
      </c>
      <c r="AI438" s="49">
        <f t="shared" si="23"/>
        <v>0</v>
      </c>
    </row>
    <row r="439" spans="1:35" ht="15" x14ac:dyDescent="0.2">
      <c r="A439" s="193" t="s">
        <v>1979</v>
      </c>
      <c r="B439" s="146" t="s">
        <v>668</v>
      </c>
      <c r="C439" s="193" t="s">
        <v>1979</v>
      </c>
      <c r="D439" s="192" t="s">
        <v>1716</v>
      </c>
      <c r="E439" s="146" t="s">
        <v>670</v>
      </c>
      <c r="F439" s="146" t="s">
        <v>671</v>
      </c>
      <c r="G439" s="146" t="s">
        <v>672</v>
      </c>
      <c r="H439" s="148">
        <v>2</v>
      </c>
      <c r="I439" s="146" t="s">
        <v>673</v>
      </c>
      <c r="J439" s="149">
        <v>1</v>
      </c>
      <c r="K439" s="150">
        <v>2021</v>
      </c>
      <c r="L439" s="197" t="s">
        <v>935</v>
      </c>
      <c r="M439" s="197" t="s">
        <v>1980</v>
      </c>
      <c r="N439" s="198"/>
      <c r="O439" s="196"/>
      <c r="P439" s="193" t="s">
        <v>676</v>
      </c>
      <c r="Q439" s="193"/>
      <c r="R439" s="155">
        <v>6</v>
      </c>
      <c r="S439" s="168"/>
      <c r="T439" s="168"/>
      <c r="U439" s="146"/>
      <c r="V439" s="146"/>
      <c r="W439" s="146"/>
      <c r="X439" s="156">
        <v>0</v>
      </c>
      <c r="Y439" s="156">
        <v>0</v>
      </c>
      <c r="Z439" s="157" t="s">
        <v>1454</v>
      </c>
      <c r="AA439" s="174">
        <v>2021</v>
      </c>
      <c r="AB439" s="175">
        <v>9</v>
      </c>
      <c r="AC439" s="175">
        <v>18</v>
      </c>
      <c r="AD439" s="122" t="b">
        <f>IF(ISBLANK(GroupMember[[#This Row],[1. Identifiant interne d’exploitation agricole*]]),"",IF(ISERROR(MATCH(GroupMember[[#This Row],[1. Identifiant interne d’exploitation agricole*]],CertifiedCrop[1. Identifiant interne d’exploitation agricole*],0)),FALSE,TRUE))</f>
        <v>1</v>
      </c>
      <c r="AE439" s="122" t="b">
        <f>IF(ISBLANK(GroupMember[[#This Row],[1. Identifiant interne d’exploitation agricole*]]),"",IF(ISERROR(MATCH(GroupMember[[#This Row],[1. Identifiant interne d’exploitation agricole*]],FarmUnit[1. Identifiant interne d’exploitation agricole*],0)),FALSE,TRUE))</f>
        <v>1</v>
      </c>
      <c r="AF439" s="9" t="str">
        <f t="shared" si="21"/>
        <v>GOUAN ANDRE TOURE</v>
      </c>
      <c r="AG439" s="243" t="str">
        <f t="shared" si="22"/>
        <v>18/9/2021</v>
      </c>
      <c r="AH439" s="51">
        <f>COUNTIFS(Z:Z,Z439,AG:AG,AG439)</f>
        <v>4</v>
      </c>
      <c r="AI439" s="49">
        <f t="shared" si="23"/>
        <v>0</v>
      </c>
    </row>
    <row r="440" spans="1:35" ht="15" x14ac:dyDescent="0.2">
      <c r="A440" s="193" t="s">
        <v>1981</v>
      </c>
      <c r="B440" s="146" t="s">
        <v>668</v>
      </c>
      <c r="C440" s="193" t="s">
        <v>1981</v>
      </c>
      <c r="D440" s="192" t="s">
        <v>1716</v>
      </c>
      <c r="E440" s="146" t="s">
        <v>670</v>
      </c>
      <c r="F440" s="146" t="s">
        <v>671</v>
      </c>
      <c r="G440" s="146" t="s">
        <v>672</v>
      </c>
      <c r="H440" s="148">
        <v>6.88</v>
      </c>
      <c r="I440" s="146" t="s">
        <v>673</v>
      </c>
      <c r="J440" s="149">
        <v>1</v>
      </c>
      <c r="K440" s="150">
        <v>2021</v>
      </c>
      <c r="L440" s="197" t="s">
        <v>1010</v>
      </c>
      <c r="M440" s="197" t="s">
        <v>1982</v>
      </c>
      <c r="N440" s="198" t="s">
        <v>1983</v>
      </c>
      <c r="O440" s="196"/>
      <c r="P440" s="193" t="s">
        <v>676</v>
      </c>
      <c r="Q440" s="193"/>
      <c r="R440" s="155">
        <v>8</v>
      </c>
      <c r="S440" s="168"/>
      <c r="T440" s="168"/>
      <c r="U440" s="146"/>
      <c r="V440" s="146"/>
      <c r="W440" s="146"/>
      <c r="X440" s="156">
        <v>0</v>
      </c>
      <c r="Y440" s="156">
        <v>0</v>
      </c>
      <c r="Z440" s="157" t="s">
        <v>1454</v>
      </c>
      <c r="AA440" s="174">
        <v>2021</v>
      </c>
      <c r="AB440" s="175">
        <v>9</v>
      </c>
      <c r="AC440" s="175">
        <v>3</v>
      </c>
      <c r="AD440" s="122" t="b">
        <f>IF(ISBLANK(GroupMember[[#This Row],[1. Identifiant interne d’exploitation agricole*]]),"",IF(ISERROR(MATCH(GroupMember[[#This Row],[1. Identifiant interne d’exploitation agricole*]],CertifiedCrop[1. Identifiant interne d’exploitation agricole*],0)),FALSE,TRUE))</f>
        <v>1</v>
      </c>
      <c r="AE440" s="122" t="b">
        <f>IF(ISBLANK(GroupMember[[#This Row],[1. Identifiant interne d’exploitation agricole*]]),"",IF(ISERROR(MATCH(GroupMember[[#This Row],[1. Identifiant interne d’exploitation agricole*]],FarmUnit[1. Identifiant interne d’exploitation agricole*],0)),FALSE,TRUE))</f>
        <v>1</v>
      </c>
      <c r="AF440" s="9" t="str">
        <f t="shared" si="21"/>
        <v>BAMBA LADJI</v>
      </c>
      <c r="AG440" s="243" t="str">
        <f t="shared" si="22"/>
        <v>3/9/2021</v>
      </c>
      <c r="AH440" s="51">
        <f>COUNTIFS(Z:Z,Z440,AG:AG,AG440)</f>
        <v>5</v>
      </c>
      <c r="AI440" s="49">
        <f t="shared" si="23"/>
        <v>0</v>
      </c>
    </row>
    <row r="441" spans="1:35" ht="15" x14ac:dyDescent="0.2">
      <c r="A441" s="193" t="s">
        <v>1984</v>
      </c>
      <c r="B441" s="146" t="s">
        <v>668</v>
      </c>
      <c r="C441" s="193" t="s">
        <v>1984</v>
      </c>
      <c r="D441" s="192" t="s">
        <v>1716</v>
      </c>
      <c r="E441" s="146" t="s">
        <v>670</v>
      </c>
      <c r="F441" s="146" t="s">
        <v>671</v>
      </c>
      <c r="G441" s="146" t="s">
        <v>672</v>
      </c>
      <c r="H441" s="148">
        <v>4</v>
      </c>
      <c r="I441" s="146" t="s">
        <v>673</v>
      </c>
      <c r="J441" s="149">
        <v>1</v>
      </c>
      <c r="K441" s="150">
        <v>2021</v>
      </c>
      <c r="L441" s="197" t="s">
        <v>1010</v>
      </c>
      <c r="M441" s="197" t="s">
        <v>754</v>
      </c>
      <c r="N441" s="198" t="s">
        <v>1985</v>
      </c>
      <c r="O441" s="196" t="s">
        <v>1986</v>
      </c>
      <c r="P441" s="193" t="s">
        <v>676</v>
      </c>
      <c r="Q441" s="193">
        <v>1975</v>
      </c>
      <c r="R441" s="155">
        <v>7</v>
      </c>
      <c r="S441" s="168"/>
      <c r="T441" s="168"/>
      <c r="U441" s="146"/>
      <c r="V441" s="146"/>
      <c r="W441" s="146"/>
      <c r="X441" s="156">
        <v>0</v>
      </c>
      <c r="Y441" s="156">
        <v>0</v>
      </c>
      <c r="Z441" s="157" t="s">
        <v>1454</v>
      </c>
      <c r="AA441" s="174">
        <v>2021</v>
      </c>
      <c r="AB441" s="175">
        <v>9</v>
      </c>
      <c r="AC441" s="175">
        <v>18</v>
      </c>
      <c r="AD441" s="122" t="b">
        <f>IF(ISBLANK(GroupMember[[#This Row],[1. Identifiant interne d’exploitation agricole*]]),"",IF(ISERROR(MATCH(GroupMember[[#This Row],[1. Identifiant interne d’exploitation agricole*]],CertifiedCrop[1. Identifiant interne d’exploitation agricole*],0)),FALSE,TRUE))</f>
        <v>1</v>
      </c>
      <c r="AE441" s="122" t="b">
        <f>IF(ISBLANK(GroupMember[[#This Row],[1. Identifiant interne d’exploitation agricole*]]),"",IF(ISERROR(MATCH(GroupMember[[#This Row],[1. Identifiant interne d’exploitation agricole*]],FarmUnit[1. Identifiant interne d’exploitation agricole*],0)),FALSE,TRUE))</f>
        <v>1</v>
      </c>
      <c r="AF441" s="9" t="str">
        <f t="shared" si="21"/>
        <v>BAMBA  DIARRA</v>
      </c>
      <c r="AG441" s="243" t="str">
        <f t="shared" si="22"/>
        <v>18/9/2021</v>
      </c>
      <c r="AH441" s="51">
        <f>COUNTIFS(Z:Z,Z441,AG:AG,AG441)</f>
        <v>4</v>
      </c>
      <c r="AI441" s="49">
        <f t="shared" si="23"/>
        <v>0</v>
      </c>
    </row>
    <row r="442" spans="1:35" ht="15" x14ac:dyDescent="0.2">
      <c r="A442" s="193" t="s">
        <v>1987</v>
      </c>
      <c r="B442" s="146" t="s">
        <v>668</v>
      </c>
      <c r="C442" s="193" t="s">
        <v>1987</v>
      </c>
      <c r="D442" s="192" t="s">
        <v>1716</v>
      </c>
      <c r="E442" s="146" t="s">
        <v>670</v>
      </c>
      <c r="F442" s="146" t="s">
        <v>671</v>
      </c>
      <c r="G442" s="146" t="s">
        <v>672</v>
      </c>
      <c r="H442" s="148">
        <v>1.01</v>
      </c>
      <c r="I442" s="146" t="s">
        <v>673</v>
      </c>
      <c r="J442" s="149">
        <v>1</v>
      </c>
      <c r="K442" s="150">
        <v>2021</v>
      </c>
      <c r="L442" s="197" t="s">
        <v>1988</v>
      </c>
      <c r="M442" s="197" t="s">
        <v>1989</v>
      </c>
      <c r="N442" s="198" t="s">
        <v>1990</v>
      </c>
      <c r="O442" s="196"/>
      <c r="P442" s="193" t="s">
        <v>676</v>
      </c>
      <c r="Q442" s="193"/>
      <c r="R442" s="155">
        <v>5</v>
      </c>
      <c r="S442" s="168"/>
      <c r="T442" s="168"/>
      <c r="U442" s="146"/>
      <c r="V442" s="146"/>
      <c r="W442" s="146"/>
      <c r="X442" s="156">
        <v>0</v>
      </c>
      <c r="Y442" s="156">
        <v>0</v>
      </c>
      <c r="Z442" s="157" t="s">
        <v>1454</v>
      </c>
      <c r="AA442" s="174">
        <v>2021</v>
      </c>
      <c r="AB442" s="175">
        <v>9</v>
      </c>
      <c r="AC442" s="175">
        <v>8</v>
      </c>
      <c r="AD442" s="122" t="b">
        <f>IF(ISBLANK(GroupMember[[#This Row],[1. Identifiant interne d’exploitation agricole*]]),"",IF(ISERROR(MATCH(GroupMember[[#This Row],[1. Identifiant interne d’exploitation agricole*]],CertifiedCrop[1. Identifiant interne d’exploitation agricole*],0)),FALSE,TRUE))</f>
        <v>1</v>
      </c>
      <c r="AE442" s="122" t="b">
        <f>IF(ISBLANK(GroupMember[[#This Row],[1. Identifiant interne d’exploitation agricole*]]),"",IF(ISERROR(MATCH(GroupMember[[#This Row],[1. Identifiant interne d’exploitation agricole*]],FarmUnit[1. Identifiant interne d’exploitation agricole*],0)),FALSE,TRUE))</f>
        <v>1</v>
      </c>
      <c r="AF442" s="9" t="str">
        <f t="shared" si="21"/>
        <v xml:space="preserve">TOKPA  SAHI </v>
      </c>
      <c r="AG442" s="243" t="str">
        <f t="shared" si="22"/>
        <v>8/9/2021</v>
      </c>
      <c r="AH442" s="51">
        <f>COUNTIFS(Z:Z,Z442,AG:AG,AG442)</f>
        <v>5</v>
      </c>
      <c r="AI442" s="49">
        <f t="shared" si="23"/>
        <v>0</v>
      </c>
    </row>
    <row r="443" spans="1:35" ht="15" x14ac:dyDescent="0.2">
      <c r="A443" s="193" t="s">
        <v>1991</v>
      </c>
      <c r="B443" s="146" t="s">
        <v>668</v>
      </c>
      <c r="C443" s="193" t="s">
        <v>1991</v>
      </c>
      <c r="D443" s="192" t="s">
        <v>1716</v>
      </c>
      <c r="E443" s="146" t="s">
        <v>670</v>
      </c>
      <c r="F443" s="146" t="s">
        <v>671</v>
      </c>
      <c r="G443" s="146" t="s">
        <v>672</v>
      </c>
      <c r="H443" s="148">
        <v>5</v>
      </c>
      <c r="I443" s="146" t="s">
        <v>673</v>
      </c>
      <c r="J443" s="149">
        <v>1</v>
      </c>
      <c r="K443" s="150">
        <v>2021</v>
      </c>
      <c r="L443" s="197" t="s">
        <v>1010</v>
      </c>
      <c r="M443" s="197" t="s">
        <v>1992</v>
      </c>
      <c r="N443" s="198"/>
      <c r="O443" s="196"/>
      <c r="P443" s="193" t="s">
        <v>676</v>
      </c>
      <c r="Q443" s="193"/>
      <c r="R443" s="155">
        <v>8</v>
      </c>
      <c r="S443" s="168"/>
      <c r="T443" s="168"/>
      <c r="U443" s="146"/>
      <c r="V443" s="146"/>
      <c r="W443" s="146"/>
      <c r="X443" s="156">
        <v>0</v>
      </c>
      <c r="Y443" s="156">
        <v>0</v>
      </c>
      <c r="Z443" s="157" t="s">
        <v>1454</v>
      </c>
      <c r="AA443" s="174">
        <v>2021</v>
      </c>
      <c r="AB443" s="175">
        <v>9</v>
      </c>
      <c r="AC443" s="175">
        <v>2</v>
      </c>
      <c r="AD443" s="122" t="b">
        <f>IF(ISBLANK(GroupMember[[#This Row],[1. Identifiant interne d’exploitation agricole*]]),"",IF(ISERROR(MATCH(GroupMember[[#This Row],[1. Identifiant interne d’exploitation agricole*]],CertifiedCrop[1. Identifiant interne d’exploitation agricole*],0)),FALSE,TRUE))</f>
        <v>1</v>
      </c>
      <c r="AE443" s="122" t="b">
        <f>IF(ISBLANK(GroupMember[[#This Row],[1. Identifiant interne d’exploitation agricole*]]),"",IF(ISERROR(MATCH(GroupMember[[#This Row],[1. Identifiant interne d’exploitation agricole*]],FarmUnit[1. Identifiant interne d’exploitation agricole*],0)),FALSE,TRUE))</f>
        <v>1</v>
      </c>
      <c r="AF443" s="9" t="str">
        <f t="shared" si="21"/>
        <v>BAMBA  AMARA</v>
      </c>
      <c r="AG443" s="243" t="str">
        <f t="shared" si="22"/>
        <v>2/9/2021</v>
      </c>
      <c r="AH443" s="51">
        <f>COUNTIFS(Z:Z,Z443,AG:AG,AG443)</f>
        <v>4</v>
      </c>
      <c r="AI443" s="49">
        <f t="shared" si="23"/>
        <v>0</v>
      </c>
    </row>
    <row r="444" spans="1:35" ht="15" x14ac:dyDescent="0.2">
      <c r="A444" s="193" t="s">
        <v>1993</v>
      </c>
      <c r="B444" s="146" t="s">
        <v>668</v>
      </c>
      <c r="C444" s="193" t="s">
        <v>1993</v>
      </c>
      <c r="D444" s="192" t="s">
        <v>1716</v>
      </c>
      <c r="E444" s="146" t="s">
        <v>670</v>
      </c>
      <c r="F444" s="146" t="s">
        <v>671</v>
      </c>
      <c r="G444" s="146" t="s">
        <v>672</v>
      </c>
      <c r="H444" s="148">
        <v>3.86</v>
      </c>
      <c r="I444" s="146" t="s">
        <v>673</v>
      </c>
      <c r="J444" s="149">
        <v>1</v>
      </c>
      <c r="K444" s="150">
        <v>2021</v>
      </c>
      <c r="L444" s="197" t="s">
        <v>1193</v>
      </c>
      <c r="M444" s="197" t="s">
        <v>1994</v>
      </c>
      <c r="N444" s="198" t="s">
        <v>1995</v>
      </c>
      <c r="O444" s="196" t="s">
        <v>1996</v>
      </c>
      <c r="P444" s="193" t="s">
        <v>676</v>
      </c>
      <c r="Q444" s="193">
        <v>1976</v>
      </c>
      <c r="R444" s="155">
        <v>7</v>
      </c>
      <c r="S444" s="168"/>
      <c r="T444" s="168"/>
      <c r="U444" s="146"/>
      <c r="V444" s="146"/>
      <c r="W444" s="146"/>
      <c r="X444" s="156">
        <v>0</v>
      </c>
      <c r="Y444" s="156">
        <v>0</v>
      </c>
      <c r="Z444" s="157" t="s">
        <v>1454</v>
      </c>
      <c r="AA444" s="174">
        <v>2021</v>
      </c>
      <c r="AB444" s="175">
        <v>9</v>
      </c>
      <c r="AC444" s="175">
        <v>13</v>
      </c>
      <c r="AD444" s="122" t="b">
        <f>IF(ISBLANK(GroupMember[[#This Row],[1. Identifiant interne d’exploitation agricole*]]),"",IF(ISERROR(MATCH(GroupMember[[#This Row],[1. Identifiant interne d’exploitation agricole*]],CertifiedCrop[1. Identifiant interne d’exploitation agricole*],0)),FALSE,TRUE))</f>
        <v>1</v>
      </c>
      <c r="AE444" s="122" t="b">
        <f>IF(ISBLANK(GroupMember[[#This Row],[1. Identifiant interne d’exploitation agricole*]]),"",IF(ISERROR(MATCH(GroupMember[[#This Row],[1. Identifiant interne d’exploitation agricole*]],FarmUnit[1. Identifiant interne d’exploitation agricole*],0)),FALSE,TRUE))</f>
        <v>1</v>
      </c>
      <c r="AF444" s="9" t="str">
        <f t="shared" si="21"/>
        <v>DIOMANDE  BAFFO</v>
      </c>
      <c r="AG444" s="243" t="str">
        <f t="shared" si="22"/>
        <v>13/9/2021</v>
      </c>
      <c r="AH444" s="51">
        <f>COUNTIFS(Z:Z,Z444,AG:AG,AG444)</f>
        <v>5</v>
      </c>
      <c r="AI444" s="49">
        <f t="shared" si="23"/>
        <v>0</v>
      </c>
    </row>
    <row r="445" spans="1:35" ht="15" x14ac:dyDescent="0.2">
      <c r="A445" s="193" t="s">
        <v>1997</v>
      </c>
      <c r="B445" s="146" t="s">
        <v>668</v>
      </c>
      <c r="C445" s="193" t="s">
        <v>1997</v>
      </c>
      <c r="D445" s="192" t="s">
        <v>1716</v>
      </c>
      <c r="E445" s="146" t="s">
        <v>670</v>
      </c>
      <c r="F445" s="146" t="s">
        <v>671</v>
      </c>
      <c r="G445" s="146" t="s">
        <v>672</v>
      </c>
      <c r="H445" s="148">
        <v>1.5</v>
      </c>
      <c r="I445" s="146" t="s">
        <v>673</v>
      </c>
      <c r="J445" s="149">
        <v>1</v>
      </c>
      <c r="K445" s="150">
        <v>2021</v>
      </c>
      <c r="L445" s="197" t="s">
        <v>1063</v>
      </c>
      <c r="M445" s="197" t="s">
        <v>1920</v>
      </c>
      <c r="N445" s="198"/>
      <c r="O445" s="196" t="s">
        <v>1998</v>
      </c>
      <c r="P445" s="193" t="s">
        <v>676</v>
      </c>
      <c r="Q445" s="193">
        <v>1977</v>
      </c>
      <c r="R445" s="155">
        <v>4</v>
      </c>
      <c r="S445" s="168"/>
      <c r="T445" s="168"/>
      <c r="U445" s="146"/>
      <c r="V445" s="146"/>
      <c r="W445" s="146"/>
      <c r="X445" s="156">
        <v>0</v>
      </c>
      <c r="Y445" s="156">
        <v>0</v>
      </c>
      <c r="Z445" s="157" t="s">
        <v>1454</v>
      </c>
      <c r="AA445" s="174">
        <v>2021</v>
      </c>
      <c r="AB445" s="175">
        <v>9</v>
      </c>
      <c r="AC445" s="175">
        <v>7</v>
      </c>
      <c r="AD445" s="122" t="b">
        <f>IF(ISBLANK(GroupMember[[#This Row],[1. Identifiant interne d’exploitation agricole*]]),"",IF(ISERROR(MATCH(GroupMember[[#This Row],[1. Identifiant interne d’exploitation agricole*]],CertifiedCrop[1. Identifiant interne d’exploitation agricole*],0)),FALSE,TRUE))</f>
        <v>1</v>
      </c>
      <c r="AE445" s="122" t="b">
        <f>IF(ISBLANK(GroupMember[[#This Row],[1. Identifiant interne d’exploitation agricole*]]),"",IF(ISERROR(MATCH(GroupMember[[#This Row],[1. Identifiant interne d’exploitation agricole*]],FarmUnit[1. Identifiant interne d’exploitation agricole*],0)),FALSE,TRUE))</f>
        <v>1</v>
      </c>
      <c r="AF445" s="9" t="str">
        <f t="shared" si="21"/>
        <v>ZONGO ALASSANE</v>
      </c>
      <c r="AG445" s="243" t="str">
        <f t="shared" si="22"/>
        <v>7/9/2021</v>
      </c>
      <c r="AH445" s="51">
        <f>COUNTIFS(Z:Z,Z445,AG:AG,AG445)</f>
        <v>4</v>
      </c>
      <c r="AI445" s="49">
        <f t="shared" si="23"/>
        <v>0</v>
      </c>
    </row>
    <row r="446" spans="1:35" ht="15" x14ac:dyDescent="0.2">
      <c r="A446" s="193" t="s">
        <v>1999</v>
      </c>
      <c r="B446" s="146" t="s">
        <v>668</v>
      </c>
      <c r="C446" s="193" t="s">
        <v>1999</v>
      </c>
      <c r="D446" s="192" t="s">
        <v>1716</v>
      </c>
      <c r="E446" s="146" t="s">
        <v>670</v>
      </c>
      <c r="F446" s="146" t="s">
        <v>671</v>
      </c>
      <c r="G446" s="146" t="s">
        <v>672</v>
      </c>
      <c r="H446" s="148">
        <v>3</v>
      </c>
      <c r="I446" s="146" t="s">
        <v>673</v>
      </c>
      <c r="J446" s="149">
        <v>1</v>
      </c>
      <c r="K446" s="150">
        <v>2021</v>
      </c>
      <c r="L446" s="197" t="s">
        <v>2000</v>
      </c>
      <c r="M446" s="197" t="s">
        <v>1769</v>
      </c>
      <c r="N446" s="198"/>
      <c r="O446" s="196"/>
      <c r="P446" s="193" t="s">
        <v>676</v>
      </c>
      <c r="Q446" s="193"/>
      <c r="R446" s="155">
        <v>6</v>
      </c>
      <c r="S446" s="168"/>
      <c r="T446" s="168"/>
      <c r="U446" s="146"/>
      <c r="V446" s="146"/>
      <c r="W446" s="146"/>
      <c r="X446" s="156">
        <v>0</v>
      </c>
      <c r="Y446" s="156">
        <v>0</v>
      </c>
      <c r="Z446" s="157" t="s">
        <v>1454</v>
      </c>
      <c r="AA446" s="174">
        <v>2021</v>
      </c>
      <c r="AB446" s="175">
        <v>9</v>
      </c>
      <c r="AC446" s="175">
        <v>13</v>
      </c>
      <c r="AD446" s="122" t="b">
        <f>IF(ISBLANK(GroupMember[[#This Row],[1. Identifiant interne d’exploitation agricole*]]),"",IF(ISERROR(MATCH(GroupMember[[#This Row],[1. Identifiant interne d’exploitation agricole*]],CertifiedCrop[1. Identifiant interne d’exploitation agricole*],0)),FALSE,TRUE))</f>
        <v>1</v>
      </c>
      <c r="AE446" s="122" t="b">
        <f>IF(ISBLANK(GroupMember[[#This Row],[1. Identifiant interne d’exploitation agricole*]]),"",IF(ISERROR(MATCH(GroupMember[[#This Row],[1. Identifiant interne d’exploitation agricole*]],FarmUnit[1. Identifiant interne d’exploitation agricole*],0)),FALSE,TRUE))</f>
        <v>1</v>
      </c>
      <c r="AF446" s="9" t="str">
        <f t="shared" si="21"/>
        <v>DIABARE SAMOUKA</v>
      </c>
      <c r="AG446" s="243" t="str">
        <f t="shared" si="22"/>
        <v>13/9/2021</v>
      </c>
      <c r="AH446" s="51">
        <f>COUNTIFS(Z:Z,Z446,AG:AG,AG446)</f>
        <v>5</v>
      </c>
      <c r="AI446" s="49">
        <f t="shared" si="23"/>
        <v>0</v>
      </c>
    </row>
    <row r="447" spans="1:35" ht="15" x14ac:dyDescent="0.2">
      <c r="A447" s="193" t="s">
        <v>2001</v>
      </c>
      <c r="B447" s="146" t="s">
        <v>668</v>
      </c>
      <c r="C447" s="193" t="s">
        <v>2001</v>
      </c>
      <c r="D447" s="192" t="s">
        <v>1716</v>
      </c>
      <c r="E447" s="146" t="s">
        <v>670</v>
      </c>
      <c r="F447" s="146" t="s">
        <v>671</v>
      </c>
      <c r="G447" s="146" t="s">
        <v>672</v>
      </c>
      <c r="H447" s="148">
        <v>1.64</v>
      </c>
      <c r="I447" s="146" t="s">
        <v>673</v>
      </c>
      <c r="J447" s="149">
        <v>1</v>
      </c>
      <c r="K447" s="150">
        <v>2021</v>
      </c>
      <c r="L447" s="197" t="s">
        <v>925</v>
      </c>
      <c r="M447" s="197" t="s">
        <v>1220</v>
      </c>
      <c r="N447" s="198" t="s">
        <v>2002</v>
      </c>
      <c r="O447" s="196"/>
      <c r="P447" s="193" t="s">
        <v>676</v>
      </c>
      <c r="Q447" s="193"/>
      <c r="R447" s="155">
        <v>5</v>
      </c>
      <c r="S447" s="168"/>
      <c r="T447" s="168"/>
      <c r="U447" s="146"/>
      <c r="V447" s="146"/>
      <c r="W447" s="146"/>
      <c r="X447" s="156">
        <v>0</v>
      </c>
      <c r="Y447" s="156">
        <v>0</v>
      </c>
      <c r="Z447" s="157" t="s">
        <v>1454</v>
      </c>
      <c r="AA447" s="174">
        <v>2021</v>
      </c>
      <c r="AB447" s="175">
        <v>9</v>
      </c>
      <c r="AC447" s="175">
        <v>18</v>
      </c>
      <c r="AD447" s="122" t="b">
        <f>IF(ISBLANK(GroupMember[[#This Row],[1. Identifiant interne d’exploitation agricole*]]),"",IF(ISERROR(MATCH(GroupMember[[#This Row],[1. Identifiant interne d’exploitation agricole*]],CertifiedCrop[1. Identifiant interne d’exploitation agricole*],0)),FALSE,TRUE))</f>
        <v>1</v>
      </c>
      <c r="AE447" s="122" t="b">
        <f>IF(ISBLANK(GroupMember[[#This Row],[1. Identifiant interne d’exploitation agricole*]]),"",IF(ISERROR(MATCH(GroupMember[[#This Row],[1. Identifiant interne d’exploitation agricole*]],FarmUnit[1. Identifiant interne d’exploitation agricole*],0)),FALSE,TRUE))</f>
        <v>1</v>
      </c>
      <c r="AF447" s="9" t="str">
        <f t="shared" si="21"/>
        <v>KPAN  EMMANUEL</v>
      </c>
      <c r="AG447" s="243" t="str">
        <f t="shared" si="22"/>
        <v>18/9/2021</v>
      </c>
      <c r="AH447" s="51">
        <f>COUNTIFS(Z:Z,Z447,AG:AG,AG447)</f>
        <v>4</v>
      </c>
      <c r="AI447" s="49">
        <f t="shared" si="23"/>
        <v>0</v>
      </c>
    </row>
    <row r="448" spans="1:35" ht="15" x14ac:dyDescent="0.2">
      <c r="A448" s="193" t="s">
        <v>2003</v>
      </c>
      <c r="B448" s="146" t="s">
        <v>668</v>
      </c>
      <c r="C448" s="193" t="s">
        <v>2003</v>
      </c>
      <c r="D448" s="192" t="s">
        <v>1716</v>
      </c>
      <c r="E448" s="146" t="s">
        <v>670</v>
      </c>
      <c r="F448" s="146" t="s">
        <v>671</v>
      </c>
      <c r="G448" s="146" t="s">
        <v>672</v>
      </c>
      <c r="H448" s="148">
        <v>1.78</v>
      </c>
      <c r="I448" s="146" t="s">
        <v>673</v>
      </c>
      <c r="J448" s="149">
        <v>1</v>
      </c>
      <c r="K448" s="150">
        <v>2021</v>
      </c>
      <c r="L448" s="197" t="s">
        <v>2004</v>
      </c>
      <c r="M448" s="197" t="s">
        <v>1151</v>
      </c>
      <c r="N448" s="198" t="s">
        <v>2005</v>
      </c>
      <c r="O448" s="196"/>
      <c r="P448" s="193" t="s">
        <v>676</v>
      </c>
      <c r="Q448" s="193"/>
      <c r="R448" s="155">
        <v>4</v>
      </c>
      <c r="S448" s="168"/>
      <c r="T448" s="168"/>
      <c r="U448" s="146"/>
      <c r="V448" s="146"/>
      <c r="W448" s="146"/>
      <c r="X448" s="156">
        <v>0</v>
      </c>
      <c r="Y448" s="156">
        <v>0</v>
      </c>
      <c r="Z448" s="157" t="s">
        <v>1454</v>
      </c>
      <c r="AA448" s="174">
        <v>2021</v>
      </c>
      <c r="AB448" s="175">
        <v>9</v>
      </c>
      <c r="AC448" s="175">
        <v>8</v>
      </c>
      <c r="AD448" s="122" t="b">
        <f>IF(ISBLANK(GroupMember[[#This Row],[1. Identifiant interne d’exploitation agricole*]]),"",IF(ISERROR(MATCH(GroupMember[[#This Row],[1. Identifiant interne d’exploitation agricole*]],CertifiedCrop[1. Identifiant interne d’exploitation agricole*],0)),FALSE,TRUE))</f>
        <v>1</v>
      </c>
      <c r="AE448" s="122" t="b">
        <f>IF(ISBLANK(GroupMember[[#This Row],[1. Identifiant interne d’exploitation agricole*]]),"",IF(ISERROR(MATCH(GroupMember[[#This Row],[1. Identifiant interne d’exploitation agricole*]],FarmUnit[1. Identifiant interne d’exploitation agricole*],0)),FALSE,TRUE))</f>
        <v>1</v>
      </c>
      <c r="AF448" s="9" t="str">
        <f t="shared" si="21"/>
        <v>KODE  ETIENNE</v>
      </c>
      <c r="AG448" s="243" t="str">
        <f t="shared" si="22"/>
        <v>8/9/2021</v>
      </c>
      <c r="AH448" s="51">
        <f>COUNTIFS(Z:Z,Z448,AG:AG,AG448)</f>
        <v>5</v>
      </c>
      <c r="AI448" s="49">
        <f t="shared" si="23"/>
        <v>0</v>
      </c>
    </row>
    <row r="449" spans="1:35" ht="15" x14ac:dyDescent="0.2">
      <c r="A449" s="193" t="s">
        <v>2006</v>
      </c>
      <c r="B449" s="146" t="s">
        <v>668</v>
      </c>
      <c r="C449" s="193" t="s">
        <v>2006</v>
      </c>
      <c r="D449" s="192" t="s">
        <v>1716</v>
      </c>
      <c r="E449" s="146" t="s">
        <v>670</v>
      </c>
      <c r="F449" s="146" t="s">
        <v>671</v>
      </c>
      <c r="G449" s="146" t="s">
        <v>672</v>
      </c>
      <c r="H449" s="148">
        <v>1.53</v>
      </c>
      <c r="I449" s="146" t="s">
        <v>673</v>
      </c>
      <c r="J449" s="149">
        <v>1</v>
      </c>
      <c r="K449" s="150">
        <v>2021</v>
      </c>
      <c r="L449" s="197" t="s">
        <v>2007</v>
      </c>
      <c r="M449" s="197" t="s">
        <v>1412</v>
      </c>
      <c r="N449" s="198" t="s">
        <v>2008</v>
      </c>
      <c r="O449" s="196"/>
      <c r="P449" s="193" t="s">
        <v>676</v>
      </c>
      <c r="Q449" s="193"/>
      <c r="R449" s="155">
        <v>8</v>
      </c>
      <c r="S449" s="168"/>
      <c r="T449" s="168"/>
      <c r="U449" s="146"/>
      <c r="V449" s="146"/>
      <c r="W449" s="146"/>
      <c r="X449" s="156">
        <v>0</v>
      </c>
      <c r="Y449" s="156">
        <v>0</v>
      </c>
      <c r="Z449" s="157" t="s">
        <v>1454</v>
      </c>
      <c r="AA449" s="174">
        <v>2021</v>
      </c>
      <c r="AB449" s="175">
        <v>9</v>
      </c>
      <c r="AC449" s="175">
        <v>2</v>
      </c>
      <c r="AD449" s="122" t="b">
        <f>IF(ISBLANK(GroupMember[[#This Row],[1. Identifiant interne d’exploitation agricole*]]),"",IF(ISERROR(MATCH(GroupMember[[#This Row],[1. Identifiant interne d’exploitation agricole*]],CertifiedCrop[1. Identifiant interne d’exploitation agricole*],0)),FALSE,TRUE))</f>
        <v>1</v>
      </c>
      <c r="AE449" s="122" t="b">
        <f>IF(ISBLANK(GroupMember[[#This Row],[1. Identifiant interne d’exploitation agricole*]]),"",IF(ISERROR(MATCH(GroupMember[[#This Row],[1. Identifiant interne d’exploitation agricole*]],FarmUnit[1. Identifiant interne d’exploitation agricole*],0)),FALSE,TRUE))</f>
        <v>1</v>
      </c>
      <c r="AF449" s="9" t="str">
        <f t="shared" si="21"/>
        <v>WONGONGE  GERMAIN</v>
      </c>
      <c r="AG449" s="243" t="str">
        <f t="shared" si="22"/>
        <v>2/9/2021</v>
      </c>
      <c r="AH449" s="51">
        <f>COUNTIFS(Z:Z,Z449,AG:AG,AG449)</f>
        <v>4</v>
      </c>
      <c r="AI449" s="49">
        <f t="shared" si="23"/>
        <v>0</v>
      </c>
    </row>
    <row r="450" spans="1:35" ht="15" x14ac:dyDescent="0.2">
      <c r="A450" s="193" t="s">
        <v>2009</v>
      </c>
      <c r="B450" s="146" t="s">
        <v>668</v>
      </c>
      <c r="C450" s="193" t="s">
        <v>2009</v>
      </c>
      <c r="D450" s="192" t="s">
        <v>1716</v>
      </c>
      <c r="E450" s="146" t="s">
        <v>670</v>
      </c>
      <c r="F450" s="146" t="s">
        <v>671</v>
      </c>
      <c r="G450" s="146" t="s">
        <v>672</v>
      </c>
      <c r="H450" s="148">
        <v>3</v>
      </c>
      <c r="I450" s="146" t="s">
        <v>673</v>
      </c>
      <c r="J450" s="149">
        <v>1</v>
      </c>
      <c r="K450" s="150">
        <v>2021</v>
      </c>
      <c r="L450" s="197" t="s">
        <v>2010</v>
      </c>
      <c r="M450" s="197" t="s">
        <v>2011</v>
      </c>
      <c r="N450" s="198" t="s">
        <v>2012</v>
      </c>
      <c r="O450" s="196"/>
      <c r="P450" s="193" t="s">
        <v>676</v>
      </c>
      <c r="Q450" s="193"/>
      <c r="R450" s="155">
        <v>7</v>
      </c>
      <c r="S450" s="168"/>
      <c r="T450" s="168"/>
      <c r="U450" s="146"/>
      <c r="V450" s="146"/>
      <c r="W450" s="146"/>
      <c r="X450" s="156">
        <v>0</v>
      </c>
      <c r="Y450" s="156">
        <v>0</v>
      </c>
      <c r="Z450" s="157" t="s">
        <v>1454</v>
      </c>
      <c r="AA450" s="174">
        <v>2021</v>
      </c>
      <c r="AB450" s="175">
        <v>9</v>
      </c>
      <c r="AC450" s="175">
        <v>18</v>
      </c>
      <c r="AD450" s="122" t="b">
        <f>IF(ISBLANK(GroupMember[[#This Row],[1. Identifiant interne d’exploitation agricole*]]),"",IF(ISERROR(MATCH(GroupMember[[#This Row],[1. Identifiant interne d’exploitation agricole*]],CertifiedCrop[1. Identifiant interne d’exploitation agricole*],0)),FALSE,TRUE))</f>
        <v>1</v>
      </c>
      <c r="AE450" s="122" t="b">
        <f>IF(ISBLANK(GroupMember[[#This Row],[1. Identifiant interne d’exploitation agricole*]]),"",IF(ISERROR(MATCH(GroupMember[[#This Row],[1. Identifiant interne d’exploitation agricole*]],FarmUnit[1. Identifiant interne d’exploitation agricole*],0)),FALSE,TRUE))</f>
        <v>1</v>
      </c>
      <c r="AF450" s="9" t="str">
        <f t="shared" si="21"/>
        <v>GOUAUNOU  KOSSBEU</v>
      </c>
      <c r="AG450" s="243" t="str">
        <f t="shared" si="22"/>
        <v>18/9/2021</v>
      </c>
      <c r="AH450" s="51">
        <f>COUNTIFS(Z:Z,Z450,AG:AG,AG450)</f>
        <v>4</v>
      </c>
      <c r="AI450" s="49">
        <f t="shared" si="23"/>
        <v>0</v>
      </c>
    </row>
    <row r="451" spans="1:35" ht="15" x14ac:dyDescent="0.2">
      <c r="A451" s="193" t="s">
        <v>2013</v>
      </c>
      <c r="B451" s="146" t="s">
        <v>668</v>
      </c>
      <c r="C451" s="193" t="s">
        <v>2013</v>
      </c>
      <c r="D451" s="192" t="s">
        <v>1716</v>
      </c>
      <c r="E451" s="146" t="s">
        <v>670</v>
      </c>
      <c r="F451" s="146" t="s">
        <v>671</v>
      </c>
      <c r="G451" s="146" t="s">
        <v>672</v>
      </c>
      <c r="H451" s="148">
        <v>1.71</v>
      </c>
      <c r="I451" s="146" t="s">
        <v>673</v>
      </c>
      <c r="J451" s="149">
        <v>1</v>
      </c>
      <c r="K451" s="150">
        <v>2021</v>
      </c>
      <c r="L451" s="197" t="s">
        <v>2014</v>
      </c>
      <c r="M451" s="197" t="s">
        <v>2015</v>
      </c>
      <c r="N451" s="198"/>
      <c r="O451" s="196"/>
      <c r="P451" s="193" t="s">
        <v>676</v>
      </c>
      <c r="Q451" s="193"/>
      <c r="R451" s="155">
        <v>4</v>
      </c>
      <c r="S451" s="168"/>
      <c r="T451" s="168"/>
      <c r="U451" s="146"/>
      <c r="V451" s="146"/>
      <c r="W451" s="146"/>
      <c r="X451" s="156">
        <v>0</v>
      </c>
      <c r="Y451" s="156">
        <v>0</v>
      </c>
      <c r="Z451" s="157" t="s">
        <v>1454</v>
      </c>
      <c r="AA451" s="174">
        <v>2021</v>
      </c>
      <c r="AB451" s="175">
        <v>9</v>
      </c>
      <c r="AC451" s="175">
        <v>3</v>
      </c>
      <c r="AD451" s="122" t="b">
        <f>IF(ISBLANK(GroupMember[[#This Row],[1. Identifiant interne d’exploitation agricole*]]),"",IF(ISERROR(MATCH(GroupMember[[#This Row],[1. Identifiant interne d’exploitation agricole*]],CertifiedCrop[1. Identifiant interne d’exploitation agricole*],0)),FALSE,TRUE))</f>
        <v>1</v>
      </c>
      <c r="AE451" s="122" t="b">
        <f>IF(ISBLANK(GroupMember[[#This Row],[1. Identifiant interne d’exploitation agricole*]]),"",IF(ISERROR(MATCH(GroupMember[[#This Row],[1. Identifiant interne d’exploitation agricole*]],FarmUnit[1. Identifiant interne d’exploitation agricole*],0)),FALSE,TRUE))</f>
        <v>1</v>
      </c>
      <c r="AF451" s="9" t="str">
        <f t="shared" si="21"/>
        <v>TOUAGO  MICHEL</v>
      </c>
      <c r="AG451" s="243" t="str">
        <f t="shared" si="22"/>
        <v>3/9/2021</v>
      </c>
      <c r="AH451" s="51">
        <f>COUNTIFS(Z:Z,Z451,AG:AG,AG451)</f>
        <v>5</v>
      </c>
      <c r="AI451" s="49">
        <f t="shared" si="23"/>
        <v>0</v>
      </c>
    </row>
    <row r="452" spans="1:35" ht="15" x14ac:dyDescent="0.2">
      <c r="A452" s="193" t="s">
        <v>2016</v>
      </c>
      <c r="B452" s="146" t="s">
        <v>668</v>
      </c>
      <c r="C452" s="193" t="s">
        <v>2016</v>
      </c>
      <c r="D452" s="192" t="s">
        <v>1716</v>
      </c>
      <c r="E452" s="146" t="s">
        <v>670</v>
      </c>
      <c r="F452" s="146" t="s">
        <v>671</v>
      </c>
      <c r="G452" s="146" t="s">
        <v>672</v>
      </c>
      <c r="H452" s="148">
        <v>0.92</v>
      </c>
      <c r="I452" s="146" t="s">
        <v>673</v>
      </c>
      <c r="J452" s="149">
        <v>1</v>
      </c>
      <c r="K452" s="150">
        <v>2021</v>
      </c>
      <c r="L452" s="197" t="s">
        <v>2017</v>
      </c>
      <c r="M452" s="197" t="s">
        <v>1540</v>
      </c>
      <c r="N452" s="198" t="s">
        <v>2018</v>
      </c>
      <c r="O452" s="196"/>
      <c r="P452" s="193" t="s">
        <v>676</v>
      </c>
      <c r="Q452" s="193"/>
      <c r="R452" s="155">
        <v>8</v>
      </c>
      <c r="S452" s="168"/>
      <c r="T452" s="168"/>
      <c r="U452" s="146"/>
      <c r="V452" s="146"/>
      <c r="W452" s="146"/>
      <c r="X452" s="156">
        <v>0</v>
      </c>
      <c r="Y452" s="156">
        <v>0</v>
      </c>
      <c r="Z452" s="157" t="s">
        <v>1454</v>
      </c>
      <c r="AA452" s="174">
        <v>2021</v>
      </c>
      <c r="AB452" s="175">
        <v>9</v>
      </c>
      <c r="AC452" s="175">
        <v>13</v>
      </c>
      <c r="AD452" s="122" t="b">
        <f>IF(ISBLANK(GroupMember[[#This Row],[1. Identifiant interne d’exploitation agricole*]]),"",IF(ISERROR(MATCH(GroupMember[[#This Row],[1. Identifiant interne d’exploitation agricole*]],CertifiedCrop[1. Identifiant interne d’exploitation agricole*],0)),FALSE,TRUE))</f>
        <v>1</v>
      </c>
      <c r="AE452" s="122" t="b">
        <f>IF(ISBLANK(GroupMember[[#This Row],[1. Identifiant interne d’exploitation agricole*]]),"",IF(ISERROR(MATCH(GroupMember[[#This Row],[1. Identifiant interne d’exploitation agricole*]],FarmUnit[1. Identifiant interne d’exploitation agricole*],0)),FALSE,TRUE))</f>
        <v>1</v>
      </c>
      <c r="AF452" s="9" t="str">
        <f t="shared" si="21"/>
        <v>GLEMDE  ALFRED</v>
      </c>
      <c r="AG452" s="243" t="str">
        <f t="shared" si="22"/>
        <v>13/9/2021</v>
      </c>
      <c r="AH452" s="51">
        <f>COUNTIFS(Z:Z,Z452,AG:AG,AG452)</f>
        <v>5</v>
      </c>
      <c r="AI452" s="49">
        <f t="shared" si="23"/>
        <v>0</v>
      </c>
    </row>
    <row r="453" spans="1:35" ht="15" x14ac:dyDescent="0.2">
      <c r="A453" s="193" t="s">
        <v>2019</v>
      </c>
      <c r="B453" s="146" t="s">
        <v>668</v>
      </c>
      <c r="C453" s="193" t="s">
        <v>2019</v>
      </c>
      <c r="D453" s="192" t="s">
        <v>1716</v>
      </c>
      <c r="E453" s="146" t="s">
        <v>670</v>
      </c>
      <c r="F453" s="146" t="s">
        <v>671</v>
      </c>
      <c r="G453" s="146" t="s">
        <v>672</v>
      </c>
      <c r="H453" s="148">
        <v>0.81</v>
      </c>
      <c r="I453" s="146" t="s">
        <v>673</v>
      </c>
      <c r="J453" s="149">
        <v>1</v>
      </c>
      <c r="K453" s="150">
        <v>2021</v>
      </c>
      <c r="L453" s="197" t="s">
        <v>2020</v>
      </c>
      <c r="M453" s="197" t="s">
        <v>2021</v>
      </c>
      <c r="N453" s="198"/>
      <c r="O453" s="196"/>
      <c r="P453" s="193" t="s">
        <v>676</v>
      </c>
      <c r="Q453" s="193"/>
      <c r="R453" s="155">
        <v>8</v>
      </c>
      <c r="S453" s="168"/>
      <c r="T453" s="168"/>
      <c r="U453" s="146"/>
      <c r="V453" s="146"/>
      <c r="W453" s="146"/>
      <c r="X453" s="156">
        <v>0</v>
      </c>
      <c r="Y453" s="156">
        <v>0</v>
      </c>
      <c r="Z453" s="157" t="s">
        <v>1454</v>
      </c>
      <c r="AA453" s="174">
        <v>2021</v>
      </c>
      <c r="AB453" s="175">
        <v>9</v>
      </c>
      <c r="AC453" s="175">
        <v>17</v>
      </c>
      <c r="AD453" s="122" t="b">
        <f>IF(ISBLANK(GroupMember[[#This Row],[1. Identifiant interne d’exploitation agricole*]]),"",IF(ISERROR(MATCH(GroupMember[[#This Row],[1. Identifiant interne d’exploitation agricole*]],CertifiedCrop[1. Identifiant interne d’exploitation agricole*],0)),FALSE,TRUE))</f>
        <v>1</v>
      </c>
      <c r="AE453" s="122" t="b">
        <f>IF(ISBLANK(GroupMember[[#This Row],[1. Identifiant interne d’exploitation agricole*]]),"",IF(ISERROR(MATCH(GroupMember[[#This Row],[1. Identifiant interne d’exploitation agricole*]],FarmUnit[1. Identifiant interne d’exploitation agricole*],0)),FALSE,TRUE))</f>
        <v>1</v>
      </c>
      <c r="AF453" s="9" t="str">
        <f t="shared" si="21"/>
        <v>TOUA  GEROME</v>
      </c>
      <c r="AG453" s="243" t="str">
        <f t="shared" si="22"/>
        <v>17/9/2021</v>
      </c>
      <c r="AH453" s="51">
        <f>COUNTIFS(Z:Z,Z453,AG:AG,AG453)</f>
        <v>5</v>
      </c>
      <c r="AI453" s="49">
        <f t="shared" si="23"/>
        <v>0</v>
      </c>
    </row>
    <row r="454" spans="1:35" ht="15" x14ac:dyDescent="0.2">
      <c r="A454" s="193" t="s">
        <v>2022</v>
      </c>
      <c r="B454" s="146" t="s">
        <v>668</v>
      </c>
      <c r="C454" s="193" t="s">
        <v>2022</v>
      </c>
      <c r="D454" s="192" t="s">
        <v>1716</v>
      </c>
      <c r="E454" s="146" t="s">
        <v>670</v>
      </c>
      <c r="F454" s="146" t="s">
        <v>671</v>
      </c>
      <c r="G454" s="146" t="s">
        <v>672</v>
      </c>
      <c r="H454" s="148">
        <v>1.45</v>
      </c>
      <c r="I454" s="146" t="s">
        <v>673</v>
      </c>
      <c r="J454" s="149">
        <v>1</v>
      </c>
      <c r="K454" s="150">
        <v>2021</v>
      </c>
      <c r="L454" s="197" t="s">
        <v>1403</v>
      </c>
      <c r="M454" s="197" t="s">
        <v>1187</v>
      </c>
      <c r="N454" s="198"/>
      <c r="O454" s="196"/>
      <c r="P454" s="193" t="s">
        <v>676</v>
      </c>
      <c r="Q454" s="193"/>
      <c r="R454" s="155">
        <v>5</v>
      </c>
      <c r="S454" s="168"/>
      <c r="T454" s="168"/>
      <c r="U454" s="146"/>
      <c r="V454" s="146"/>
      <c r="W454" s="146"/>
      <c r="X454" s="156">
        <v>0</v>
      </c>
      <c r="Y454" s="156">
        <v>0</v>
      </c>
      <c r="Z454" s="157" t="s">
        <v>1454</v>
      </c>
      <c r="AA454" s="174">
        <v>2021</v>
      </c>
      <c r="AB454" s="175">
        <v>9</v>
      </c>
      <c r="AC454" s="175">
        <v>2</v>
      </c>
      <c r="AD454" s="122" t="b">
        <f>IF(ISBLANK(GroupMember[[#This Row],[1. Identifiant interne d’exploitation agricole*]]),"",IF(ISERROR(MATCH(GroupMember[[#This Row],[1. Identifiant interne d’exploitation agricole*]],CertifiedCrop[1. Identifiant interne d’exploitation agricole*],0)),FALSE,TRUE))</f>
        <v>1</v>
      </c>
      <c r="AE454" s="122" t="b">
        <f>IF(ISBLANK(GroupMember[[#This Row],[1. Identifiant interne d’exploitation agricole*]]),"",IF(ISERROR(MATCH(GroupMember[[#This Row],[1. Identifiant interne d’exploitation agricole*]],FarmUnit[1. Identifiant interne d’exploitation agricole*],0)),FALSE,TRUE))</f>
        <v>1</v>
      </c>
      <c r="AF454" s="9" t="str">
        <f t="shared" si="21"/>
        <v>DOUEU  SYLVAIN</v>
      </c>
      <c r="AG454" s="243" t="str">
        <f t="shared" si="22"/>
        <v>2/9/2021</v>
      </c>
      <c r="AH454" s="51">
        <f>COUNTIFS(Z:Z,Z454,AG:AG,AG454)</f>
        <v>4</v>
      </c>
      <c r="AI454" s="49">
        <f t="shared" si="23"/>
        <v>0</v>
      </c>
    </row>
    <row r="455" spans="1:35" ht="15" x14ac:dyDescent="0.2">
      <c r="A455" s="193" t="s">
        <v>2023</v>
      </c>
      <c r="B455" s="146" t="s">
        <v>668</v>
      </c>
      <c r="C455" s="193" t="s">
        <v>2023</v>
      </c>
      <c r="D455" s="192" t="s">
        <v>1716</v>
      </c>
      <c r="E455" s="146" t="s">
        <v>670</v>
      </c>
      <c r="F455" s="146" t="s">
        <v>671</v>
      </c>
      <c r="G455" s="146" t="s">
        <v>672</v>
      </c>
      <c r="H455" s="148">
        <v>1.84</v>
      </c>
      <c r="I455" s="146" t="s">
        <v>673</v>
      </c>
      <c r="J455" s="149">
        <v>1</v>
      </c>
      <c r="K455" s="150">
        <v>2021</v>
      </c>
      <c r="L455" s="197" t="s">
        <v>790</v>
      </c>
      <c r="M455" s="197" t="s">
        <v>2024</v>
      </c>
      <c r="N455" s="198"/>
      <c r="O455" s="196"/>
      <c r="P455" s="193" t="s">
        <v>676</v>
      </c>
      <c r="Q455" s="193"/>
      <c r="R455" s="155">
        <v>5</v>
      </c>
      <c r="S455" s="168"/>
      <c r="T455" s="168"/>
      <c r="U455" s="146"/>
      <c r="V455" s="146"/>
      <c r="W455" s="146"/>
      <c r="X455" s="156">
        <v>0</v>
      </c>
      <c r="Y455" s="156">
        <v>0</v>
      </c>
      <c r="Z455" s="157" t="s">
        <v>1454</v>
      </c>
      <c r="AA455" s="174">
        <v>2021</v>
      </c>
      <c r="AB455" s="175">
        <v>9</v>
      </c>
      <c r="AC455" s="175">
        <v>13</v>
      </c>
      <c r="AD455" s="122" t="b">
        <f>IF(ISBLANK(GroupMember[[#This Row],[1. Identifiant interne d’exploitation agricole*]]),"",IF(ISERROR(MATCH(GroupMember[[#This Row],[1. Identifiant interne d’exploitation agricole*]],CertifiedCrop[1. Identifiant interne d’exploitation agricole*],0)),FALSE,TRUE))</f>
        <v>1</v>
      </c>
      <c r="AE455" s="122" t="b">
        <f>IF(ISBLANK(GroupMember[[#This Row],[1. Identifiant interne d’exploitation agricole*]]),"",IF(ISERROR(MATCH(GroupMember[[#This Row],[1. Identifiant interne d’exploitation agricole*]],FarmUnit[1. Identifiant interne d’exploitation agricole*],0)),FALSE,TRUE))</f>
        <v>1</v>
      </c>
      <c r="AF455" s="9" t="str">
        <f t="shared" si="21"/>
        <v xml:space="preserve">KOYA  TOPE LAMBERT </v>
      </c>
      <c r="AG455" s="243" t="str">
        <f t="shared" si="22"/>
        <v>13/9/2021</v>
      </c>
      <c r="AH455" s="51">
        <f>COUNTIFS(Z:Z,Z455,AG:AG,AG455)</f>
        <v>5</v>
      </c>
      <c r="AI455" s="49">
        <f t="shared" si="23"/>
        <v>0</v>
      </c>
    </row>
    <row r="456" spans="1:35" ht="15" x14ac:dyDescent="0.2">
      <c r="A456" s="193" t="s">
        <v>2025</v>
      </c>
      <c r="B456" s="146" t="s">
        <v>668</v>
      </c>
      <c r="C456" s="193" t="s">
        <v>2025</v>
      </c>
      <c r="D456" s="192" t="s">
        <v>1716</v>
      </c>
      <c r="E456" s="146" t="s">
        <v>670</v>
      </c>
      <c r="F456" s="146" t="s">
        <v>671</v>
      </c>
      <c r="G456" s="146" t="s">
        <v>672</v>
      </c>
      <c r="H456" s="148">
        <v>2.44</v>
      </c>
      <c r="I456" s="146" t="s">
        <v>673</v>
      </c>
      <c r="J456" s="149">
        <v>1</v>
      </c>
      <c r="K456" s="150">
        <v>2021</v>
      </c>
      <c r="L456" s="197" t="s">
        <v>790</v>
      </c>
      <c r="M456" s="197" t="s">
        <v>2026</v>
      </c>
      <c r="N456" s="198"/>
      <c r="O456" s="196"/>
      <c r="P456" s="193" t="s">
        <v>676</v>
      </c>
      <c r="Q456" s="193"/>
      <c r="R456" s="155">
        <v>5</v>
      </c>
      <c r="S456" s="168"/>
      <c r="T456" s="168"/>
      <c r="U456" s="146"/>
      <c r="V456" s="146"/>
      <c r="W456" s="146"/>
      <c r="X456" s="156">
        <v>0</v>
      </c>
      <c r="Y456" s="156">
        <v>0</v>
      </c>
      <c r="Z456" s="157" t="s">
        <v>1454</v>
      </c>
      <c r="AA456" s="174">
        <v>2021</v>
      </c>
      <c r="AB456" s="175">
        <v>9</v>
      </c>
      <c r="AC456" s="175">
        <v>17</v>
      </c>
      <c r="AD456" s="122" t="b">
        <f>IF(ISBLANK(GroupMember[[#This Row],[1. Identifiant interne d’exploitation agricole*]]),"",IF(ISERROR(MATCH(GroupMember[[#This Row],[1. Identifiant interne d’exploitation agricole*]],CertifiedCrop[1. Identifiant interne d’exploitation agricole*],0)),FALSE,TRUE))</f>
        <v>1</v>
      </c>
      <c r="AE456" s="122" t="b">
        <f>IF(ISBLANK(GroupMember[[#This Row],[1. Identifiant interne d’exploitation agricole*]]),"",IF(ISERROR(MATCH(GroupMember[[#This Row],[1. Identifiant interne d’exploitation agricole*]],FarmUnit[1. Identifiant interne d’exploitation agricole*],0)),FALSE,TRUE))</f>
        <v>1</v>
      </c>
      <c r="AF456" s="9" t="str">
        <f t="shared" si="21"/>
        <v>KOYA  KOUEGBE</v>
      </c>
      <c r="AG456" s="243" t="str">
        <f t="shared" si="22"/>
        <v>17/9/2021</v>
      </c>
      <c r="AH456" s="51">
        <f>COUNTIFS(Z:Z,Z456,AG:AG,AG456)</f>
        <v>5</v>
      </c>
      <c r="AI456" s="49">
        <f t="shared" si="23"/>
        <v>0</v>
      </c>
    </row>
    <row r="457" spans="1:35" ht="15" x14ac:dyDescent="0.2">
      <c r="A457" s="193" t="s">
        <v>2027</v>
      </c>
      <c r="B457" s="146" t="s">
        <v>668</v>
      </c>
      <c r="C457" s="193" t="s">
        <v>2027</v>
      </c>
      <c r="D457" s="192" t="s">
        <v>1716</v>
      </c>
      <c r="E457" s="146" t="s">
        <v>670</v>
      </c>
      <c r="F457" s="146" t="s">
        <v>671</v>
      </c>
      <c r="G457" s="146" t="s">
        <v>672</v>
      </c>
      <c r="H457" s="148">
        <v>1.0900000000000001</v>
      </c>
      <c r="I457" s="146" t="s">
        <v>673</v>
      </c>
      <c r="J457" s="149">
        <v>1</v>
      </c>
      <c r="K457" s="150">
        <v>2021</v>
      </c>
      <c r="L457" s="197" t="s">
        <v>2028</v>
      </c>
      <c r="M457" s="197" t="s">
        <v>2029</v>
      </c>
      <c r="N457" s="198" t="s">
        <v>2030</v>
      </c>
      <c r="O457" s="196"/>
      <c r="P457" s="193" t="s">
        <v>676</v>
      </c>
      <c r="Q457" s="193"/>
      <c r="R457" s="155">
        <v>4</v>
      </c>
      <c r="S457" s="168"/>
      <c r="T457" s="168"/>
      <c r="U457" s="146"/>
      <c r="V457" s="146"/>
      <c r="W457" s="146"/>
      <c r="X457" s="156">
        <v>0</v>
      </c>
      <c r="Y457" s="156">
        <v>0</v>
      </c>
      <c r="Z457" s="157" t="s">
        <v>1454</v>
      </c>
      <c r="AA457" s="174">
        <v>2021</v>
      </c>
      <c r="AB457" s="175">
        <v>9</v>
      </c>
      <c r="AC457" s="175">
        <v>8</v>
      </c>
      <c r="AD457" s="122" t="b">
        <f>IF(ISBLANK(GroupMember[[#This Row],[1. Identifiant interne d’exploitation agricole*]]),"",IF(ISERROR(MATCH(GroupMember[[#This Row],[1. Identifiant interne d’exploitation agricole*]],CertifiedCrop[1. Identifiant interne d’exploitation agricole*],0)),FALSE,TRUE))</f>
        <v>1</v>
      </c>
      <c r="AE457" s="122" t="b">
        <f>IF(ISBLANK(GroupMember[[#This Row],[1. Identifiant interne d’exploitation agricole*]]),"",IF(ISERROR(MATCH(GroupMember[[#This Row],[1. Identifiant interne d’exploitation agricole*]],FarmUnit[1. Identifiant interne d’exploitation agricole*],0)),FALSE,TRUE))</f>
        <v>1</v>
      </c>
      <c r="AF457" s="9" t="str">
        <f t="shared" si="21"/>
        <v>TOPE  CLAVER</v>
      </c>
      <c r="AG457" s="243" t="str">
        <f t="shared" si="22"/>
        <v>8/9/2021</v>
      </c>
      <c r="AH457" s="51">
        <f>COUNTIFS(Z:Z,Z457,AG:AG,AG457)</f>
        <v>5</v>
      </c>
      <c r="AI457" s="49">
        <f t="shared" si="23"/>
        <v>0</v>
      </c>
    </row>
    <row r="458" spans="1:35" ht="15" x14ac:dyDescent="0.2">
      <c r="A458" s="193" t="s">
        <v>2031</v>
      </c>
      <c r="B458" s="146" t="s">
        <v>668</v>
      </c>
      <c r="C458" s="193" t="s">
        <v>2031</v>
      </c>
      <c r="D458" s="192" t="s">
        <v>1716</v>
      </c>
      <c r="E458" s="146" t="s">
        <v>670</v>
      </c>
      <c r="F458" s="146" t="s">
        <v>671</v>
      </c>
      <c r="G458" s="146" t="s">
        <v>672</v>
      </c>
      <c r="H458" s="148">
        <v>2</v>
      </c>
      <c r="I458" s="146" t="s">
        <v>673</v>
      </c>
      <c r="J458" s="149">
        <v>1</v>
      </c>
      <c r="K458" s="150">
        <v>2021</v>
      </c>
      <c r="L458" s="197" t="s">
        <v>765</v>
      </c>
      <c r="M458" s="197" t="s">
        <v>2032</v>
      </c>
      <c r="N458" s="198"/>
      <c r="O458" s="196"/>
      <c r="P458" s="193" t="s">
        <v>676</v>
      </c>
      <c r="Q458" s="193"/>
      <c r="R458" s="155">
        <v>7</v>
      </c>
      <c r="S458" s="168"/>
      <c r="T458" s="168"/>
      <c r="U458" s="146"/>
      <c r="V458" s="146"/>
      <c r="W458" s="146"/>
      <c r="X458" s="156">
        <v>0</v>
      </c>
      <c r="Y458" s="156">
        <v>0</v>
      </c>
      <c r="Z458" s="157" t="s">
        <v>1454</v>
      </c>
      <c r="AA458" s="174">
        <v>2021</v>
      </c>
      <c r="AB458" s="175">
        <v>9</v>
      </c>
      <c r="AC458" s="175">
        <v>2</v>
      </c>
      <c r="AD458" s="122" t="b">
        <f>IF(ISBLANK(GroupMember[[#This Row],[1. Identifiant interne d’exploitation agricole*]]),"",IF(ISERROR(MATCH(GroupMember[[#This Row],[1. Identifiant interne d’exploitation agricole*]],CertifiedCrop[1. Identifiant interne d’exploitation agricole*],0)),FALSE,TRUE))</f>
        <v>1</v>
      </c>
      <c r="AE458" s="122" t="b">
        <f>IF(ISBLANK(GroupMember[[#This Row],[1. Identifiant interne d’exploitation agricole*]]),"",IF(ISERROR(MATCH(GroupMember[[#This Row],[1. Identifiant interne d’exploitation agricole*]],FarmUnit[1. Identifiant interne d’exploitation agricole*],0)),FALSE,TRUE))</f>
        <v>1</v>
      </c>
      <c r="AF458" s="9" t="str">
        <f t="shared" si="21"/>
        <v>KONE  OUMAR</v>
      </c>
      <c r="AG458" s="243" t="str">
        <f t="shared" si="22"/>
        <v>2/9/2021</v>
      </c>
      <c r="AH458" s="51">
        <f>COUNTIFS(Z:Z,Z458,AG:AG,AG458)</f>
        <v>4</v>
      </c>
      <c r="AI458" s="49">
        <f t="shared" si="23"/>
        <v>0</v>
      </c>
    </row>
    <row r="459" spans="1:35" ht="15" x14ac:dyDescent="0.2">
      <c r="A459" s="193" t="s">
        <v>2033</v>
      </c>
      <c r="B459" s="146" t="s">
        <v>668</v>
      </c>
      <c r="C459" s="193" t="s">
        <v>2033</v>
      </c>
      <c r="D459" s="192" t="s">
        <v>1716</v>
      </c>
      <c r="E459" s="146" t="s">
        <v>670</v>
      </c>
      <c r="F459" s="146" t="s">
        <v>671</v>
      </c>
      <c r="G459" s="146" t="s">
        <v>672</v>
      </c>
      <c r="H459" s="148">
        <v>1.34</v>
      </c>
      <c r="I459" s="146" t="s">
        <v>673</v>
      </c>
      <c r="J459" s="149">
        <v>1</v>
      </c>
      <c r="K459" s="150">
        <v>2021</v>
      </c>
      <c r="L459" s="197" t="s">
        <v>1210</v>
      </c>
      <c r="M459" s="197" t="s">
        <v>2034</v>
      </c>
      <c r="N459" s="198"/>
      <c r="O459" s="196"/>
      <c r="P459" s="193" t="s">
        <v>676</v>
      </c>
      <c r="Q459" s="193"/>
      <c r="R459" s="155">
        <v>5</v>
      </c>
      <c r="S459" s="168"/>
      <c r="T459" s="168"/>
      <c r="U459" s="146"/>
      <c r="V459" s="146"/>
      <c r="W459" s="146"/>
      <c r="X459" s="156">
        <v>0</v>
      </c>
      <c r="Y459" s="156">
        <v>0</v>
      </c>
      <c r="Z459" s="157" t="s">
        <v>1454</v>
      </c>
      <c r="AA459" s="174">
        <v>2021</v>
      </c>
      <c r="AB459" s="175">
        <v>9</v>
      </c>
      <c r="AC459" s="175">
        <v>16</v>
      </c>
      <c r="AD459" s="122" t="b">
        <f>IF(ISBLANK(GroupMember[[#This Row],[1. Identifiant interne d’exploitation agricole*]]),"",IF(ISERROR(MATCH(GroupMember[[#This Row],[1. Identifiant interne d’exploitation agricole*]],CertifiedCrop[1. Identifiant interne d’exploitation agricole*],0)),FALSE,TRUE))</f>
        <v>1</v>
      </c>
      <c r="AE459" s="122" t="b">
        <f>IF(ISBLANK(GroupMember[[#This Row],[1. Identifiant interne d’exploitation agricole*]]),"",IF(ISERROR(MATCH(GroupMember[[#This Row],[1. Identifiant interne d’exploitation agricole*]],FarmUnit[1. Identifiant interne d’exploitation agricole*],0)),FALSE,TRUE))</f>
        <v>1</v>
      </c>
      <c r="AF459" s="9" t="str">
        <f t="shared" si="21"/>
        <v>DEA  PACOME</v>
      </c>
      <c r="AG459" s="243" t="str">
        <f t="shared" si="22"/>
        <v>16/9/2021</v>
      </c>
      <c r="AH459" s="51">
        <f>COUNTIFS(Z:Z,Z459,AG:AG,AG459)</f>
        <v>5</v>
      </c>
      <c r="AI459" s="49">
        <f t="shared" si="23"/>
        <v>0</v>
      </c>
    </row>
    <row r="460" spans="1:35" ht="15" x14ac:dyDescent="0.2">
      <c r="A460" s="193" t="s">
        <v>2035</v>
      </c>
      <c r="B460" s="146" t="s">
        <v>668</v>
      </c>
      <c r="C460" s="193" t="s">
        <v>2035</v>
      </c>
      <c r="D460" s="192" t="s">
        <v>1716</v>
      </c>
      <c r="E460" s="146" t="s">
        <v>670</v>
      </c>
      <c r="F460" s="146" t="s">
        <v>671</v>
      </c>
      <c r="G460" s="146" t="s">
        <v>672</v>
      </c>
      <c r="H460" s="148">
        <v>1.79</v>
      </c>
      <c r="I460" s="146" t="s">
        <v>673</v>
      </c>
      <c r="J460" s="149">
        <v>1</v>
      </c>
      <c r="K460" s="150">
        <v>2021</v>
      </c>
      <c r="L460" s="197" t="s">
        <v>2036</v>
      </c>
      <c r="M460" s="197" t="s">
        <v>2037</v>
      </c>
      <c r="N460" s="198" t="s">
        <v>2038</v>
      </c>
      <c r="O460" s="196"/>
      <c r="P460" s="193" t="s">
        <v>676</v>
      </c>
      <c r="Q460" s="193"/>
      <c r="R460" s="155">
        <v>4</v>
      </c>
      <c r="S460" s="168"/>
      <c r="T460" s="168"/>
      <c r="U460" s="146"/>
      <c r="V460" s="146"/>
      <c r="W460" s="146"/>
      <c r="X460" s="156">
        <v>0</v>
      </c>
      <c r="Y460" s="156">
        <v>0</v>
      </c>
      <c r="Z460" s="157" t="s">
        <v>1454</v>
      </c>
      <c r="AA460" s="174">
        <v>2021</v>
      </c>
      <c r="AB460" s="175">
        <v>9</v>
      </c>
      <c r="AC460" s="175">
        <v>17</v>
      </c>
      <c r="AD460" s="122" t="b">
        <f>IF(ISBLANK(GroupMember[[#This Row],[1. Identifiant interne d’exploitation agricole*]]),"",IF(ISERROR(MATCH(GroupMember[[#This Row],[1. Identifiant interne d’exploitation agricole*]],CertifiedCrop[1. Identifiant interne d’exploitation agricole*],0)),FALSE,TRUE))</f>
        <v>1</v>
      </c>
      <c r="AE460" s="122" t="b">
        <f>IF(ISBLANK(GroupMember[[#This Row],[1. Identifiant interne d’exploitation agricole*]]),"",IF(ISERROR(MATCH(GroupMember[[#This Row],[1. Identifiant interne d’exploitation agricole*]],FarmUnit[1. Identifiant interne d’exploitation agricole*],0)),FALSE,TRUE))</f>
        <v>1</v>
      </c>
      <c r="AF460" s="9" t="str">
        <f t="shared" si="21"/>
        <v>BIBOU BLAISE</v>
      </c>
      <c r="AG460" s="243" t="str">
        <f t="shared" si="22"/>
        <v>17/9/2021</v>
      </c>
      <c r="AH460" s="51">
        <f>COUNTIFS(Z:Z,Z460,AG:AG,AG460)</f>
        <v>5</v>
      </c>
      <c r="AI460" s="49">
        <f t="shared" si="23"/>
        <v>0</v>
      </c>
    </row>
    <row r="461" spans="1:35" ht="15" x14ac:dyDescent="0.2">
      <c r="A461" s="193" t="s">
        <v>2039</v>
      </c>
      <c r="B461" s="146" t="s">
        <v>668</v>
      </c>
      <c r="C461" s="193" t="s">
        <v>2039</v>
      </c>
      <c r="D461" s="192" t="s">
        <v>1716</v>
      </c>
      <c r="E461" s="146" t="s">
        <v>670</v>
      </c>
      <c r="F461" s="146" t="s">
        <v>671</v>
      </c>
      <c r="G461" s="146" t="s">
        <v>672</v>
      </c>
      <c r="H461" s="148">
        <v>1.66</v>
      </c>
      <c r="I461" s="146" t="s">
        <v>673</v>
      </c>
      <c r="J461" s="149">
        <v>1</v>
      </c>
      <c r="K461" s="150">
        <v>2021</v>
      </c>
      <c r="L461" s="197" t="s">
        <v>2040</v>
      </c>
      <c r="M461" s="197" t="s">
        <v>2041</v>
      </c>
      <c r="N461" s="198" t="s">
        <v>2042</v>
      </c>
      <c r="O461" s="196"/>
      <c r="P461" s="193" t="s">
        <v>676</v>
      </c>
      <c r="Q461" s="193"/>
      <c r="R461" s="155">
        <v>6</v>
      </c>
      <c r="S461" s="168"/>
      <c r="T461" s="168"/>
      <c r="U461" s="146"/>
      <c r="V461" s="146"/>
      <c r="W461" s="146"/>
      <c r="X461" s="156">
        <v>0</v>
      </c>
      <c r="Y461" s="156">
        <v>0</v>
      </c>
      <c r="Z461" s="157" t="s">
        <v>1454</v>
      </c>
      <c r="AA461" s="174">
        <v>2021</v>
      </c>
      <c r="AB461" s="175">
        <v>9</v>
      </c>
      <c r="AC461" s="175">
        <v>7</v>
      </c>
      <c r="AD461" s="122" t="b">
        <f>IF(ISBLANK(GroupMember[[#This Row],[1. Identifiant interne d’exploitation agricole*]]),"",IF(ISERROR(MATCH(GroupMember[[#This Row],[1. Identifiant interne d’exploitation agricole*]],CertifiedCrop[1. Identifiant interne d’exploitation agricole*],0)),FALSE,TRUE))</f>
        <v>1</v>
      </c>
      <c r="AE461" s="122" t="b">
        <f>IF(ISBLANK(GroupMember[[#This Row],[1. Identifiant interne d’exploitation agricole*]]),"",IF(ISERROR(MATCH(GroupMember[[#This Row],[1. Identifiant interne d’exploitation agricole*]],FarmUnit[1. Identifiant interne d’exploitation agricole*],0)),FALSE,TRUE))</f>
        <v>1</v>
      </c>
      <c r="AF461" s="9" t="str">
        <f t="shared" si="21"/>
        <v>ILBOUDO  GREGOIRE</v>
      </c>
      <c r="AG461" s="243" t="str">
        <f t="shared" si="22"/>
        <v>7/9/2021</v>
      </c>
      <c r="AH461" s="51">
        <f>COUNTIFS(Z:Z,Z461,AG:AG,AG461)</f>
        <v>4</v>
      </c>
      <c r="AI461" s="49">
        <f t="shared" si="23"/>
        <v>0</v>
      </c>
    </row>
    <row r="462" spans="1:35" ht="15" x14ac:dyDescent="0.2">
      <c r="A462" s="193" t="s">
        <v>2043</v>
      </c>
      <c r="B462" s="146" t="s">
        <v>668</v>
      </c>
      <c r="C462" s="193" t="s">
        <v>2043</v>
      </c>
      <c r="D462" s="192" t="s">
        <v>1716</v>
      </c>
      <c r="E462" s="146" t="s">
        <v>670</v>
      </c>
      <c r="F462" s="146" t="s">
        <v>671</v>
      </c>
      <c r="G462" s="146" t="s">
        <v>672</v>
      </c>
      <c r="H462" s="148">
        <v>1.33</v>
      </c>
      <c r="I462" s="146" t="s">
        <v>673</v>
      </c>
      <c r="J462" s="149">
        <v>1</v>
      </c>
      <c r="K462" s="150">
        <v>2021</v>
      </c>
      <c r="L462" s="197" t="s">
        <v>2044</v>
      </c>
      <c r="M462" s="197" t="s">
        <v>2045</v>
      </c>
      <c r="N462" s="198"/>
      <c r="O462" s="196"/>
      <c r="P462" s="193" t="s">
        <v>751</v>
      </c>
      <c r="Q462" s="193"/>
      <c r="R462" s="155">
        <v>5</v>
      </c>
      <c r="S462" s="168"/>
      <c r="T462" s="168"/>
      <c r="U462" s="146"/>
      <c r="V462" s="146"/>
      <c r="W462" s="146"/>
      <c r="X462" s="156">
        <v>0</v>
      </c>
      <c r="Y462" s="156">
        <v>0</v>
      </c>
      <c r="Z462" s="157" t="s">
        <v>1454</v>
      </c>
      <c r="AA462" s="174">
        <v>2021</v>
      </c>
      <c r="AB462" s="175">
        <v>9</v>
      </c>
      <c r="AC462" s="175">
        <v>16</v>
      </c>
      <c r="AD462" s="122" t="b">
        <f>IF(ISBLANK(GroupMember[[#This Row],[1. Identifiant interne d’exploitation agricole*]]),"",IF(ISERROR(MATCH(GroupMember[[#This Row],[1. Identifiant interne d’exploitation agricole*]],CertifiedCrop[1. Identifiant interne d’exploitation agricole*],0)),FALSE,TRUE))</f>
        <v>1</v>
      </c>
      <c r="AE462" s="122" t="b">
        <f>IF(ISBLANK(GroupMember[[#This Row],[1. Identifiant interne d’exploitation agricole*]]),"",IF(ISERROR(MATCH(GroupMember[[#This Row],[1. Identifiant interne d’exploitation agricole*]],FarmUnit[1. Identifiant interne d’exploitation agricole*],0)),FALSE,TRUE))</f>
        <v>1</v>
      </c>
      <c r="AF462" s="9" t="str">
        <f t="shared" si="21"/>
        <v>KOUA ZE MARIE</v>
      </c>
      <c r="AG462" s="243" t="str">
        <f t="shared" si="22"/>
        <v>16/9/2021</v>
      </c>
      <c r="AH462" s="51">
        <f>COUNTIFS(Z:Z,Z462,AG:AG,AG462)</f>
        <v>5</v>
      </c>
      <c r="AI462" s="49">
        <f t="shared" si="23"/>
        <v>0</v>
      </c>
    </row>
    <row r="463" spans="1:35" ht="15" x14ac:dyDescent="0.2">
      <c r="A463" s="193" t="s">
        <v>2046</v>
      </c>
      <c r="B463" s="146" t="s">
        <v>668</v>
      </c>
      <c r="C463" s="193" t="s">
        <v>2046</v>
      </c>
      <c r="D463" s="192" t="s">
        <v>1716</v>
      </c>
      <c r="E463" s="146" t="s">
        <v>670</v>
      </c>
      <c r="F463" s="146" t="s">
        <v>671</v>
      </c>
      <c r="G463" s="146" t="s">
        <v>672</v>
      </c>
      <c r="H463" s="148">
        <v>1.97</v>
      </c>
      <c r="I463" s="146" t="s">
        <v>673</v>
      </c>
      <c r="J463" s="149">
        <v>1</v>
      </c>
      <c r="K463" s="150">
        <v>2021</v>
      </c>
      <c r="L463" s="197" t="s">
        <v>925</v>
      </c>
      <c r="M463" s="197" t="s">
        <v>2047</v>
      </c>
      <c r="N463" s="198"/>
      <c r="O463" s="196"/>
      <c r="P463" s="193" t="s">
        <v>676</v>
      </c>
      <c r="Q463" s="193"/>
      <c r="R463" s="155">
        <v>8</v>
      </c>
      <c r="S463" s="168"/>
      <c r="T463" s="168"/>
      <c r="U463" s="146"/>
      <c r="V463" s="146"/>
      <c r="W463" s="146"/>
      <c r="X463" s="156">
        <v>0</v>
      </c>
      <c r="Y463" s="156">
        <v>0</v>
      </c>
      <c r="Z463" s="157" t="s">
        <v>1454</v>
      </c>
      <c r="AA463" s="174">
        <v>2021</v>
      </c>
      <c r="AB463" s="175">
        <v>9</v>
      </c>
      <c r="AC463" s="175">
        <v>13</v>
      </c>
      <c r="AD463" s="122" t="b">
        <f>IF(ISBLANK(GroupMember[[#This Row],[1. Identifiant interne d’exploitation agricole*]]),"",IF(ISERROR(MATCH(GroupMember[[#This Row],[1. Identifiant interne d’exploitation agricole*]],CertifiedCrop[1. Identifiant interne d’exploitation agricole*],0)),FALSE,TRUE))</f>
        <v>1</v>
      </c>
      <c r="AE463" s="122" t="b">
        <f>IF(ISBLANK(GroupMember[[#This Row],[1. Identifiant interne d’exploitation agricole*]]),"",IF(ISERROR(MATCH(GroupMember[[#This Row],[1. Identifiant interne d’exploitation agricole*]],FarmUnit[1. Identifiant interne d’exploitation agricole*],0)),FALSE,TRUE))</f>
        <v>1</v>
      </c>
      <c r="AF463" s="9" t="str">
        <f t="shared" si="21"/>
        <v>KPAN  PRIVAT</v>
      </c>
      <c r="AG463" s="243" t="str">
        <f t="shared" si="22"/>
        <v>13/9/2021</v>
      </c>
      <c r="AH463" s="51">
        <f>COUNTIFS(Z:Z,Z463,AG:AG,AG463)</f>
        <v>5</v>
      </c>
      <c r="AI463" s="49">
        <f t="shared" si="23"/>
        <v>0</v>
      </c>
    </row>
    <row r="464" spans="1:35" ht="15" x14ac:dyDescent="0.2">
      <c r="A464" s="193" t="s">
        <v>2048</v>
      </c>
      <c r="B464" s="146" t="s">
        <v>668</v>
      </c>
      <c r="C464" s="193" t="s">
        <v>2048</v>
      </c>
      <c r="D464" s="192" t="s">
        <v>1716</v>
      </c>
      <c r="E464" s="146" t="s">
        <v>670</v>
      </c>
      <c r="F464" s="146" t="s">
        <v>671</v>
      </c>
      <c r="G464" s="146" t="s">
        <v>672</v>
      </c>
      <c r="H464" s="148">
        <v>3.27</v>
      </c>
      <c r="I464" s="146" t="s">
        <v>673</v>
      </c>
      <c r="J464" s="149">
        <v>1</v>
      </c>
      <c r="K464" s="150">
        <v>2021</v>
      </c>
      <c r="L464" s="197" t="s">
        <v>2049</v>
      </c>
      <c r="M464" s="197" t="s">
        <v>2050</v>
      </c>
      <c r="N464" s="198" t="s">
        <v>2051</v>
      </c>
      <c r="O464" s="196"/>
      <c r="P464" s="193" t="s">
        <v>676</v>
      </c>
      <c r="Q464" s="193"/>
      <c r="R464" s="155">
        <v>7</v>
      </c>
      <c r="S464" s="168"/>
      <c r="T464" s="168"/>
      <c r="U464" s="146"/>
      <c r="V464" s="146"/>
      <c r="W464" s="146"/>
      <c r="X464" s="156">
        <v>0</v>
      </c>
      <c r="Y464" s="156">
        <v>0</v>
      </c>
      <c r="Z464" s="157" t="s">
        <v>1454</v>
      </c>
      <c r="AA464" s="174">
        <v>2021</v>
      </c>
      <c r="AB464" s="175">
        <v>9</v>
      </c>
      <c r="AC464" s="175">
        <v>6</v>
      </c>
      <c r="AD464" s="122" t="b">
        <f>IF(ISBLANK(GroupMember[[#This Row],[1. Identifiant interne d’exploitation agricole*]]),"",IF(ISERROR(MATCH(GroupMember[[#This Row],[1. Identifiant interne d’exploitation agricole*]],CertifiedCrop[1. Identifiant interne d’exploitation agricole*],0)),FALSE,TRUE))</f>
        <v>1</v>
      </c>
      <c r="AE464" s="122" t="b">
        <f>IF(ISBLANK(GroupMember[[#This Row],[1. Identifiant interne d’exploitation agricole*]]),"",IF(ISERROR(MATCH(GroupMember[[#This Row],[1. Identifiant interne d’exploitation agricole*]],FarmUnit[1. Identifiant interne d’exploitation agricole*],0)),FALSE,TRUE))</f>
        <v>1</v>
      </c>
      <c r="AF464" s="9" t="str">
        <f t="shared" si="21"/>
        <v>DEHI  HERVE</v>
      </c>
      <c r="AG464" s="243" t="str">
        <f t="shared" si="22"/>
        <v>6/9/2021</v>
      </c>
      <c r="AH464" s="51">
        <f>COUNTIFS(Z:Z,Z464,AG:AG,AG464)</f>
        <v>4</v>
      </c>
      <c r="AI464" s="49">
        <f t="shared" si="23"/>
        <v>0</v>
      </c>
    </row>
    <row r="465" spans="1:35" ht="15" x14ac:dyDescent="0.2">
      <c r="A465" s="193" t="s">
        <v>2052</v>
      </c>
      <c r="B465" s="146" t="s">
        <v>668</v>
      </c>
      <c r="C465" s="193" t="s">
        <v>2052</v>
      </c>
      <c r="D465" s="192" t="s">
        <v>1716</v>
      </c>
      <c r="E465" s="146" t="s">
        <v>670</v>
      </c>
      <c r="F465" s="146" t="s">
        <v>671</v>
      </c>
      <c r="G465" s="146" t="s">
        <v>672</v>
      </c>
      <c r="H465" s="148">
        <v>5.31</v>
      </c>
      <c r="I465" s="146" t="s">
        <v>673</v>
      </c>
      <c r="J465" s="149">
        <v>1</v>
      </c>
      <c r="K465" s="150">
        <v>2021</v>
      </c>
      <c r="L465" s="197" t="s">
        <v>2049</v>
      </c>
      <c r="M465" s="197" t="s">
        <v>2053</v>
      </c>
      <c r="N465" s="198"/>
      <c r="O465" s="196"/>
      <c r="P465" s="193" t="s">
        <v>676</v>
      </c>
      <c r="Q465" s="193"/>
      <c r="R465" s="155">
        <v>9</v>
      </c>
      <c r="S465" s="168"/>
      <c r="T465" s="168"/>
      <c r="U465" s="146"/>
      <c r="V465" s="146"/>
      <c r="W465" s="146"/>
      <c r="X465" s="156">
        <v>0</v>
      </c>
      <c r="Y465" s="156">
        <v>0</v>
      </c>
      <c r="Z465" s="157" t="s">
        <v>1454</v>
      </c>
      <c r="AA465" s="174">
        <v>2021</v>
      </c>
      <c r="AB465" s="175">
        <v>9</v>
      </c>
      <c r="AC465" s="175">
        <v>11</v>
      </c>
      <c r="AD465" s="122" t="b">
        <f>IF(ISBLANK(GroupMember[[#This Row],[1. Identifiant interne d’exploitation agricole*]]),"",IF(ISERROR(MATCH(GroupMember[[#This Row],[1. Identifiant interne d’exploitation agricole*]],CertifiedCrop[1. Identifiant interne d’exploitation agricole*],0)),FALSE,TRUE))</f>
        <v>1</v>
      </c>
      <c r="AE465" s="122" t="b">
        <f>IF(ISBLANK(GroupMember[[#This Row],[1. Identifiant interne d’exploitation agricole*]]),"",IF(ISERROR(MATCH(GroupMember[[#This Row],[1. Identifiant interne d’exploitation agricole*]],FarmUnit[1. Identifiant interne d’exploitation agricole*],0)),FALSE,TRUE))</f>
        <v>1</v>
      </c>
      <c r="AF465" s="9" t="str">
        <f t="shared" si="21"/>
        <v>DEHI  FRANCIS</v>
      </c>
      <c r="AG465" s="243" t="str">
        <f t="shared" si="22"/>
        <v>11/9/2021</v>
      </c>
      <c r="AH465" s="51">
        <f>COUNTIFS(Z:Z,Z465,AG:AG,AG465)</f>
        <v>5</v>
      </c>
      <c r="AI465" s="49">
        <f t="shared" si="23"/>
        <v>0</v>
      </c>
    </row>
    <row r="466" spans="1:35" ht="15" x14ac:dyDescent="0.2">
      <c r="A466" s="193" t="s">
        <v>2054</v>
      </c>
      <c r="B466" s="146" t="s">
        <v>668</v>
      </c>
      <c r="C466" s="193" t="s">
        <v>2054</v>
      </c>
      <c r="D466" s="192" t="s">
        <v>1716</v>
      </c>
      <c r="E466" s="146" t="s">
        <v>670</v>
      </c>
      <c r="F466" s="146" t="s">
        <v>671</v>
      </c>
      <c r="G466" s="146" t="s">
        <v>672</v>
      </c>
      <c r="H466" s="148">
        <v>4.1900000000000004</v>
      </c>
      <c r="I466" s="146" t="s">
        <v>673</v>
      </c>
      <c r="J466" s="149">
        <v>1</v>
      </c>
      <c r="K466" s="150">
        <v>2021</v>
      </c>
      <c r="L466" s="197" t="s">
        <v>2049</v>
      </c>
      <c r="M466" s="197" t="s">
        <v>2055</v>
      </c>
      <c r="N466" s="198"/>
      <c r="O466" s="196"/>
      <c r="P466" s="193" t="s">
        <v>676</v>
      </c>
      <c r="Q466" s="193"/>
      <c r="R466" s="155">
        <v>6</v>
      </c>
      <c r="S466" s="168"/>
      <c r="T466" s="168"/>
      <c r="U466" s="146"/>
      <c r="V466" s="146"/>
      <c r="W466" s="146"/>
      <c r="X466" s="156">
        <v>0</v>
      </c>
      <c r="Y466" s="156">
        <v>0</v>
      </c>
      <c r="Z466" s="157" t="s">
        <v>1454</v>
      </c>
      <c r="AA466" s="174">
        <v>2021</v>
      </c>
      <c r="AB466" s="175">
        <v>9</v>
      </c>
      <c r="AC466" s="175">
        <v>7</v>
      </c>
      <c r="AD466" s="122" t="b">
        <f>IF(ISBLANK(GroupMember[[#This Row],[1. Identifiant interne d’exploitation agricole*]]),"",IF(ISERROR(MATCH(GroupMember[[#This Row],[1. Identifiant interne d’exploitation agricole*]],CertifiedCrop[1. Identifiant interne d’exploitation agricole*],0)),FALSE,TRUE))</f>
        <v>1</v>
      </c>
      <c r="AE466" s="122" t="b">
        <f>IF(ISBLANK(GroupMember[[#This Row],[1. Identifiant interne d’exploitation agricole*]]),"",IF(ISERROR(MATCH(GroupMember[[#This Row],[1. Identifiant interne d’exploitation agricole*]],FarmUnit[1. Identifiant interne d’exploitation agricole*],0)),FALSE,TRUE))</f>
        <v>1</v>
      </c>
      <c r="AF466" s="9" t="str">
        <f t="shared" si="21"/>
        <v>DEHI  EVARIS</v>
      </c>
      <c r="AG466" s="243" t="str">
        <f t="shared" si="22"/>
        <v>7/9/2021</v>
      </c>
      <c r="AH466" s="51">
        <f>COUNTIFS(Z:Z,Z466,AG:AG,AG466)</f>
        <v>4</v>
      </c>
      <c r="AI466" s="49">
        <f t="shared" si="23"/>
        <v>0</v>
      </c>
    </row>
    <row r="467" spans="1:35" ht="15" x14ac:dyDescent="0.2">
      <c r="A467" s="193" t="s">
        <v>2056</v>
      </c>
      <c r="B467" s="146" t="s">
        <v>668</v>
      </c>
      <c r="C467" s="193" t="s">
        <v>2056</v>
      </c>
      <c r="D467" s="192" t="s">
        <v>1716</v>
      </c>
      <c r="E467" s="146" t="s">
        <v>670</v>
      </c>
      <c r="F467" s="146" t="s">
        <v>671</v>
      </c>
      <c r="G467" s="146" t="s">
        <v>672</v>
      </c>
      <c r="H467" s="148">
        <v>1.44</v>
      </c>
      <c r="I467" s="146" t="s">
        <v>673</v>
      </c>
      <c r="J467" s="149">
        <v>1</v>
      </c>
      <c r="K467" s="150">
        <v>2021</v>
      </c>
      <c r="L467" s="197" t="s">
        <v>925</v>
      </c>
      <c r="M467" s="197" t="s">
        <v>2057</v>
      </c>
      <c r="N467" s="198"/>
      <c r="O467" s="196"/>
      <c r="P467" s="193" t="s">
        <v>676</v>
      </c>
      <c r="Q467" s="193"/>
      <c r="R467" s="155">
        <v>8</v>
      </c>
      <c r="S467" s="168"/>
      <c r="T467" s="168"/>
      <c r="U467" s="146"/>
      <c r="V467" s="146"/>
      <c r="W467" s="146"/>
      <c r="X467" s="156">
        <v>0</v>
      </c>
      <c r="Y467" s="156">
        <v>0</v>
      </c>
      <c r="Z467" s="157" t="s">
        <v>1454</v>
      </c>
      <c r="AA467" s="174">
        <v>2021</v>
      </c>
      <c r="AB467" s="175">
        <v>9</v>
      </c>
      <c r="AC467" s="175">
        <v>9</v>
      </c>
      <c r="AD467" s="122" t="b">
        <f>IF(ISBLANK(GroupMember[[#This Row],[1. Identifiant interne d’exploitation agricole*]]),"",IF(ISERROR(MATCH(GroupMember[[#This Row],[1. Identifiant interne d’exploitation agricole*]],CertifiedCrop[1. Identifiant interne d’exploitation agricole*],0)),FALSE,TRUE))</f>
        <v>1</v>
      </c>
      <c r="AE467" s="122" t="b">
        <f>IF(ISBLANK(GroupMember[[#This Row],[1. Identifiant interne d’exploitation agricole*]]),"",IF(ISERROR(MATCH(GroupMember[[#This Row],[1. Identifiant interne d’exploitation agricole*]],FarmUnit[1. Identifiant interne d’exploitation agricole*],0)),FALSE,TRUE))</f>
        <v>1</v>
      </c>
      <c r="AF467" s="9" t="str">
        <f t="shared" si="21"/>
        <v>KPAN  DOH DENIS</v>
      </c>
      <c r="AG467" s="243" t="str">
        <f t="shared" si="22"/>
        <v>9/9/2021</v>
      </c>
      <c r="AH467" s="51">
        <f>COUNTIFS(Z:Z,Z467,AG:AG,AG467)</f>
        <v>5</v>
      </c>
      <c r="AI467" s="49">
        <f t="shared" si="23"/>
        <v>0</v>
      </c>
    </row>
    <row r="468" spans="1:35" ht="15" x14ac:dyDescent="0.2">
      <c r="A468" s="193" t="s">
        <v>2058</v>
      </c>
      <c r="B468" s="146" t="s">
        <v>668</v>
      </c>
      <c r="C468" s="193" t="s">
        <v>2058</v>
      </c>
      <c r="D468" s="192" t="s">
        <v>1716</v>
      </c>
      <c r="E468" s="146" t="s">
        <v>670</v>
      </c>
      <c r="F468" s="146" t="s">
        <v>671</v>
      </c>
      <c r="G468" s="146" t="s">
        <v>672</v>
      </c>
      <c r="H468" s="148">
        <v>2.34</v>
      </c>
      <c r="I468" s="146" t="s">
        <v>673</v>
      </c>
      <c r="J468" s="149">
        <v>1</v>
      </c>
      <c r="K468" s="150">
        <v>2021</v>
      </c>
      <c r="L468" s="197" t="s">
        <v>1988</v>
      </c>
      <c r="M468" s="197" t="s">
        <v>1273</v>
      </c>
      <c r="N468" s="198"/>
      <c r="O468" s="196"/>
      <c r="P468" s="193" t="s">
        <v>676</v>
      </c>
      <c r="Q468" s="193"/>
      <c r="R468" s="155">
        <v>7</v>
      </c>
      <c r="S468" s="168"/>
      <c r="T468" s="168"/>
      <c r="U468" s="146"/>
      <c r="V468" s="146"/>
      <c r="W468" s="146"/>
      <c r="X468" s="156">
        <v>0</v>
      </c>
      <c r="Y468" s="156">
        <v>0</v>
      </c>
      <c r="Z468" s="157" t="s">
        <v>1454</v>
      </c>
      <c r="AA468" s="174">
        <v>2021</v>
      </c>
      <c r="AB468" s="175">
        <v>9</v>
      </c>
      <c r="AC468" s="175">
        <v>17</v>
      </c>
      <c r="AD468" s="122" t="b">
        <f>IF(ISBLANK(GroupMember[[#This Row],[1. Identifiant interne d’exploitation agricole*]]),"",IF(ISERROR(MATCH(GroupMember[[#This Row],[1. Identifiant interne d’exploitation agricole*]],CertifiedCrop[1. Identifiant interne d’exploitation agricole*],0)),FALSE,TRUE))</f>
        <v>1</v>
      </c>
      <c r="AE468" s="122" t="b">
        <f>IF(ISBLANK(GroupMember[[#This Row],[1. Identifiant interne d’exploitation agricole*]]),"",IF(ISERROR(MATCH(GroupMember[[#This Row],[1. Identifiant interne d’exploitation agricole*]],FarmUnit[1. Identifiant interne d’exploitation agricole*],0)),FALSE,TRUE))</f>
        <v>1</v>
      </c>
      <c r="AF468" s="9" t="str">
        <f t="shared" si="21"/>
        <v>TOKPA  HONORE</v>
      </c>
      <c r="AG468" s="243" t="str">
        <f t="shared" si="22"/>
        <v>17/9/2021</v>
      </c>
      <c r="AH468" s="51">
        <f>COUNTIFS(Z:Z,Z468,AG:AG,AG468)</f>
        <v>5</v>
      </c>
      <c r="AI468" s="49">
        <f t="shared" si="23"/>
        <v>0</v>
      </c>
    </row>
    <row r="469" spans="1:35" ht="15" x14ac:dyDescent="0.2">
      <c r="A469" s="193" t="s">
        <v>2059</v>
      </c>
      <c r="B469" s="146" t="s">
        <v>668</v>
      </c>
      <c r="C469" s="193" t="s">
        <v>2059</v>
      </c>
      <c r="D469" s="192" t="s">
        <v>1716</v>
      </c>
      <c r="E469" s="146" t="s">
        <v>670</v>
      </c>
      <c r="F469" s="146" t="s">
        <v>671</v>
      </c>
      <c r="G469" s="146" t="s">
        <v>672</v>
      </c>
      <c r="H469" s="148">
        <v>2.35</v>
      </c>
      <c r="I469" s="146" t="s">
        <v>673</v>
      </c>
      <c r="J469" s="149">
        <v>1</v>
      </c>
      <c r="K469" s="150">
        <v>2021</v>
      </c>
      <c r="L469" s="197" t="s">
        <v>1988</v>
      </c>
      <c r="M469" s="197" t="s">
        <v>2060</v>
      </c>
      <c r="N469" s="198"/>
      <c r="O469" s="196"/>
      <c r="P469" s="193" t="s">
        <v>676</v>
      </c>
      <c r="Q469" s="193"/>
      <c r="R469" s="155">
        <v>5</v>
      </c>
      <c r="S469" s="168"/>
      <c r="T469" s="168"/>
      <c r="U469" s="146"/>
      <c r="V469" s="146"/>
      <c r="W469" s="146"/>
      <c r="X469" s="156">
        <v>0</v>
      </c>
      <c r="Y469" s="156">
        <v>0</v>
      </c>
      <c r="Z469" s="157" t="s">
        <v>1454</v>
      </c>
      <c r="AA469" s="174">
        <v>2021</v>
      </c>
      <c r="AB469" s="175">
        <v>9</v>
      </c>
      <c r="AC469" s="175">
        <v>3</v>
      </c>
      <c r="AD469" s="122" t="b">
        <f>IF(ISBLANK(GroupMember[[#This Row],[1. Identifiant interne d’exploitation agricole*]]),"",IF(ISERROR(MATCH(GroupMember[[#This Row],[1. Identifiant interne d’exploitation agricole*]],CertifiedCrop[1. Identifiant interne d’exploitation agricole*],0)),FALSE,TRUE))</f>
        <v>1</v>
      </c>
      <c r="AE469" s="122" t="b">
        <f>IF(ISBLANK(GroupMember[[#This Row],[1. Identifiant interne d’exploitation agricole*]]),"",IF(ISERROR(MATCH(GroupMember[[#This Row],[1. Identifiant interne d’exploitation agricole*]],FarmUnit[1. Identifiant interne d’exploitation agricole*],0)),FALSE,TRUE))</f>
        <v>1</v>
      </c>
      <c r="AF469" s="9" t="str">
        <f t="shared" si="21"/>
        <v>TOKPA  EVARIST</v>
      </c>
      <c r="AG469" s="243" t="str">
        <f t="shared" si="22"/>
        <v>3/9/2021</v>
      </c>
      <c r="AH469" s="51">
        <f>COUNTIFS(Z:Z,Z469,AG:AG,AG469)</f>
        <v>5</v>
      </c>
      <c r="AI469" s="49">
        <f t="shared" si="23"/>
        <v>0</v>
      </c>
    </row>
    <row r="470" spans="1:35" ht="15" x14ac:dyDescent="0.2">
      <c r="A470" s="193" t="s">
        <v>2061</v>
      </c>
      <c r="B470" s="146" t="s">
        <v>668</v>
      </c>
      <c r="C470" s="193" t="s">
        <v>2061</v>
      </c>
      <c r="D470" s="192" t="s">
        <v>1716</v>
      </c>
      <c r="E470" s="146" t="s">
        <v>670</v>
      </c>
      <c r="F470" s="146" t="s">
        <v>671</v>
      </c>
      <c r="G470" s="146" t="s">
        <v>672</v>
      </c>
      <c r="H470" s="148">
        <v>4.21</v>
      </c>
      <c r="I470" s="146" t="s">
        <v>673</v>
      </c>
      <c r="J470" s="149">
        <v>1</v>
      </c>
      <c r="K470" s="150">
        <v>2021</v>
      </c>
      <c r="L470" s="197" t="s">
        <v>1988</v>
      </c>
      <c r="M470" s="197" t="s">
        <v>2062</v>
      </c>
      <c r="N470" s="198"/>
      <c r="O470" s="196"/>
      <c r="P470" s="193" t="s">
        <v>676</v>
      </c>
      <c r="Q470" s="193"/>
      <c r="R470" s="155">
        <v>5</v>
      </c>
      <c r="S470" s="168"/>
      <c r="T470" s="168"/>
      <c r="U470" s="146"/>
      <c r="V470" s="146"/>
      <c r="W470" s="146"/>
      <c r="X470" s="156">
        <v>0</v>
      </c>
      <c r="Y470" s="156">
        <v>0</v>
      </c>
      <c r="Z470" s="157" t="s">
        <v>1454</v>
      </c>
      <c r="AA470" s="174">
        <v>2021</v>
      </c>
      <c r="AB470" s="175">
        <v>9</v>
      </c>
      <c r="AC470" s="175">
        <v>17</v>
      </c>
      <c r="AD470" s="122" t="b">
        <f>IF(ISBLANK(GroupMember[[#This Row],[1. Identifiant interne d’exploitation agricole*]]),"",IF(ISERROR(MATCH(GroupMember[[#This Row],[1. Identifiant interne d’exploitation agricole*]],CertifiedCrop[1. Identifiant interne d’exploitation agricole*],0)),FALSE,TRUE))</f>
        <v>1</v>
      </c>
      <c r="AE470" s="122" t="b">
        <f>IF(ISBLANK(GroupMember[[#This Row],[1. Identifiant interne d’exploitation agricole*]]),"",IF(ISERROR(MATCH(GroupMember[[#This Row],[1. Identifiant interne d’exploitation agricole*]],FarmUnit[1. Identifiant interne d’exploitation agricole*],0)),FALSE,TRUE))</f>
        <v>1</v>
      </c>
      <c r="AF470" s="9" t="str">
        <f t="shared" si="21"/>
        <v>TOKPA NARCISSE</v>
      </c>
      <c r="AG470" s="243" t="str">
        <f t="shared" si="22"/>
        <v>17/9/2021</v>
      </c>
      <c r="AH470" s="51">
        <f>COUNTIFS(Z:Z,Z470,AG:AG,AG470)</f>
        <v>5</v>
      </c>
      <c r="AI470" s="49">
        <f t="shared" si="23"/>
        <v>0</v>
      </c>
    </row>
    <row r="471" spans="1:35" ht="15" x14ac:dyDescent="0.2">
      <c r="A471" s="193" t="s">
        <v>2063</v>
      </c>
      <c r="B471" s="146" t="s">
        <v>668</v>
      </c>
      <c r="C471" s="193" t="s">
        <v>2063</v>
      </c>
      <c r="D471" s="192" t="s">
        <v>1716</v>
      </c>
      <c r="E471" s="146" t="s">
        <v>670</v>
      </c>
      <c r="F471" s="146" t="s">
        <v>671</v>
      </c>
      <c r="G471" s="146" t="s">
        <v>672</v>
      </c>
      <c r="H471" s="148">
        <v>1.72</v>
      </c>
      <c r="I471" s="146" t="s">
        <v>673</v>
      </c>
      <c r="J471" s="149">
        <v>1</v>
      </c>
      <c r="K471" s="150">
        <v>2021</v>
      </c>
      <c r="L471" s="197" t="s">
        <v>2064</v>
      </c>
      <c r="M471" s="197" t="s">
        <v>2065</v>
      </c>
      <c r="N471" s="198"/>
      <c r="O471" s="196"/>
      <c r="P471" s="193" t="s">
        <v>676</v>
      </c>
      <c r="Q471" s="193"/>
      <c r="R471" s="155">
        <v>4</v>
      </c>
      <c r="S471" s="168"/>
      <c r="T471" s="168"/>
      <c r="U471" s="146"/>
      <c r="V471" s="146"/>
      <c r="W471" s="146"/>
      <c r="X471" s="156">
        <v>0</v>
      </c>
      <c r="Y471" s="156">
        <v>0</v>
      </c>
      <c r="Z471" s="157" t="s">
        <v>1454</v>
      </c>
      <c r="AA471" s="174">
        <v>2021</v>
      </c>
      <c r="AB471" s="175">
        <v>9</v>
      </c>
      <c r="AC471" s="175">
        <v>6</v>
      </c>
      <c r="AD471" s="122" t="b">
        <f>IF(ISBLANK(GroupMember[[#This Row],[1. Identifiant interne d’exploitation agricole*]]),"",IF(ISERROR(MATCH(GroupMember[[#This Row],[1. Identifiant interne d’exploitation agricole*]],CertifiedCrop[1. Identifiant interne d’exploitation agricole*],0)),FALSE,TRUE))</f>
        <v>1</v>
      </c>
      <c r="AE471" s="122" t="b">
        <f>IF(ISBLANK(GroupMember[[#This Row],[1. Identifiant interne d’exploitation agricole*]]),"",IF(ISERROR(MATCH(GroupMember[[#This Row],[1. Identifiant interne d’exploitation agricole*]],FarmUnit[1. Identifiant interne d’exploitation agricole*],0)),FALSE,TRUE))</f>
        <v>1</v>
      </c>
      <c r="AF471" s="9" t="str">
        <f t="shared" si="21"/>
        <v>BOBA  JURUS</v>
      </c>
      <c r="AG471" s="243" t="str">
        <f t="shared" si="22"/>
        <v>6/9/2021</v>
      </c>
      <c r="AH471" s="51">
        <f>COUNTIFS(Z:Z,Z471,AG:AG,AG471)</f>
        <v>4</v>
      </c>
      <c r="AI471" s="49">
        <f t="shared" si="23"/>
        <v>0</v>
      </c>
    </row>
    <row r="472" spans="1:35" ht="15" x14ac:dyDescent="0.2">
      <c r="A472" s="193" t="s">
        <v>2066</v>
      </c>
      <c r="B472" s="146" t="s">
        <v>668</v>
      </c>
      <c r="C472" s="193" t="s">
        <v>2066</v>
      </c>
      <c r="D472" s="192" t="s">
        <v>1716</v>
      </c>
      <c r="E472" s="146" t="s">
        <v>670</v>
      </c>
      <c r="F472" s="146" t="s">
        <v>671</v>
      </c>
      <c r="G472" s="146" t="s">
        <v>672</v>
      </c>
      <c r="H472" s="148">
        <v>2.41</v>
      </c>
      <c r="I472" s="146" t="s">
        <v>673</v>
      </c>
      <c r="J472" s="149">
        <v>1</v>
      </c>
      <c r="K472" s="150">
        <v>2021</v>
      </c>
      <c r="L472" s="197" t="s">
        <v>2067</v>
      </c>
      <c r="M472" s="197" t="s">
        <v>2068</v>
      </c>
      <c r="N472" s="198"/>
      <c r="O472" s="196"/>
      <c r="P472" s="193" t="s">
        <v>676</v>
      </c>
      <c r="Q472" s="193"/>
      <c r="R472" s="155">
        <v>5</v>
      </c>
      <c r="S472" s="168"/>
      <c r="T472" s="168"/>
      <c r="U472" s="146"/>
      <c r="V472" s="146"/>
      <c r="W472" s="146"/>
      <c r="X472" s="156">
        <v>0</v>
      </c>
      <c r="Y472" s="156">
        <v>0</v>
      </c>
      <c r="Z472" s="157" t="s">
        <v>1454</v>
      </c>
      <c r="AA472" s="174">
        <v>2021</v>
      </c>
      <c r="AB472" s="175">
        <v>9</v>
      </c>
      <c r="AC472" s="175">
        <v>16</v>
      </c>
      <c r="AD472" s="122" t="b">
        <f>IF(ISBLANK(GroupMember[[#This Row],[1. Identifiant interne d’exploitation agricole*]]),"",IF(ISERROR(MATCH(GroupMember[[#This Row],[1. Identifiant interne d’exploitation agricole*]],CertifiedCrop[1. Identifiant interne d’exploitation agricole*],0)),FALSE,TRUE))</f>
        <v>1</v>
      </c>
      <c r="AE472" s="122" t="b">
        <f>IF(ISBLANK(GroupMember[[#This Row],[1. Identifiant interne d’exploitation agricole*]]),"",IF(ISERROR(MATCH(GroupMember[[#This Row],[1. Identifiant interne d’exploitation agricole*]],FarmUnit[1. Identifiant interne d’exploitation agricole*],0)),FALSE,TRUE))</f>
        <v>1</v>
      </c>
      <c r="AF472" s="9" t="str">
        <f t="shared" si="21"/>
        <v>KOUE  KADO GERARD</v>
      </c>
      <c r="AG472" s="243" t="str">
        <f t="shared" si="22"/>
        <v>16/9/2021</v>
      </c>
      <c r="AH472" s="51">
        <f>COUNTIFS(Z:Z,Z472,AG:AG,AG472)</f>
        <v>5</v>
      </c>
      <c r="AI472" s="49">
        <f t="shared" si="23"/>
        <v>0</v>
      </c>
    </row>
    <row r="473" spans="1:35" ht="15" x14ac:dyDescent="0.2">
      <c r="A473" s="193" t="s">
        <v>2069</v>
      </c>
      <c r="B473" s="146" t="s">
        <v>668</v>
      </c>
      <c r="C473" s="193" t="s">
        <v>2069</v>
      </c>
      <c r="D473" s="192" t="s">
        <v>1716</v>
      </c>
      <c r="E473" s="146" t="s">
        <v>670</v>
      </c>
      <c r="F473" s="146" t="s">
        <v>671</v>
      </c>
      <c r="G473" s="146" t="s">
        <v>672</v>
      </c>
      <c r="H473" s="148">
        <v>1.77</v>
      </c>
      <c r="I473" s="146" t="s">
        <v>673</v>
      </c>
      <c r="J473" s="149">
        <v>1</v>
      </c>
      <c r="K473" s="150">
        <v>2021</v>
      </c>
      <c r="L473" s="197" t="s">
        <v>2070</v>
      </c>
      <c r="M473" s="197" t="s">
        <v>2071</v>
      </c>
      <c r="N473" s="198"/>
      <c r="O473" s="196"/>
      <c r="P473" s="193" t="s">
        <v>676</v>
      </c>
      <c r="Q473" s="193"/>
      <c r="R473" s="155">
        <v>5</v>
      </c>
      <c r="S473" s="168"/>
      <c r="T473" s="168"/>
      <c r="U473" s="146"/>
      <c r="V473" s="146"/>
      <c r="W473" s="146"/>
      <c r="X473" s="156">
        <v>0</v>
      </c>
      <c r="Y473" s="156">
        <v>0</v>
      </c>
      <c r="Z473" s="157" t="s">
        <v>1454</v>
      </c>
      <c r="AA473" s="174">
        <v>2021</v>
      </c>
      <c r="AB473" s="175">
        <v>9</v>
      </c>
      <c r="AC473" s="175">
        <v>7</v>
      </c>
      <c r="AD473" s="122" t="b">
        <f>IF(ISBLANK(GroupMember[[#This Row],[1. Identifiant interne d’exploitation agricole*]]),"",IF(ISERROR(MATCH(GroupMember[[#This Row],[1. Identifiant interne d’exploitation agricole*]],CertifiedCrop[1. Identifiant interne d’exploitation agricole*],0)),FALSE,TRUE))</f>
        <v>1</v>
      </c>
      <c r="AE473" s="122" t="b">
        <f>IF(ISBLANK(GroupMember[[#This Row],[1. Identifiant interne d’exploitation agricole*]]),"",IF(ISERROR(MATCH(GroupMember[[#This Row],[1. Identifiant interne d’exploitation agricole*]],FarmUnit[1. Identifiant interne d’exploitation agricole*],0)),FALSE,TRUE))</f>
        <v>1</v>
      </c>
      <c r="AF473" s="9" t="str">
        <f t="shared" si="21"/>
        <v>BLESSE  ROBERT</v>
      </c>
      <c r="AG473" s="243" t="str">
        <f t="shared" si="22"/>
        <v>7/9/2021</v>
      </c>
      <c r="AH473" s="51">
        <f>COUNTIFS(Z:Z,Z473,AG:AG,AG473)</f>
        <v>4</v>
      </c>
      <c r="AI473" s="49">
        <f t="shared" si="23"/>
        <v>0</v>
      </c>
    </row>
    <row r="474" spans="1:35" ht="15" x14ac:dyDescent="0.2">
      <c r="A474" s="193" t="s">
        <v>2072</v>
      </c>
      <c r="B474" s="146" t="s">
        <v>668</v>
      </c>
      <c r="C474" s="193" t="s">
        <v>2072</v>
      </c>
      <c r="D474" s="192" t="s">
        <v>1716</v>
      </c>
      <c r="E474" s="146" t="s">
        <v>670</v>
      </c>
      <c r="F474" s="146" t="s">
        <v>671</v>
      </c>
      <c r="G474" s="146" t="s">
        <v>672</v>
      </c>
      <c r="H474" s="148">
        <v>2.81</v>
      </c>
      <c r="I474" s="146" t="s">
        <v>673</v>
      </c>
      <c r="J474" s="149">
        <v>1</v>
      </c>
      <c r="K474" s="150">
        <v>2021</v>
      </c>
      <c r="L474" s="197" t="s">
        <v>2073</v>
      </c>
      <c r="M474" s="197" t="s">
        <v>2074</v>
      </c>
      <c r="N474" s="198"/>
      <c r="O474" s="196"/>
      <c r="P474" s="193" t="s">
        <v>676</v>
      </c>
      <c r="Q474" s="193"/>
      <c r="R474" s="155">
        <v>6</v>
      </c>
      <c r="S474" s="168"/>
      <c r="T474" s="168"/>
      <c r="U474" s="146"/>
      <c r="V474" s="146"/>
      <c r="W474" s="146"/>
      <c r="X474" s="156">
        <v>0</v>
      </c>
      <c r="Y474" s="156">
        <v>0</v>
      </c>
      <c r="Z474" s="157" t="s">
        <v>1454</v>
      </c>
      <c r="AA474" s="174">
        <v>2021</v>
      </c>
      <c r="AB474" s="175">
        <v>9</v>
      </c>
      <c r="AC474" s="175">
        <v>11</v>
      </c>
      <c r="AD474" s="122" t="b">
        <f>IF(ISBLANK(GroupMember[[#This Row],[1. Identifiant interne d’exploitation agricole*]]),"",IF(ISERROR(MATCH(GroupMember[[#This Row],[1. Identifiant interne d’exploitation agricole*]],CertifiedCrop[1. Identifiant interne d’exploitation agricole*],0)),FALSE,TRUE))</f>
        <v>1</v>
      </c>
      <c r="AE474" s="122" t="b">
        <f>IF(ISBLANK(GroupMember[[#This Row],[1. Identifiant interne d’exploitation agricole*]]),"",IF(ISERROR(MATCH(GroupMember[[#This Row],[1. Identifiant interne d’exploitation agricole*]],FarmUnit[1. Identifiant interne d’exploitation agricole*],0)),FALSE,TRUE))</f>
        <v>1</v>
      </c>
      <c r="AF474" s="9" t="str">
        <f t="shared" si="21"/>
        <v>KOLE  ANDERSON</v>
      </c>
      <c r="AG474" s="243" t="str">
        <f t="shared" si="22"/>
        <v>11/9/2021</v>
      </c>
      <c r="AH474" s="51">
        <f>COUNTIFS(Z:Z,Z474,AG:AG,AG474)</f>
        <v>5</v>
      </c>
      <c r="AI474" s="49">
        <f t="shared" si="23"/>
        <v>0</v>
      </c>
    </row>
    <row r="475" spans="1:35" ht="15" x14ac:dyDescent="0.2">
      <c r="A475" s="193" t="s">
        <v>2075</v>
      </c>
      <c r="B475" s="146" t="s">
        <v>668</v>
      </c>
      <c r="C475" s="193" t="s">
        <v>2075</v>
      </c>
      <c r="D475" s="192" t="s">
        <v>1716</v>
      </c>
      <c r="E475" s="146" t="s">
        <v>670</v>
      </c>
      <c r="F475" s="146" t="s">
        <v>671</v>
      </c>
      <c r="G475" s="146" t="s">
        <v>672</v>
      </c>
      <c r="H475" s="148">
        <v>1.75</v>
      </c>
      <c r="I475" s="146" t="s">
        <v>673</v>
      </c>
      <c r="J475" s="149">
        <v>1</v>
      </c>
      <c r="K475" s="150">
        <v>2021</v>
      </c>
      <c r="L475" s="197" t="s">
        <v>2073</v>
      </c>
      <c r="M475" s="197" t="s">
        <v>2076</v>
      </c>
      <c r="N475" s="198" t="s">
        <v>2077</v>
      </c>
      <c r="O475" s="196"/>
      <c r="P475" s="193" t="s">
        <v>676</v>
      </c>
      <c r="Q475" s="193"/>
      <c r="R475" s="155">
        <v>5</v>
      </c>
      <c r="S475" s="168"/>
      <c r="T475" s="168"/>
      <c r="U475" s="146"/>
      <c r="V475" s="146"/>
      <c r="W475" s="146"/>
      <c r="X475" s="156">
        <v>0</v>
      </c>
      <c r="Y475" s="156">
        <v>0</v>
      </c>
      <c r="Z475" s="157" t="s">
        <v>1454</v>
      </c>
      <c r="AA475" s="174">
        <v>2021</v>
      </c>
      <c r="AB475" s="175">
        <v>9</v>
      </c>
      <c r="AC475" s="175">
        <v>14</v>
      </c>
      <c r="AD475" s="122" t="b">
        <f>IF(ISBLANK(GroupMember[[#This Row],[1. Identifiant interne d’exploitation agricole*]]),"",IF(ISERROR(MATCH(GroupMember[[#This Row],[1. Identifiant interne d’exploitation agricole*]],CertifiedCrop[1. Identifiant interne d’exploitation agricole*],0)),FALSE,TRUE))</f>
        <v>1</v>
      </c>
      <c r="AE475" s="122" t="b">
        <f>IF(ISBLANK(GroupMember[[#This Row],[1. Identifiant interne d’exploitation agricole*]]),"",IF(ISERROR(MATCH(GroupMember[[#This Row],[1. Identifiant interne d’exploitation agricole*]],FarmUnit[1. Identifiant interne d’exploitation agricole*],0)),FALSE,TRUE))</f>
        <v>1</v>
      </c>
      <c r="AF475" s="9" t="str">
        <f t="shared" si="21"/>
        <v>KOLE  ALEX</v>
      </c>
      <c r="AG475" s="243" t="str">
        <f t="shared" si="22"/>
        <v>14/9/2021</v>
      </c>
      <c r="AH475" s="51">
        <f>COUNTIFS(Z:Z,Z475,AG:AG,AG475)</f>
        <v>4</v>
      </c>
      <c r="AI475" s="49">
        <f t="shared" si="23"/>
        <v>0</v>
      </c>
    </row>
    <row r="476" spans="1:35" ht="15" x14ac:dyDescent="0.2">
      <c r="A476" s="193" t="s">
        <v>2078</v>
      </c>
      <c r="B476" s="146" t="s">
        <v>668</v>
      </c>
      <c r="C476" s="193" t="s">
        <v>2078</v>
      </c>
      <c r="D476" s="192" t="s">
        <v>1716</v>
      </c>
      <c r="E476" s="146" t="s">
        <v>670</v>
      </c>
      <c r="F476" s="146" t="s">
        <v>671</v>
      </c>
      <c r="G476" s="146" t="s">
        <v>672</v>
      </c>
      <c r="H476" s="148">
        <v>2.95</v>
      </c>
      <c r="I476" s="146" t="s">
        <v>673</v>
      </c>
      <c r="J476" s="149">
        <v>1</v>
      </c>
      <c r="K476" s="150">
        <v>2021</v>
      </c>
      <c r="L476" s="197" t="s">
        <v>2079</v>
      </c>
      <c r="M476" s="197" t="s">
        <v>2080</v>
      </c>
      <c r="N476" s="198"/>
      <c r="O476" s="196"/>
      <c r="P476" s="193" t="s">
        <v>676</v>
      </c>
      <c r="Q476" s="193"/>
      <c r="R476" s="155">
        <v>8</v>
      </c>
      <c r="S476" s="168"/>
      <c r="T476" s="168"/>
      <c r="U476" s="146"/>
      <c r="V476" s="146"/>
      <c r="W476" s="146"/>
      <c r="X476" s="156">
        <v>0</v>
      </c>
      <c r="Y476" s="156">
        <v>0</v>
      </c>
      <c r="Z476" s="157" t="s">
        <v>1454</v>
      </c>
      <c r="AA476" s="174">
        <v>2021</v>
      </c>
      <c r="AB476" s="175">
        <v>9</v>
      </c>
      <c r="AC476" s="175">
        <v>3</v>
      </c>
      <c r="AD476" s="122" t="b">
        <f>IF(ISBLANK(GroupMember[[#This Row],[1. Identifiant interne d’exploitation agricole*]]),"",IF(ISERROR(MATCH(GroupMember[[#This Row],[1. Identifiant interne d’exploitation agricole*]],CertifiedCrop[1. Identifiant interne d’exploitation agricole*],0)),FALSE,TRUE))</f>
        <v>1</v>
      </c>
      <c r="AE476" s="122" t="b">
        <f>IF(ISBLANK(GroupMember[[#This Row],[1. Identifiant interne d’exploitation agricole*]]),"",IF(ISERROR(MATCH(GroupMember[[#This Row],[1. Identifiant interne d’exploitation agricole*]],FarmUnit[1. Identifiant interne d’exploitation agricole*],0)),FALSE,TRUE))</f>
        <v>1</v>
      </c>
      <c r="AF476" s="9" t="str">
        <f t="shared" si="21"/>
        <v>DEWE  AUGUSTIN</v>
      </c>
      <c r="AG476" s="243" t="str">
        <f t="shared" si="22"/>
        <v>3/9/2021</v>
      </c>
      <c r="AH476" s="51">
        <f>COUNTIFS(Z:Z,Z476,AG:AG,AG476)</f>
        <v>5</v>
      </c>
      <c r="AI476" s="49">
        <f t="shared" si="23"/>
        <v>0</v>
      </c>
    </row>
    <row r="477" spans="1:35" ht="15" x14ac:dyDescent="0.2">
      <c r="A477" s="193" t="s">
        <v>2081</v>
      </c>
      <c r="B477" s="146" t="s">
        <v>668</v>
      </c>
      <c r="C477" s="193" t="s">
        <v>2081</v>
      </c>
      <c r="D477" s="192" t="s">
        <v>1716</v>
      </c>
      <c r="E477" s="146" t="s">
        <v>670</v>
      </c>
      <c r="F477" s="146" t="s">
        <v>671</v>
      </c>
      <c r="G477" s="146" t="s">
        <v>672</v>
      </c>
      <c r="H477" s="148">
        <v>2.02</v>
      </c>
      <c r="I477" s="146" t="s">
        <v>673</v>
      </c>
      <c r="J477" s="149">
        <v>1</v>
      </c>
      <c r="K477" s="150">
        <v>2021</v>
      </c>
      <c r="L477" s="197" t="s">
        <v>2073</v>
      </c>
      <c r="M477" s="197" t="s">
        <v>2082</v>
      </c>
      <c r="N477" s="198"/>
      <c r="O477" s="196"/>
      <c r="P477" s="193" t="s">
        <v>676</v>
      </c>
      <c r="Q477" s="193"/>
      <c r="R477" s="155">
        <v>6</v>
      </c>
      <c r="S477" s="168"/>
      <c r="T477" s="168"/>
      <c r="U477" s="146"/>
      <c r="V477" s="146"/>
      <c r="W477" s="146"/>
      <c r="X477" s="156">
        <v>0</v>
      </c>
      <c r="Y477" s="156">
        <v>0</v>
      </c>
      <c r="Z477" s="157" t="s">
        <v>1454</v>
      </c>
      <c r="AA477" s="174">
        <v>2021</v>
      </c>
      <c r="AB477" s="175">
        <v>9</v>
      </c>
      <c r="AC477" s="175">
        <v>9</v>
      </c>
      <c r="AD477" s="122" t="b">
        <f>IF(ISBLANK(GroupMember[[#This Row],[1. Identifiant interne d’exploitation agricole*]]),"",IF(ISERROR(MATCH(GroupMember[[#This Row],[1. Identifiant interne d’exploitation agricole*]],CertifiedCrop[1. Identifiant interne d’exploitation agricole*],0)),FALSE,TRUE))</f>
        <v>1</v>
      </c>
      <c r="AE477" s="122" t="b">
        <f>IF(ISBLANK(GroupMember[[#This Row],[1. Identifiant interne d’exploitation agricole*]]),"",IF(ISERROR(MATCH(GroupMember[[#This Row],[1. Identifiant interne d’exploitation agricole*]],FarmUnit[1. Identifiant interne d’exploitation agricole*],0)),FALSE,TRUE))</f>
        <v>1</v>
      </c>
      <c r="AF477" s="9" t="str">
        <f t="shared" si="21"/>
        <v>KOLE  DESCARD</v>
      </c>
      <c r="AG477" s="243" t="str">
        <f t="shared" si="22"/>
        <v>9/9/2021</v>
      </c>
      <c r="AH477" s="51">
        <f>COUNTIFS(Z:Z,Z477,AG:AG,AG477)</f>
        <v>5</v>
      </c>
      <c r="AI477" s="49">
        <f t="shared" si="23"/>
        <v>0</v>
      </c>
    </row>
    <row r="478" spans="1:35" ht="15" x14ac:dyDescent="0.2">
      <c r="A478" s="193" t="s">
        <v>2083</v>
      </c>
      <c r="B478" s="146" t="s">
        <v>668</v>
      </c>
      <c r="C478" s="193" t="s">
        <v>2083</v>
      </c>
      <c r="D478" s="192" t="s">
        <v>1716</v>
      </c>
      <c r="E478" s="146" t="s">
        <v>670</v>
      </c>
      <c r="F478" s="146" t="s">
        <v>671</v>
      </c>
      <c r="G478" s="146" t="s">
        <v>672</v>
      </c>
      <c r="H478" s="148">
        <v>3.22</v>
      </c>
      <c r="I478" s="146" t="s">
        <v>673</v>
      </c>
      <c r="J478" s="149">
        <v>1</v>
      </c>
      <c r="K478" s="150">
        <v>2021</v>
      </c>
      <c r="L478" s="197" t="s">
        <v>2073</v>
      </c>
      <c r="M478" s="197" t="s">
        <v>2084</v>
      </c>
      <c r="N478" s="198" t="s">
        <v>2085</v>
      </c>
      <c r="O478" s="196"/>
      <c r="P478" s="193" t="s">
        <v>676</v>
      </c>
      <c r="Q478" s="193"/>
      <c r="R478" s="155">
        <v>9</v>
      </c>
      <c r="S478" s="168"/>
      <c r="T478" s="168"/>
      <c r="U478" s="146"/>
      <c r="V478" s="146"/>
      <c r="W478" s="146"/>
      <c r="X478" s="156">
        <v>0</v>
      </c>
      <c r="Y478" s="156">
        <v>0</v>
      </c>
      <c r="Z478" s="157" t="s">
        <v>1454</v>
      </c>
      <c r="AA478" s="174">
        <v>2021</v>
      </c>
      <c r="AB478" s="175">
        <v>9</v>
      </c>
      <c r="AC478" s="175">
        <v>11</v>
      </c>
      <c r="AD478" s="122" t="b">
        <f>IF(ISBLANK(GroupMember[[#This Row],[1. Identifiant interne d’exploitation agricole*]]),"",IF(ISERROR(MATCH(GroupMember[[#This Row],[1. Identifiant interne d’exploitation agricole*]],CertifiedCrop[1. Identifiant interne d’exploitation agricole*],0)),FALSE,TRUE))</f>
        <v>1</v>
      </c>
      <c r="AE478" s="122" t="b">
        <f>IF(ISBLANK(GroupMember[[#This Row],[1. Identifiant interne d’exploitation agricole*]]),"",IF(ISERROR(MATCH(GroupMember[[#This Row],[1. Identifiant interne d’exploitation agricole*]],FarmUnit[1. Identifiant interne d’exploitation agricole*],0)),FALSE,TRUE))</f>
        <v>1</v>
      </c>
      <c r="AF478" s="9" t="str">
        <f t="shared" si="21"/>
        <v>KOLE  ROGER</v>
      </c>
      <c r="AG478" s="243" t="str">
        <f t="shared" si="22"/>
        <v>11/9/2021</v>
      </c>
      <c r="AH478" s="51">
        <f>COUNTIFS(Z:Z,Z478,AG:AG,AG478)</f>
        <v>5</v>
      </c>
      <c r="AI478" s="49">
        <f t="shared" si="23"/>
        <v>0</v>
      </c>
    </row>
    <row r="479" spans="1:35" ht="15" x14ac:dyDescent="0.2">
      <c r="A479" s="193" t="s">
        <v>2086</v>
      </c>
      <c r="B479" s="146" t="s">
        <v>668</v>
      </c>
      <c r="C479" s="193" t="s">
        <v>2086</v>
      </c>
      <c r="D479" s="192" t="s">
        <v>1716</v>
      </c>
      <c r="E479" s="146" t="s">
        <v>670</v>
      </c>
      <c r="F479" s="146" t="s">
        <v>671</v>
      </c>
      <c r="G479" s="146" t="s">
        <v>672</v>
      </c>
      <c r="H479" s="148">
        <v>3.02</v>
      </c>
      <c r="I479" s="146" t="s">
        <v>673</v>
      </c>
      <c r="J479" s="149">
        <v>1</v>
      </c>
      <c r="K479" s="150">
        <v>2021</v>
      </c>
      <c r="L479" s="197" t="s">
        <v>2073</v>
      </c>
      <c r="M479" s="197" t="s">
        <v>2087</v>
      </c>
      <c r="N479" s="198"/>
      <c r="O479" s="196"/>
      <c r="P479" s="193" t="s">
        <v>676</v>
      </c>
      <c r="Q479" s="193"/>
      <c r="R479" s="155">
        <v>7</v>
      </c>
      <c r="S479" s="168"/>
      <c r="T479" s="168"/>
      <c r="U479" s="146"/>
      <c r="V479" s="146"/>
      <c r="W479" s="146"/>
      <c r="X479" s="156">
        <v>0</v>
      </c>
      <c r="Y479" s="156">
        <v>0</v>
      </c>
      <c r="Z479" s="157" t="s">
        <v>1454</v>
      </c>
      <c r="AA479" s="174">
        <v>2021</v>
      </c>
      <c r="AB479" s="175">
        <v>9</v>
      </c>
      <c r="AC479" s="175">
        <v>4</v>
      </c>
      <c r="AD479" s="122" t="b">
        <f>IF(ISBLANK(GroupMember[[#This Row],[1. Identifiant interne d’exploitation agricole*]]),"",IF(ISERROR(MATCH(GroupMember[[#This Row],[1. Identifiant interne d’exploitation agricole*]],CertifiedCrop[1. Identifiant interne d’exploitation agricole*],0)),FALSE,TRUE))</f>
        <v>1</v>
      </c>
      <c r="AE479" s="122" t="b">
        <f>IF(ISBLANK(GroupMember[[#This Row],[1. Identifiant interne d’exploitation agricole*]]),"",IF(ISERROR(MATCH(GroupMember[[#This Row],[1. Identifiant interne d’exploitation agricole*]],FarmUnit[1. Identifiant interne d’exploitation agricole*],0)),FALSE,TRUE))</f>
        <v>1</v>
      </c>
      <c r="AF479" s="9" t="str">
        <f t="shared" si="21"/>
        <v>KOLE  GUEU AMBROISE</v>
      </c>
      <c r="AG479" s="243" t="str">
        <f t="shared" si="22"/>
        <v>4/9/2021</v>
      </c>
      <c r="AH479" s="51">
        <f>COUNTIFS(Z:Z,Z479,AG:AG,AG479)</f>
        <v>5</v>
      </c>
      <c r="AI479" s="49">
        <f t="shared" si="23"/>
        <v>0</v>
      </c>
    </row>
    <row r="480" spans="1:35" ht="15" x14ac:dyDescent="0.2">
      <c r="A480" s="193" t="s">
        <v>2088</v>
      </c>
      <c r="B480" s="146" t="s">
        <v>668</v>
      </c>
      <c r="C480" s="193" t="s">
        <v>2088</v>
      </c>
      <c r="D480" s="192" t="s">
        <v>1716</v>
      </c>
      <c r="E480" s="146" t="s">
        <v>670</v>
      </c>
      <c r="F480" s="146" t="s">
        <v>671</v>
      </c>
      <c r="G480" s="146" t="s">
        <v>672</v>
      </c>
      <c r="H480" s="148">
        <v>0.65</v>
      </c>
      <c r="I480" s="146" t="s">
        <v>673</v>
      </c>
      <c r="J480" s="149">
        <v>1</v>
      </c>
      <c r="K480" s="150">
        <v>2021</v>
      </c>
      <c r="L480" s="197" t="s">
        <v>2089</v>
      </c>
      <c r="M480" s="197" t="s">
        <v>2090</v>
      </c>
      <c r="N480" s="198"/>
      <c r="O480" s="196"/>
      <c r="P480" s="193" t="s">
        <v>676</v>
      </c>
      <c r="Q480" s="193"/>
      <c r="R480" s="155">
        <v>5</v>
      </c>
      <c r="S480" s="168"/>
      <c r="T480" s="168"/>
      <c r="U480" s="146"/>
      <c r="V480" s="146"/>
      <c r="W480" s="146"/>
      <c r="X480" s="156">
        <v>0</v>
      </c>
      <c r="Y480" s="156">
        <v>0</v>
      </c>
      <c r="Z480" s="157" t="s">
        <v>1454</v>
      </c>
      <c r="AA480" s="174">
        <v>2021</v>
      </c>
      <c r="AB480" s="175">
        <v>9</v>
      </c>
      <c r="AC480" s="175">
        <v>14</v>
      </c>
      <c r="AD480" s="122" t="b">
        <f>IF(ISBLANK(GroupMember[[#This Row],[1. Identifiant interne d’exploitation agricole*]]),"",IF(ISERROR(MATCH(GroupMember[[#This Row],[1. Identifiant interne d’exploitation agricole*]],CertifiedCrop[1. Identifiant interne d’exploitation agricole*],0)),FALSE,TRUE))</f>
        <v>1</v>
      </c>
      <c r="AE480" s="122" t="b">
        <f>IF(ISBLANK(GroupMember[[#This Row],[1. Identifiant interne d’exploitation agricole*]]),"",IF(ISERROR(MATCH(GroupMember[[#This Row],[1. Identifiant interne d’exploitation agricole*]],FarmUnit[1. Identifiant interne d’exploitation agricole*],0)),FALSE,TRUE))</f>
        <v>1</v>
      </c>
      <c r="AF480" s="9" t="str">
        <f t="shared" si="21"/>
        <v>KEUHOUA PHILIPPE</v>
      </c>
      <c r="AG480" s="243" t="str">
        <f t="shared" si="22"/>
        <v>14/9/2021</v>
      </c>
      <c r="AH480" s="51">
        <f>COUNTIFS(Z:Z,Z480,AG:AG,AG480)</f>
        <v>4</v>
      </c>
      <c r="AI480" s="49">
        <f t="shared" si="23"/>
        <v>0</v>
      </c>
    </row>
    <row r="481" spans="1:35" ht="15" x14ac:dyDescent="0.2">
      <c r="A481" s="193" t="s">
        <v>2091</v>
      </c>
      <c r="B481" s="146" t="s">
        <v>668</v>
      </c>
      <c r="C481" s="193" t="s">
        <v>2091</v>
      </c>
      <c r="D481" s="192" t="s">
        <v>1716</v>
      </c>
      <c r="E481" s="146" t="s">
        <v>670</v>
      </c>
      <c r="F481" s="146" t="s">
        <v>671</v>
      </c>
      <c r="G481" s="146" t="s">
        <v>672</v>
      </c>
      <c r="H481" s="148">
        <v>2.06</v>
      </c>
      <c r="I481" s="146" t="s">
        <v>673</v>
      </c>
      <c r="J481" s="149">
        <v>1</v>
      </c>
      <c r="K481" s="150">
        <v>2021</v>
      </c>
      <c r="L481" s="197" t="s">
        <v>2092</v>
      </c>
      <c r="M481" s="197" t="s">
        <v>2093</v>
      </c>
      <c r="N481" s="198"/>
      <c r="O481" s="196"/>
      <c r="P481" s="193" t="s">
        <v>676</v>
      </c>
      <c r="Q481" s="193"/>
      <c r="R481" s="155">
        <v>8</v>
      </c>
      <c r="S481" s="168"/>
      <c r="T481" s="168"/>
      <c r="U481" s="146"/>
      <c r="V481" s="146"/>
      <c r="W481" s="146"/>
      <c r="X481" s="156">
        <v>0</v>
      </c>
      <c r="Y481" s="156">
        <v>0</v>
      </c>
      <c r="Z481" s="157" t="s">
        <v>1454</v>
      </c>
      <c r="AA481" s="174">
        <v>2021</v>
      </c>
      <c r="AB481" s="175">
        <v>9</v>
      </c>
      <c r="AC481" s="175">
        <v>8</v>
      </c>
      <c r="AD481" s="122" t="b">
        <f>IF(ISBLANK(GroupMember[[#This Row],[1. Identifiant interne d’exploitation agricole*]]),"",IF(ISERROR(MATCH(GroupMember[[#This Row],[1. Identifiant interne d’exploitation agricole*]],CertifiedCrop[1. Identifiant interne d’exploitation agricole*],0)),FALSE,TRUE))</f>
        <v>1</v>
      </c>
      <c r="AE481" s="122" t="b">
        <f>IF(ISBLANK(GroupMember[[#This Row],[1. Identifiant interne d’exploitation agricole*]]),"",IF(ISERROR(MATCH(GroupMember[[#This Row],[1. Identifiant interne d’exploitation agricole*]],FarmUnit[1. Identifiant interne d’exploitation agricole*],0)),FALSE,TRUE))</f>
        <v>1</v>
      </c>
      <c r="AF481" s="9" t="str">
        <f t="shared" si="21"/>
        <v>KEMOKO ERNEST</v>
      </c>
      <c r="AG481" s="243" t="str">
        <f t="shared" si="22"/>
        <v>8/9/2021</v>
      </c>
      <c r="AH481" s="51">
        <f>COUNTIFS(Z:Z,Z481,AG:AG,AG481)</f>
        <v>5</v>
      </c>
      <c r="AI481" s="49">
        <f t="shared" si="23"/>
        <v>0</v>
      </c>
    </row>
    <row r="482" spans="1:35" ht="15" x14ac:dyDescent="0.2">
      <c r="A482" s="193" t="s">
        <v>2094</v>
      </c>
      <c r="B482" s="146" t="s">
        <v>668</v>
      </c>
      <c r="C482" s="193" t="s">
        <v>2094</v>
      </c>
      <c r="D482" s="192" t="s">
        <v>1716</v>
      </c>
      <c r="E482" s="146" t="s">
        <v>670</v>
      </c>
      <c r="F482" s="146" t="s">
        <v>671</v>
      </c>
      <c r="G482" s="146" t="s">
        <v>672</v>
      </c>
      <c r="H482" s="148">
        <v>1.78</v>
      </c>
      <c r="I482" s="146" t="s">
        <v>673</v>
      </c>
      <c r="J482" s="149">
        <v>1</v>
      </c>
      <c r="K482" s="150">
        <v>2021</v>
      </c>
      <c r="L482" s="197" t="s">
        <v>2095</v>
      </c>
      <c r="M482" s="197" t="s">
        <v>2096</v>
      </c>
      <c r="N482" s="198" t="s">
        <v>2097</v>
      </c>
      <c r="O482" s="196"/>
      <c r="P482" s="193" t="s">
        <v>676</v>
      </c>
      <c r="Q482" s="193"/>
      <c r="R482" s="155">
        <v>11</v>
      </c>
      <c r="S482" s="168"/>
      <c r="T482" s="168"/>
      <c r="U482" s="146"/>
      <c r="V482" s="146"/>
      <c r="W482" s="146"/>
      <c r="X482" s="156">
        <v>0</v>
      </c>
      <c r="Y482" s="156">
        <v>0</v>
      </c>
      <c r="Z482" s="157" t="s">
        <v>1454</v>
      </c>
      <c r="AA482" s="174">
        <v>2021</v>
      </c>
      <c r="AB482" s="175">
        <v>9</v>
      </c>
      <c r="AC482" s="175">
        <v>15</v>
      </c>
      <c r="AD482" s="122" t="b">
        <f>IF(ISBLANK(GroupMember[[#This Row],[1. Identifiant interne d’exploitation agricole*]]),"",IF(ISERROR(MATCH(GroupMember[[#This Row],[1. Identifiant interne d’exploitation agricole*]],CertifiedCrop[1. Identifiant interne d’exploitation agricole*],0)),FALSE,TRUE))</f>
        <v>1</v>
      </c>
      <c r="AE482" s="122" t="b">
        <f>IF(ISBLANK(GroupMember[[#This Row],[1. Identifiant interne d’exploitation agricole*]]),"",IF(ISERROR(MATCH(GroupMember[[#This Row],[1. Identifiant interne d’exploitation agricole*]],FarmUnit[1. Identifiant interne d’exploitation agricole*],0)),FALSE,TRUE))</f>
        <v>1</v>
      </c>
      <c r="AF482" s="9" t="str">
        <f t="shared" si="21"/>
        <v>DIA MATHIAS</v>
      </c>
      <c r="AG482" s="243" t="str">
        <f t="shared" si="22"/>
        <v>15/9/2021</v>
      </c>
      <c r="AH482" s="51">
        <f>COUNTIFS(Z:Z,Z482,AG:AG,AG482)</f>
        <v>5</v>
      </c>
      <c r="AI482" s="49">
        <f t="shared" si="23"/>
        <v>0</v>
      </c>
    </row>
    <row r="483" spans="1:35" ht="15" x14ac:dyDescent="0.2">
      <c r="A483" s="193" t="s">
        <v>2098</v>
      </c>
      <c r="B483" s="146" t="s">
        <v>668</v>
      </c>
      <c r="C483" s="193" t="s">
        <v>2098</v>
      </c>
      <c r="D483" s="192" t="s">
        <v>1716</v>
      </c>
      <c r="E483" s="146" t="s">
        <v>670</v>
      </c>
      <c r="F483" s="146" t="s">
        <v>671</v>
      </c>
      <c r="G483" s="146" t="s">
        <v>672</v>
      </c>
      <c r="H483" s="148">
        <v>4</v>
      </c>
      <c r="I483" s="146" t="s">
        <v>673</v>
      </c>
      <c r="J483" s="149">
        <v>1</v>
      </c>
      <c r="K483" s="150">
        <v>2021</v>
      </c>
      <c r="L483" s="153" t="s">
        <v>1765</v>
      </c>
      <c r="M483" s="153" t="s">
        <v>2099</v>
      </c>
      <c r="N483" s="172" t="s">
        <v>2100</v>
      </c>
      <c r="O483" s="196" t="s">
        <v>2101</v>
      </c>
      <c r="P483" s="193" t="s">
        <v>676</v>
      </c>
      <c r="Q483" s="193">
        <v>1979</v>
      </c>
      <c r="R483" s="155">
        <v>9</v>
      </c>
      <c r="S483" s="168"/>
      <c r="T483" s="168"/>
      <c r="U483" s="146"/>
      <c r="V483" s="146"/>
      <c r="W483" s="146"/>
      <c r="X483" s="156">
        <v>0</v>
      </c>
      <c r="Y483" s="156">
        <v>0</v>
      </c>
      <c r="Z483" s="157" t="s">
        <v>1454</v>
      </c>
      <c r="AA483" s="174">
        <v>2021</v>
      </c>
      <c r="AB483" s="175">
        <v>9</v>
      </c>
      <c r="AC483" s="175">
        <v>3</v>
      </c>
      <c r="AD483" s="122" t="b">
        <f>IF(ISBLANK(GroupMember[[#This Row],[1. Identifiant interne d’exploitation agricole*]]),"",IF(ISERROR(MATCH(GroupMember[[#This Row],[1. Identifiant interne d’exploitation agricole*]],CertifiedCrop[1. Identifiant interne d’exploitation agricole*],0)),FALSE,TRUE))</f>
        <v>1</v>
      </c>
      <c r="AE483" s="122" t="b">
        <f>IF(ISBLANK(GroupMember[[#This Row],[1. Identifiant interne d’exploitation agricole*]]),"",IF(ISERROR(MATCH(GroupMember[[#This Row],[1. Identifiant interne d’exploitation agricole*]],FarmUnit[1. Identifiant interne d’exploitation agricole*],0)),FALSE,TRUE))</f>
        <v>1</v>
      </c>
      <c r="AF483" s="9" t="str">
        <f t="shared" si="21"/>
        <v>TOURE  BLE SADIA</v>
      </c>
      <c r="AG483" s="243" t="str">
        <f t="shared" si="22"/>
        <v>3/9/2021</v>
      </c>
      <c r="AH483" s="51">
        <f>COUNTIFS(Z:Z,Z483,AG:AG,AG483)</f>
        <v>5</v>
      </c>
      <c r="AI483" s="49">
        <f t="shared" si="23"/>
        <v>0</v>
      </c>
    </row>
    <row r="484" spans="1:35" ht="15" x14ac:dyDescent="0.2">
      <c r="A484" s="193" t="s">
        <v>2102</v>
      </c>
      <c r="B484" s="146" t="s">
        <v>668</v>
      </c>
      <c r="C484" s="193" t="s">
        <v>2102</v>
      </c>
      <c r="D484" s="192" t="s">
        <v>1716</v>
      </c>
      <c r="E484" s="146" t="s">
        <v>670</v>
      </c>
      <c r="F484" s="146" t="s">
        <v>671</v>
      </c>
      <c r="G484" s="146" t="s">
        <v>672</v>
      </c>
      <c r="H484" s="148">
        <v>1.44</v>
      </c>
      <c r="I484" s="146" t="s">
        <v>673</v>
      </c>
      <c r="J484" s="149">
        <v>1</v>
      </c>
      <c r="K484" s="150">
        <v>2021</v>
      </c>
      <c r="L484" s="153" t="s">
        <v>2103</v>
      </c>
      <c r="M484" s="153" t="s">
        <v>2104</v>
      </c>
      <c r="N484" s="172" t="s">
        <v>2105</v>
      </c>
      <c r="O484" s="196"/>
      <c r="P484" s="193" t="s">
        <v>676</v>
      </c>
      <c r="Q484" s="193"/>
      <c r="R484" s="155">
        <v>5</v>
      </c>
      <c r="S484" s="168"/>
      <c r="T484" s="168"/>
      <c r="U484" s="146"/>
      <c r="V484" s="146"/>
      <c r="W484" s="146"/>
      <c r="X484" s="156">
        <v>0</v>
      </c>
      <c r="Y484" s="156">
        <v>0</v>
      </c>
      <c r="Z484" s="157" t="s">
        <v>1454</v>
      </c>
      <c r="AA484" s="174">
        <v>2021</v>
      </c>
      <c r="AB484" s="175">
        <v>9</v>
      </c>
      <c r="AC484" s="175">
        <v>16</v>
      </c>
      <c r="AD484" s="122" t="b">
        <f>IF(ISBLANK(GroupMember[[#This Row],[1. Identifiant interne d’exploitation agricole*]]),"",IF(ISERROR(MATCH(GroupMember[[#This Row],[1. Identifiant interne d’exploitation agricole*]],CertifiedCrop[1. Identifiant interne d’exploitation agricole*],0)),FALSE,TRUE))</f>
        <v>1</v>
      </c>
      <c r="AE484" s="122" t="b">
        <f>IF(ISBLANK(GroupMember[[#This Row],[1. Identifiant interne d’exploitation agricole*]]),"",IF(ISERROR(MATCH(GroupMember[[#This Row],[1. Identifiant interne d’exploitation agricole*]],FarmUnit[1. Identifiant interne d’exploitation agricole*],0)),FALSE,TRUE))</f>
        <v>1</v>
      </c>
      <c r="AF484" s="9" t="str">
        <f t="shared" si="21"/>
        <v>OUHEU JULIEN</v>
      </c>
      <c r="AG484" s="243" t="str">
        <f t="shared" si="22"/>
        <v>16/9/2021</v>
      </c>
      <c r="AH484" s="51">
        <f>COUNTIFS(Z:Z,Z484,AG:AG,AG484)</f>
        <v>5</v>
      </c>
      <c r="AI484" s="49">
        <f t="shared" si="23"/>
        <v>0</v>
      </c>
    </row>
    <row r="485" spans="1:35" ht="15" x14ac:dyDescent="0.2">
      <c r="A485" s="193" t="s">
        <v>2106</v>
      </c>
      <c r="B485" s="146" t="s">
        <v>668</v>
      </c>
      <c r="C485" s="193" t="s">
        <v>2106</v>
      </c>
      <c r="D485" s="192" t="s">
        <v>1716</v>
      </c>
      <c r="E485" s="146" t="s">
        <v>670</v>
      </c>
      <c r="F485" s="146" t="s">
        <v>671</v>
      </c>
      <c r="G485" s="146" t="s">
        <v>672</v>
      </c>
      <c r="H485" s="148">
        <v>2.34</v>
      </c>
      <c r="I485" s="146" t="s">
        <v>673</v>
      </c>
      <c r="J485" s="149">
        <v>1</v>
      </c>
      <c r="K485" s="150">
        <v>2021</v>
      </c>
      <c r="L485" s="153" t="s">
        <v>2107</v>
      </c>
      <c r="M485" s="153" t="s">
        <v>2108</v>
      </c>
      <c r="N485" s="172"/>
      <c r="O485" s="196"/>
      <c r="P485" s="193" t="s">
        <v>676</v>
      </c>
      <c r="Q485" s="193"/>
      <c r="R485" s="155">
        <v>5</v>
      </c>
      <c r="S485" s="168"/>
      <c r="T485" s="168"/>
      <c r="U485" s="146"/>
      <c r="V485" s="146"/>
      <c r="W485" s="146"/>
      <c r="X485" s="156">
        <v>0</v>
      </c>
      <c r="Y485" s="156">
        <v>0</v>
      </c>
      <c r="Z485" s="157" t="s">
        <v>1454</v>
      </c>
      <c r="AA485" s="174">
        <v>2021</v>
      </c>
      <c r="AB485" s="175">
        <v>9</v>
      </c>
      <c r="AC485" s="175">
        <v>6</v>
      </c>
      <c r="AD485" s="122" t="b">
        <f>IF(ISBLANK(GroupMember[[#This Row],[1. Identifiant interne d’exploitation agricole*]]),"",IF(ISERROR(MATCH(GroupMember[[#This Row],[1. Identifiant interne d’exploitation agricole*]],CertifiedCrop[1. Identifiant interne d’exploitation agricole*],0)),FALSE,TRUE))</f>
        <v>1</v>
      </c>
      <c r="AE485" s="122" t="b">
        <f>IF(ISBLANK(GroupMember[[#This Row],[1. Identifiant interne d’exploitation agricole*]]),"",IF(ISERROR(MATCH(GroupMember[[#This Row],[1. Identifiant interne d’exploitation agricole*]],FarmUnit[1. Identifiant interne d’exploitation agricole*],0)),FALSE,TRUE))</f>
        <v>1</v>
      </c>
      <c r="AF485" s="9" t="str">
        <f t="shared" si="21"/>
        <v>KPA  KAHAZROUA</v>
      </c>
      <c r="AG485" s="243" t="str">
        <f t="shared" si="22"/>
        <v>6/9/2021</v>
      </c>
      <c r="AH485" s="51">
        <f>COUNTIFS(Z:Z,Z485,AG:AG,AG485)</f>
        <v>4</v>
      </c>
      <c r="AI485" s="49">
        <f t="shared" si="23"/>
        <v>0</v>
      </c>
    </row>
    <row r="486" spans="1:35" ht="15" x14ac:dyDescent="0.2">
      <c r="A486" s="193" t="s">
        <v>2109</v>
      </c>
      <c r="B486" s="146" t="s">
        <v>668</v>
      </c>
      <c r="C486" s="193" t="s">
        <v>2109</v>
      </c>
      <c r="D486" s="192" t="s">
        <v>1716</v>
      </c>
      <c r="E486" s="146" t="s">
        <v>670</v>
      </c>
      <c r="F486" s="146" t="s">
        <v>671</v>
      </c>
      <c r="G486" s="146" t="s">
        <v>672</v>
      </c>
      <c r="H486" s="148">
        <v>1.69</v>
      </c>
      <c r="I486" s="146" t="s">
        <v>673</v>
      </c>
      <c r="J486" s="149">
        <v>1</v>
      </c>
      <c r="K486" s="150">
        <v>2021</v>
      </c>
      <c r="L486" s="153" t="s">
        <v>2110</v>
      </c>
      <c r="M486" s="153" t="s">
        <v>2111</v>
      </c>
      <c r="N486" s="172" t="s">
        <v>2112</v>
      </c>
      <c r="O486" s="196"/>
      <c r="P486" s="193" t="s">
        <v>676</v>
      </c>
      <c r="Q486" s="193"/>
      <c r="R486" s="155">
        <v>8</v>
      </c>
      <c r="S486" s="168"/>
      <c r="T486" s="168"/>
      <c r="U486" s="146"/>
      <c r="V486" s="146"/>
      <c r="W486" s="146"/>
      <c r="X486" s="156">
        <v>0</v>
      </c>
      <c r="Y486" s="156">
        <v>0</v>
      </c>
      <c r="Z486" s="157" t="s">
        <v>1454</v>
      </c>
      <c r="AA486" s="174">
        <v>2021</v>
      </c>
      <c r="AB486" s="175">
        <v>9</v>
      </c>
      <c r="AC486" s="175">
        <v>4</v>
      </c>
      <c r="AD486" s="122" t="b">
        <f>IF(ISBLANK(GroupMember[[#This Row],[1. Identifiant interne d’exploitation agricole*]]),"",IF(ISERROR(MATCH(GroupMember[[#This Row],[1. Identifiant interne d’exploitation agricole*]],CertifiedCrop[1. Identifiant interne d’exploitation agricole*],0)),FALSE,TRUE))</f>
        <v>1</v>
      </c>
      <c r="AE486" s="122" t="b">
        <f>IF(ISBLANK(GroupMember[[#This Row],[1. Identifiant interne d’exploitation agricole*]]),"",IF(ISERROR(MATCH(GroupMember[[#This Row],[1. Identifiant interne d’exploitation agricole*]],FarmUnit[1. Identifiant interne d’exploitation agricole*],0)),FALSE,TRUE))</f>
        <v>1</v>
      </c>
      <c r="AF486" s="9" t="str">
        <f t="shared" si="21"/>
        <v>BHO  IDOVER</v>
      </c>
      <c r="AG486" s="243" t="str">
        <f t="shared" si="22"/>
        <v>4/9/2021</v>
      </c>
      <c r="AH486" s="51">
        <f>COUNTIFS(Z:Z,Z486,AG:AG,AG486)</f>
        <v>5</v>
      </c>
      <c r="AI486" s="49">
        <f t="shared" si="23"/>
        <v>0</v>
      </c>
    </row>
    <row r="487" spans="1:35" ht="15" x14ac:dyDescent="0.2">
      <c r="A487" s="193" t="s">
        <v>2113</v>
      </c>
      <c r="B487" s="146" t="s">
        <v>668</v>
      </c>
      <c r="C487" s="193" t="s">
        <v>2113</v>
      </c>
      <c r="D487" s="192" t="s">
        <v>1716</v>
      </c>
      <c r="E487" s="146" t="s">
        <v>670</v>
      </c>
      <c r="F487" s="146" t="s">
        <v>671</v>
      </c>
      <c r="G487" s="146" t="s">
        <v>672</v>
      </c>
      <c r="H487" s="148">
        <v>1.32</v>
      </c>
      <c r="I487" s="146" t="s">
        <v>673</v>
      </c>
      <c r="J487" s="149">
        <v>1</v>
      </c>
      <c r="K487" s="150">
        <v>2021</v>
      </c>
      <c r="L487" s="153" t="s">
        <v>2114</v>
      </c>
      <c r="M487" s="153" t="s">
        <v>2115</v>
      </c>
      <c r="N487" s="172" t="s">
        <v>2116</v>
      </c>
      <c r="O487" s="196"/>
      <c r="P487" s="193" t="s">
        <v>676</v>
      </c>
      <c r="Q487" s="193"/>
      <c r="R487" s="155">
        <v>7</v>
      </c>
      <c r="S487" s="168"/>
      <c r="T487" s="168"/>
      <c r="U487" s="146"/>
      <c r="V487" s="146"/>
      <c r="W487" s="146"/>
      <c r="X487" s="156">
        <v>0</v>
      </c>
      <c r="Y487" s="156">
        <v>0</v>
      </c>
      <c r="Z487" s="157" t="s">
        <v>1454</v>
      </c>
      <c r="AA487" s="174">
        <v>2021</v>
      </c>
      <c r="AB487" s="175">
        <v>9</v>
      </c>
      <c r="AC487" s="175">
        <v>15</v>
      </c>
      <c r="AD487" s="122" t="b">
        <f>IF(ISBLANK(GroupMember[[#This Row],[1. Identifiant interne d’exploitation agricole*]]),"",IF(ISERROR(MATCH(GroupMember[[#This Row],[1. Identifiant interne d’exploitation agricole*]],CertifiedCrop[1. Identifiant interne d’exploitation agricole*],0)),FALSE,TRUE))</f>
        <v>1</v>
      </c>
      <c r="AE487" s="122" t="b">
        <f>IF(ISBLANK(GroupMember[[#This Row],[1. Identifiant interne d’exploitation agricole*]]),"",IF(ISERROR(MATCH(GroupMember[[#This Row],[1. Identifiant interne d’exploitation agricole*]],FarmUnit[1. Identifiant interne d’exploitation agricole*],0)),FALSE,TRUE))</f>
        <v>1</v>
      </c>
      <c r="AF487" s="9" t="str">
        <f t="shared" si="21"/>
        <v>HOUA  DIN CHRISTOPHE</v>
      </c>
      <c r="AG487" s="243" t="str">
        <f t="shared" si="22"/>
        <v>15/9/2021</v>
      </c>
      <c r="AH487" s="51">
        <f>COUNTIFS(Z:Z,Z487,AG:AG,AG487)</f>
        <v>5</v>
      </c>
      <c r="AI487" s="49">
        <f t="shared" si="23"/>
        <v>0</v>
      </c>
    </row>
    <row r="488" spans="1:35" ht="15" x14ac:dyDescent="0.2">
      <c r="A488" s="193" t="s">
        <v>2117</v>
      </c>
      <c r="B488" s="146" t="s">
        <v>668</v>
      </c>
      <c r="C488" s="193" t="s">
        <v>2117</v>
      </c>
      <c r="D488" s="192" t="s">
        <v>1716</v>
      </c>
      <c r="E488" s="146" t="s">
        <v>670</v>
      </c>
      <c r="F488" s="146" t="s">
        <v>671</v>
      </c>
      <c r="G488" s="146" t="s">
        <v>672</v>
      </c>
      <c r="H488" s="148">
        <v>1.36</v>
      </c>
      <c r="I488" s="146" t="s">
        <v>673</v>
      </c>
      <c r="J488" s="149">
        <v>1</v>
      </c>
      <c r="K488" s="150">
        <v>2021</v>
      </c>
      <c r="L488" s="153" t="s">
        <v>2114</v>
      </c>
      <c r="M488" s="153" t="s">
        <v>2118</v>
      </c>
      <c r="N488" s="172"/>
      <c r="O488" s="196"/>
      <c r="P488" s="193" t="s">
        <v>676</v>
      </c>
      <c r="Q488" s="193"/>
      <c r="R488" s="155">
        <v>8</v>
      </c>
      <c r="S488" s="168"/>
      <c r="T488" s="168"/>
      <c r="U488" s="146"/>
      <c r="V488" s="146"/>
      <c r="W488" s="146"/>
      <c r="X488" s="156">
        <v>0</v>
      </c>
      <c r="Y488" s="156">
        <v>0</v>
      </c>
      <c r="Z488" s="157" t="s">
        <v>1454</v>
      </c>
      <c r="AA488" s="174">
        <v>2021</v>
      </c>
      <c r="AB488" s="175">
        <v>9</v>
      </c>
      <c r="AC488" s="175">
        <v>14</v>
      </c>
      <c r="AD488" s="122" t="b">
        <f>IF(ISBLANK(GroupMember[[#This Row],[1. Identifiant interne d’exploitation agricole*]]),"",IF(ISERROR(MATCH(GroupMember[[#This Row],[1. Identifiant interne d’exploitation agricole*]],CertifiedCrop[1. Identifiant interne d’exploitation agricole*],0)),FALSE,TRUE))</f>
        <v>1</v>
      </c>
      <c r="AE488" s="122" t="b">
        <f>IF(ISBLANK(GroupMember[[#This Row],[1. Identifiant interne d’exploitation agricole*]]),"",IF(ISERROR(MATCH(GroupMember[[#This Row],[1. Identifiant interne d’exploitation agricole*]],FarmUnit[1. Identifiant interne d’exploitation agricole*],0)),FALSE,TRUE))</f>
        <v>1</v>
      </c>
      <c r="AF488" s="9" t="str">
        <f t="shared" si="21"/>
        <v>HOUA  DAGUI BERNARD</v>
      </c>
      <c r="AG488" s="243" t="str">
        <f t="shared" si="22"/>
        <v>14/9/2021</v>
      </c>
      <c r="AH488" s="51">
        <f>COUNTIFS(Z:Z,Z488,AG:AG,AG488)</f>
        <v>4</v>
      </c>
      <c r="AI488" s="49">
        <f t="shared" si="23"/>
        <v>0</v>
      </c>
    </row>
    <row r="489" spans="1:35" ht="15" x14ac:dyDescent="0.2">
      <c r="A489" s="193" t="s">
        <v>2119</v>
      </c>
      <c r="B489" s="146" t="s">
        <v>668</v>
      </c>
      <c r="C489" s="193" t="s">
        <v>2119</v>
      </c>
      <c r="D489" s="192" t="s">
        <v>1716</v>
      </c>
      <c r="E489" s="146" t="s">
        <v>670</v>
      </c>
      <c r="F489" s="146" t="s">
        <v>671</v>
      </c>
      <c r="G489" s="146" t="s">
        <v>672</v>
      </c>
      <c r="H489" s="148">
        <v>1.62</v>
      </c>
      <c r="I489" s="146" t="s">
        <v>673</v>
      </c>
      <c r="J489" s="149">
        <v>1</v>
      </c>
      <c r="K489" s="150">
        <v>2021</v>
      </c>
      <c r="L489" s="153" t="s">
        <v>1629</v>
      </c>
      <c r="M489" s="153" t="s">
        <v>1151</v>
      </c>
      <c r="N489" s="172" t="s">
        <v>2120</v>
      </c>
      <c r="O489" s="196"/>
      <c r="P489" s="193" t="s">
        <v>676</v>
      </c>
      <c r="Q489" s="193"/>
      <c r="R489" s="155">
        <v>5</v>
      </c>
      <c r="S489" s="168"/>
      <c r="T489" s="168"/>
      <c r="U489" s="146"/>
      <c r="V489" s="146"/>
      <c r="W489" s="146"/>
      <c r="X489" s="156">
        <v>0</v>
      </c>
      <c r="Y489" s="156">
        <v>0</v>
      </c>
      <c r="Z489" s="157" t="s">
        <v>1454</v>
      </c>
      <c r="AA489" s="174">
        <v>2021</v>
      </c>
      <c r="AB489" s="175">
        <v>9</v>
      </c>
      <c r="AC489" s="175">
        <v>9</v>
      </c>
      <c r="AD489" s="122" t="b">
        <f>IF(ISBLANK(GroupMember[[#This Row],[1. Identifiant interne d’exploitation agricole*]]),"",IF(ISERROR(MATCH(GroupMember[[#This Row],[1. Identifiant interne d’exploitation agricole*]],CertifiedCrop[1. Identifiant interne d’exploitation agricole*],0)),FALSE,TRUE))</f>
        <v>1</v>
      </c>
      <c r="AE489" s="122" t="b">
        <f>IF(ISBLANK(GroupMember[[#This Row],[1. Identifiant interne d’exploitation agricole*]]),"",IF(ISERROR(MATCH(GroupMember[[#This Row],[1. Identifiant interne d’exploitation agricole*]],FarmUnit[1. Identifiant interne d’exploitation agricole*],0)),FALSE,TRUE))</f>
        <v>1</v>
      </c>
      <c r="AF489" s="9" t="str">
        <f t="shared" si="21"/>
        <v>DAGUI  ETIENNE</v>
      </c>
      <c r="AG489" s="243" t="str">
        <f t="shared" si="22"/>
        <v>9/9/2021</v>
      </c>
      <c r="AH489" s="51">
        <f>COUNTIFS(Z:Z,Z489,AG:AG,AG489)</f>
        <v>5</v>
      </c>
      <c r="AI489" s="49">
        <f t="shared" si="23"/>
        <v>0</v>
      </c>
    </row>
    <row r="490" spans="1:35" ht="15" x14ac:dyDescent="0.2">
      <c r="A490" s="193" t="s">
        <v>2121</v>
      </c>
      <c r="B490" s="146" t="s">
        <v>668</v>
      </c>
      <c r="C490" s="193" t="s">
        <v>2121</v>
      </c>
      <c r="D490" s="192" t="s">
        <v>1716</v>
      </c>
      <c r="E490" s="146" t="s">
        <v>670</v>
      </c>
      <c r="F490" s="146" t="s">
        <v>671</v>
      </c>
      <c r="G490" s="146" t="s">
        <v>672</v>
      </c>
      <c r="H490" s="148">
        <v>1.83</v>
      </c>
      <c r="I490" s="146" t="s">
        <v>673</v>
      </c>
      <c r="J490" s="149">
        <v>1</v>
      </c>
      <c r="K490" s="150">
        <v>2021</v>
      </c>
      <c r="L490" s="153" t="s">
        <v>883</v>
      </c>
      <c r="M490" s="153" t="s">
        <v>2122</v>
      </c>
      <c r="N490" s="172" t="s">
        <v>2123</v>
      </c>
      <c r="O490" s="196"/>
      <c r="P490" s="193" t="s">
        <v>676</v>
      </c>
      <c r="Q490" s="193"/>
      <c r="R490" s="155">
        <v>7</v>
      </c>
      <c r="S490" s="168"/>
      <c r="T490" s="168"/>
      <c r="U490" s="146"/>
      <c r="V490" s="146"/>
      <c r="W490" s="146"/>
      <c r="X490" s="156">
        <v>0</v>
      </c>
      <c r="Y490" s="156">
        <v>0</v>
      </c>
      <c r="Z490" s="157" t="s">
        <v>1454</v>
      </c>
      <c r="AA490" s="174">
        <v>2021</v>
      </c>
      <c r="AB490" s="175">
        <v>9</v>
      </c>
      <c r="AC490" s="175">
        <v>4</v>
      </c>
      <c r="AD490" s="122" t="b">
        <f>IF(ISBLANK(GroupMember[[#This Row],[1. Identifiant interne d’exploitation agricole*]]),"",IF(ISERROR(MATCH(GroupMember[[#This Row],[1. Identifiant interne d’exploitation agricole*]],CertifiedCrop[1. Identifiant interne d’exploitation agricole*],0)),FALSE,TRUE))</f>
        <v>1</v>
      </c>
      <c r="AE490" s="122" t="b">
        <f>IF(ISBLANK(GroupMember[[#This Row],[1. Identifiant interne d’exploitation agricole*]]),"",IF(ISERROR(MATCH(GroupMember[[#This Row],[1. Identifiant interne d’exploitation agricole*]],FarmUnit[1. Identifiant interne d’exploitation agricole*],0)),FALSE,TRUE))</f>
        <v>1</v>
      </c>
      <c r="AF490" s="9" t="str">
        <f t="shared" si="21"/>
        <v>TIEU GILDAS</v>
      </c>
      <c r="AG490" s="243" t="str">
        <f t="shared" si="22"/>
        <v>4/9/2021</v>
      </c>
      <c r="AH490" s="51">
        <f>COUNTIFS(Z:Z,Z490,AG:AG,AG490)</f>
        <v>5</v>
      </c>
      <c r="AI490" s="49">
        <f t="shared" si="23"/>
        <v>0</v>
      </c>
    </row>
    <row r="491" spans="1:35" ht="15" x14ac:dyDescent="0.2">
      <c r="A491" s="193" t="s">
        <v>2124</v>
      </c>
      <c r="B491" s="146" t="s">
        <v>668</v>
      </c>
      <c r="C491" s="193" t="s">
        <v>2124</v>
      </c>
      <c r="D491" s="192" t="s">
        <v>1716</v>
      </c>
      <c r="E491" s="146" t="s">
        <v>670</v>
      </c>
      <c r="F491" s="146" t="s">
        <v>671</v>
      </c>
      <c r="G491" s="146" t="s">
        <v>672</v>
      </c>
      <c r="H491" s="148">
        <v>0.96</v>
      </c>
      <c r="I491" s="146" t="s">
        <v>673</v>
      </c>
      <c r="J491" s="149">
        <v>1</v>
      </c>
      <c r="K491" s="150">
        <v>2021</v>
      </c>
      <c r="L491" s="153" t="s">
        <v>2125</v>
      </c>
      <c r="M491" s="153" t="s">
        <v>1469</v>
      </c>
      <c r="N491" s="172" t="s">
        <v>2126</v>
      </c>
      <c r="O491" s="196"/>
      <c r="P491" s="193" t="s">
        <v>676</v>
      </c>
      <c r="Q491" s="193"/>
      <c r="R491" s="155">
        <v>5</v>
      </c>
      <c r="S491" s="168"/>
      <c r="T491" s="168"/>
      <c r="U491" s="146"/>
      <c r="V491" s="146"/>
      <c r="W491" s="146"/>
      <c r="X491" s="156">
        <v>0</v>
      </c>
      <c r="Y491" s="156">
        <v>0</v>
      </c>
      <c r="Z491" s="157" t="s">
        <v>1454</v>
      </c>
      <c r="AA491" s="174">
        <v>2021</v>
      </c>
      <c r="AB491" s="175">
        <v>9</v>
      </c>
      <c r="AC491" s="175">
        <v>11</v>
      </c>
      <c r="AD491" s="122" t="b">
        <f>IF(ISBLANK(GroupMember[[#This Row],[1. Identifiant interne d’exploitation agricole*]]),"",IF(ISERROR(MATCH(GroupMember[[#This Row],[1. Identifiant interne d’exploitation agricole*]],CertifiedCrop[1. Identifiant interne d’exploitation agricole*],0)),FALSE,TRUE))</f>
        <v>1</v>
      </c>
      <c r="AE491" s="122" t="b">
        <f>IF(ISBLANK(GroupMember[[#This Row],[1. Identifiant interne d’exploitation agricole*]]),"",IF(ISERROR(MATCH(GroupMember[[#This Row],[1. Identifiant interne d’exploitation agricole*]],FarmUnit[1. Identifiant interne d’exploitation agricole*],0)),FALSE,TRUE))</f>
        <v>1</v>
      </c>
      <c r="AF491" s="9" t="str">
        <f t="shared" si="21"/>
        <v>NELO  FULGENCE</v>
      </c>
      <c r="AG491" s="243" t="str">
        <f t="shared" si="22"/>
        <v>11/9/2021</v>
      </c>
      <c r="AH491" s="51">
        <f>COUNTIFS(Z:Z,Z491,AG:AG,AG491)</f>
        <v>5</v>
      </c>
      <c r="AI491" s="49">
        <f t="shared" si="23"/>
        <v>0</v>
      </c>
    </row>
    <row r="492" spans="1:35" ht="15" x14ac:dyDescent="0.2">
      <c r="A492" s="193" t="s">
        <v>2127</v>
      </c>
      <c r="B492" s="146" t="s">
        <v>668</v>
      </c>
      <c r="C492" s="193" t="s">
        <v>2127</v>
      </c>
      <c r="D492" s="192" t="s">
        <v>1716</v>
      </c>
      <c r="E492" s="146" t="s">
        <v>670</v>
      </c>
      <c r="F492" s="146" t="s">
        <v>671</v>
      </c>
      <c r="G492" s="146" t="s">
        <v>672</v>
      </c>
      <c r="H492" s="148">
        <v>6.07</v>
      </c>
      <c r="I492" s="146" t="s">
        <v>673</v>
      </c>
      <c r="J492" s="149">
        <v>1</v>
      </c>
      <c r="K492" s="150">
        <v>2021</v>
      </c>
      <c r="L492" s="153" t="s">
        <v>2128</v>
      </c>
      <c r="M492" s="153" t="s">
        <v>2129</v>
      </c>
      <c r="N492" s="172" t="s">
        <v>2130</v>
      </c>
      <c r="O492" s="199"/>
      <c r="P492" s="150" t="s">
        <v>676</v>
      </c>
      <c r="Q492" s="150"/>
      <c r="R492" s="155">
        <v>7</v>
      </c>
      <c r="S492" s="168"/>
      <c r="T492" s="168"/>
      <c r="U492" s="146"/>
      <c r="V492" s="146"/>
      <c r="W492" s="146"/>
      <c r="X492" s="156">
        <v>0</v>
      </c>
      <c r="Y492" s="156">
        <v>0</v>
      </c>
      <c r="Z492" s="157" t="s">
        <v>1454</v>
      </c>
      <c r="AA492" s="174">
        <v>2021</v>
      </c>
      <c r="AB492" s="175">
        <v>9</v>
      </c>
      <c r="AC492" s="175">
        <v>15</v>
      </c>
      <c r="AD492" s="122" t="b">
        <f>IF(ISBLANK(GroupMember[[#This Row],[1. Identifiant interne d’exploitation agricole*]]),"",IF(ISERROR(MATCH(GroupMember[[#This Row],[1. Identifiant interne d’exploitation agricole*]],CertifiedCrop[1. Identifiant interne d’exploitation agricole*],0)),FALSE,TRUE))</f>
        <v>1</v>
      </c>
      <c r="AE492" s="122" t="b">
        <f>IF(ISBLANK(GroupMember[[#This Row],[1. Identifiant interne d’exploitation agricole*]]),"",IF(ISERROR(MATCH(GroupMember[[#This Row],[1. Identifiant interne d’exploitation agricole*]],FarmUnit[1. Identifiant interne d’exploitation agricole*],0)),FALSE,TRUE))</f>
        <v>1</v>
      </c>
      <c r="AF492" s="9" t="str">
        <f t="shared" si="21"/>
        <v>MEAMIN FORTUNE</v>
      </c>
      <c r="AG492" s="243" t="str">
        <f t="shared" si="22"/>
        <v>15/9/2021</v>
      </c>
      <c r="AH492" s="51">
        <f>COUNTIFS(Z:Z,Z492,AG:AG,AG492)</f>
        <v>5</v>
      </c>
      <c r="AI492" s="49">
        <f t="shared" si="23"/>
        <v>0</v>
      </c>
    </row>
    <row r="493" spans="1:35" ht="15" x14ac:dyDescent="0.2">
      <c r="A493" s="193" t="s">
        <v>2131</v>
      </c>
      <c r="B493" s="146" t="s">
        <v>668</v>
      </c>
      <c r="C493" s="193" t="s">
        <v>2131</v>
      </c>
      <c r="D493" s="192" t="s">
        <v>1716</v>
      </c>
      <c r="E493" s="146" t="s">
        <v>670</v>
      </c>
      <c r="F493" s="146" t="s">
        <v>671</v>
      </c>
      <c r="G493" s="146" t="s">
        <v>672</v>
      </c>
      <c r="H493" s="148">
        <v>0.93</v>
      </c>
      <c r="I493" s="146" t="s">
        <v>673</v>
      </c>
      <c r="J493" s="149">
        <v>1</v>
      </c>
      <c r="K493" s="150">
        <v>2021</v>
      </c>
      <c r="L493" s="153" t="s">
        <v>2132</v>
      </c>
      <c r="M493" s="153" t="s">
        <v>2133</v>
      </c>
      <c r="N493" s="172" t="s">
        <v>2134</v>
      </c>
      <c r="O493" s="199"/>
      <c r="P493" s="150" t="s">
        <v>676</v>
      </c>
      <c r="Q493" s="150"/>
      <c r="R493" s="155">
        <v>5</v>
      </c>
      <c r="S493" s="168"/>
      <c r="T493" s="168"/>
      <c r="U493" s="146"/>
      <c r="V493" s="146"/>
      <c r="W493" s="146"/>
      <c r="X493" s="156">
        <v>0</v>
      </c>
      <c r="Y493" s="156">
        <v>0</v>
      </c>
      <c r="Z493" s="157" t="s">
        <v>1454</v>
      </c>
      <c r="AA493" s="174">
        <v>2021</v>
      </c>
      <c r="AB493" s="175">
        <v>9</v>
      </c>
      <c r="AC493" s="175">
        <v>9</v>
      </c>
      <c r="AD493" s="122" t="b">
        <f>IF(ISBLANK(GroupMember[[#This Row],[1. Identifiant interne d’exploitation agricole*]]),"",IF(ISERROR(MATCH(GroupMember[[#This Row],[1. Identifiant interne d’exploitation agricole*]],CertifiedCrop[1. Identifiant interne d’exploitation agricole*],0)),FALSE,TRUE))</f>
        <v>1</v>
      </c>
      <c r="AE493" s="122" t="b">
        <f>IF(ISBLANK(GroupMember[[#This Row],[1. Identifiant interne d’exploitation agricole*]]),"",IF(ISERROR(MATCH(GroupMember[[#This Row],[1. Identifiant interne d’exploitation agricole*]],FarmUnit[1. Identifiant interne d’exploitation agricole*],0)),FALSE,TRUE))</f>
        <v>1</v>
      </c>
      <c r="AF493" s="9" t="str">
        <f t="shared" si="21"/>
        <v>TOMAN MAHEULOU</v>
      </c>
      <c r="AG493" s="243" t="str">
        <f t="shared" si="22"/>
        <v>9/9/2021</v>
      </c>
      <c r="AH493" s="51">
        <f>COUNTIFS(Z:Z,Z493,AG:AG,AG493)</f>
        <v>5</v>
      </c>
      <c r="AI493" s="49">
        <f t="shared" si="23"/>
        <v>0</v>
      </c>
    </row>
    <row r="494" spans="1:35" ht="15" x14ac:dyDescent="0.2">
      <c r="A494" s="193" t="s">
        <v>2135</v>
      </c>
      <c r="B494" s="146" t="s">
        <v>668</v>
      </c>
      <c r="C494" s="193" t="s">
        <v>2135</v>
      </c>
      <c r="D494" s="192" t="s">
        <v>1716</v>
      </c>
      <c r="E494" s="146" t="s">
        <v>670</v>
      </c>
      <c r="F494" s="146" t="s">
        <v>671</v>
      </c>
      <c r="G494" s="146" t="s">
        <v>672</v>
      </c>
      <c r="H494" s="148">
        <v>1.42</v>
      </c>
      <c r="I494" s="146" t="s">
        <v>673</v>
      </c>
      <c r="J494" s="149">
        <v>1</v>
      </c>
      <c r="K494" s="150">
        <v>2021</v>
      </c>
      <c r="L494" s="153" t="s">
        <v>795</v>
      </c>
      <c r="M494" s="153" t="s">
        <v>2084</v>
      </c>
      <c r="N494" s="172" t="s">
        <v>2136</v>
      </c>
      <c r="O494" s="199"/>
      <c r="P494" s="150" t="s">
        <v>676</v>
      </c>
      <c r="Q494" s="150"/>
      <c r="R494" s="155">
        <v>4</v>
      </c>
      <c r="S494" s="168"/>
      <c r="T494" s="168"/>
      <c r="U494" s="146"/>
      <c r="V494" s="146"/>
      <c r="W494" s="146"/>
      <c r="X494" s="156">
        <v>0</v>
      </c>
      <c r="Y494" s="156">
        <v>0</v>
      </c>
      <c r="Z494" s="157" t="s">
        <v>1454</v>
      </c>
      <c r="AA494" s="174">
        <v>2021</v>
      </c>
      <c r="AB494" s="175">
        <v>9</v>
      </c>
      <c r="AC494" s="175">
        <v>16</v>
      </c>
      <c r="AD494" s="122" t="b">
        <f>IF(ISBLANK(GroupMember[[#This Row],[1. Identifiant interne d’exploitation agricole*]]),"",IF(ISERROR(MATCH(GroupMember[[#This Row],[1. Identifiant interne d’exploitation agricole*]],CertifiedCrop[1. Identifiant interne d’exploitation agricole*],0)),FALSE,TRUE))</f>
        <v>1</v>
      </c>
      <c r="AE494" s="122" t="b">
        <f>IF(ISBLANK(GroupMember[[#This Row],[1. Identifiant interne d’exploitation agricole*]]),"",IF(ISERROR(MATCH(GroupMember[[#This Row],[1. Identifiant interne d’exploitation agricole*]],FarmUnit[1. Identifiant interne d’exploitation agricole*],0)),FALSE,TRUE))</f>
        <v>1</v>
      </c>
      <c r="AF494" s="9" t="str">
        <f t="shared" si="21"/>
        <v>GOMPOU  ROGER</v>
      </c>
      <c r="AG494" s="243" t="str">
        <f t="shared" si="22"/>
        <v>16/9/2021</v>
      </c>
      <c r="AH494" s="51">
        <f>COUNTIFS(Z:Z,Z494,AG:AG,AG494)</f>
        <v>5</v>
      </c>
      <c r="AI494" s="49">
        <f t="shared" si="23"/>
        <v>0</v>
      </c>
    </row>
    <row r="495" spans="1:35" ht="15" x14ac:dyDescent="0.2">
      <c r="A495" s="193" t="s">
        <v>2137</v>
      </c>
      <c r="B495" s="146" t="s">
        <v>668</v>
      </c>
      <c r="C495" s="193" t="s">
        <v>2137</v>
      </c>
      <c r="D495" s="192" t="s">
        <v>1716</v>
      </c>
      <c r="E495" s="146" t="s">
        <v>670</v>
      </c>
      <c r="F495" s="146" t="s">
        <v>671</v>
      </c>
      <c r="G495" s="146" t="s">
        <v>672</v>
      </c>
      <c r="H495" s="148">
        <v>2.3199999999999998</v>
      </c>
      <c r="I495" s="146" t="s">
        <v>673</v>
      </c>
      <c r="J495" s="149">
        <v>1</v>
      </c>
      <c r="K495" s="150">
        <v>2021</v>
      </c>
      <c r="L495" s="153" t="s">
        <v>2138</v>
      </c>
      <c r="M495" s="153" t="s">
        <v>1676</v>
      </c>
      <c r="N495" s="172"/>
      <c r="O495" s="199"/>
      <c r="P495" s="150" t="s">
        <v>676</v>
      </c>
      <c r="Q495" s="150"/>
      <c r="R495" s="155">
        <v>6</v>
      </c>
      <c r="S495" s="168"/>
      <c r="T495" s="168"/>
      <c r="U495" s="146"/>
      <c r="V495" s="146"/>
      <c r="W495" s="146"/>
      <c r="X495" s="156">
        <v>0</v>
      </c>
      <c r="Y495" s="156">
        <v>0</v>
      </c>
      <c r="Z495" s="157" t="s">
        <v>1454</v>
      </c>
      <c r="AA495" s="174">
        <v>2021</v>
      </c>
      <c r="AB495" s="175">
        <v>9</v>
      </c>
      <c r="AC495" s="175">
        <v>4</v>
      </c>
      <c r="AD495" s="122" t="b">
        <f>IF(ISBLANK(GroupMember[[#This Row],[1. Identifiant interne d’exploitation agricole*]]),"",IF(ISERROR(MATCH(GroupMember[[#This Row],[1. Identifiant interne d’exploitation agricole*]],CertifiedCrop[1. Identifiant interne d’exploitation agricole*],0)),FALSE,TRUE))</f>
        <v>1</v>
      </c>
      <c r="AE495" s="122" t="b">
        <f>IF(ISBLANK(GroupMember[[#This Row],[1. Identifiant interne d’exploitation agricole*]]),"",IF(ISERROR(MATCH(GroupMember[[#This Row],[1. Identifiant interne d’exploitation agricole*]],FarmUnit[1. Identifiant interne d’exploitation agricole*],0)),FALSE,TRUE))</f>
        <v>1</v>
      </c>
      <c r="AF495" s="9" t="str">
        <f t="shared" si="21"/>
        <v>DOUE  ANICET</v>
      </c>
      <c r="AG495" s="243" t="str">
        <f t="shared" si="22"/>
        <v>4/9/2021</v>
      </c>
      <c r="AH495" s="51">
        <f>COUNTIFS(Z:Z,Z495,AG:AG,AG495)</f>
        <v>5</v>
      </c>
      <c r="AI495" s="49">
        <f t="shared" si="23"/>
        <v>0</v>
      </c>
    </row>
    <row r="496" spans="1:35" ht="15" x14ac:dyDescent="0.2">
      <c r="A496" s="193" t="s">
        <v>2139</v>
      </c>
      <c r="B496" s="146" t="s">
        <v>668</v>
      </c>
      <c r="C496" s="193" t="s">
        <v>2139</v>
      </c>
      <c r="D496" s="192" t="s">
        <v>1716</v>
      </c>
      <c r="E496" s="146" t="s">
        <v>670</v>
      </c>
      <c r="F496" s="146" t="s">
        <v>671</v>
      </c>
      <c r="G496" s="146" t="s">
        <v>672</v>
      </c>
      <c r="H496" s="148">
        <v>1.1200000000000001</v>
      </c>
      <c r="I496" s="146" t="s">
        <v>673</v>
      </c>
      <c r="J496" s="149">
        <v>1</v>
      </c>
      <c r="K496" s="150">
        <v>2021</v>
      </c>
      <c r="L496" s="153" t="s">
        <v>2114</v>
      </c>
      <c r="M496" s="153" t="s">
        <v>2140</v>
      </c>
      <c r="N496" s="172" t="s">
        <v>2141</v>
      </c>
      <c r="O496" s="199"/>
      <c r="P496" s="150" t="s">
        <v>676</v>
      </c>
      <c r="Q496" s="150"/>
      <c r="R496" s="155">
        <v>5</v>
      </c>
      <c r="S496" s="168"/>
      <c r="T496" s="168"/>
      <c r="U496" s="146"/>
      <c r="V496" s="146"/>
      <c r="W496" s="146"/>
      <c r="X496" s="156">
        <v>0</v>
      </c>
      <c r="Y496" s="156">
        <v>0</v>
      </c>
      <c r="Z496" s="157" t="s">
        <v>1454</v>
      </c>
      <c r="AA496" s="174">
        <v>2021</v>
      </c>
      <c r="AB496" s="175">
        <v>9</v>
      </c>
      <c r="AC496" s="175">
        <v>15</v>
      </c>
      <c r="AD496" s="122" t="b">
        <f>IF(ISBLANK(GroupMember[[#This Row],[1. Identifiant interne d’exploitation agricole*]]),"",IF(ISERROR(MATCH(GroupMember[[#This Row],[1. Identifiant interne d’exploitation agricole*]],CertifiedCrop[1. Identifiant interne d’exploitation agricole*],0)),FALSE,TRUE))</f>
        <v>1</v>
      </c>
      <c r="AE496" s="122" t="b">
        <f>IF(ISBLANK(GroupMember[[#This Row],[1. Identifiant interne d’exploitation agricole*]]),"",IF(ISERROR(MATCH(GroupMember[[#This Row],[1. Identifiant interne d’exploitation agricole*]],FarmUnit[1. Identifiant interne d’exploitation agricole*],0)),FALSE,TRUE))</f>
        <v>1</v>
      </c>
      <c r="AF496" s="9" t="str">
        <f t="shared" si="21"/>
        <v>HOUA  PAULIN</v>
      </c>
      <c r="AG496" s="243" t="str">
        <f t="shared" si="22"/>
        <v>15/9/2021</v>
      </c>
      <c r="AH496" s="51">
        <f>COUNTIFS(Z:Z,Z496,AG:AG,AG496)</f>
        <v>5</v>
      </c>
      <c r="AI496" s="49">
        <f t="shared" si="23"/>
        <v>0</v>
      </c>
    </row>
    <row r="497" spans="1:35" ht="15" x14ac:dyDescent="0.2">
      <c r="A497" s="193" t="s">
        <v>2142</v>
      </c>
      <c r="B497" s="146" t="s">
        <v>668</v>
      </c>
      <c r="C497" s="193" t="s">
        <v>2142</v>
      </c>
      <c r="D497" s="192" t="s">
        <v>1716</v>
      </c>
      <c r="E497" s="146" t="s">
        <v>670</v>
      </c>
      <c r="F497" s="146" t="s">
        <v>671</v>
      </c>
      <c r="G497" s="146" t="s">
        <v>672</v>
      </c>
      <c r="H497" s="148">
        <v>1.22</v>
      </c>
      <c r="I497" s="146" t="s">
        <v>673</v>
      </c>
      <c r="J497" s="149">
        <v>1</v>
      </c>
      <c r="K497" s="150">
        <v>2021</v>
      </c>
      <c r="L497" s="153" t="s">
        <v>883</v>
      </c>
      <c r="M497" s="153" t="s">
        <v>2143</v>
      </c>
      <c r="N497" s="172" t="s">
        <v>2144</v>
      </c>
      <c r="O497" s="199"/>
      <c r="P497" s="150" t="s">
        <v>676</v>
      </c>
      <c r="Q497" s="150"/>
      <c r="R497" s="155">
        <v>4</v>
      </c>
      <c r="S497" s="168"/>
      <c r="T497" s="168"/>
      <c r="U497" s="146"/>
      <c r="V497" s="146"/>
      <c r="W497" s="146"/>
      <c r="X497" s="156">
        <v>0</v>
      </c>
      <c r="Y497" s="156">
        <v>0</v>
      </c>
      <c r="Z497" s="157" t="s">
        <v>1454</v>
      </c>
      <c r="AA497" s="174">
        <v>2021</v>
      </c>
      <c r="AB497" s="175">
        <v>9</v>
      </c>
      <c r="AC497" s="175">
        <v>11</v>
      </c>
      <c r="AD497" s="122" t="b">
        <f>IF(ISBLANK(GroupMember[[#This Row],[1. Identifiant interne d’exploitation agricole*]]),"",IF(ISERROR(MATCH(GroupMember[[#This Row],[1. Identifiant interne d’exploitation agricole*]],CertifiedCrop[1. Identifiant interne d’exploitation agricole*],0)),FALSE,TRUE))</f>
        <v>1</v>
      </c>
      <c r="AE497" s="122" t="b">
        <f>IF(ISBLANK(GroupMember[[#This Row],[1. Identifiant interne d’exploitation agricole*]]),"",IF(ISERROR(MATCH(GroupMember[[#This Row],[1. Identifiant interne d’exploitation agricole*]],FarmUnit[1. Identifiant interne d’exploitation agricole*],0)),FALSE,TRUE))</f>
        <v>1</v>
      </c>
      <c r="AF497" s="9" t="str">
        <f t="shared" si="21"/>
        <v>TIEU  FIDEL</v>
      </c>
      <c r="AG497" s="243" t="str">
        <f t="shared" si="22"/>
        <v>11/9/2021</v>
      </c>
      <c r="AH497" s="51">
        <f>COUNTIFS(Z:Z,Z497,AG:AG,AG497)</f>
        <v>5</v>
      </c>
      <c r="AI497" s="49">
        <f t="shared" si="23"/>
        <v>0</v>
      </c>
    </row>
    <row r="498" spans="1:35" ht="15" x14ac:dyDescent="0.2">
      <c r="A498" s="193" t="s">
        <v>2145</v>
      </c>
      <c r="B498" s="146" t="s">
        <v>668</v>
      </c>
      <c r="C498" s="193" t="s">
        <v>2145</v>
      </c>
      <c r="D498" s="200" t="s">
        <v>2146</v>
      </c>
      <c r="E498" s="146" t="s">
        <v>670</v>
      </c>
      <c r="F498" s="146" t="s">
        <v>671</v>
      </c>
      <c r="G498" s="146" t="s">
        <v>672</v>
      </c>
      <c r="H498" s="148">
        <v>1.7</v>
      </c>
      <c r="I498" s="146" t="s">
        <v>673</v>
      </c>
      <c r="J498" s="149">
        <v>1</v>
      </c>
      <c r="K498" s="150">
        <v>2021</v>
      </c>
      <c r="L498" s="153" t="s">
        <v>776</v>
      </c>
      <c r="M498" s="153" t="s">
        <v>2147</v>
      </c>
      <c r="N498" s="172" t="s">
        <v>2148</v>
      </c>
      <c r="O498" s="199"/>
      <c r="P498" s="150" t="s">
        <v>676</v>
      </c>
      <c r="Q498" s="150"/>
      <c r="R498" s="155">
        <v>6</v>
      </c>
      <c r="S498" s="168"/>
      <c r="T498" s="168"/>
      <c r="U498" s="146"/>
      <c r="V498" s="146"/>
      <c r="W498" s="146"/>
      <c r="X498" s="156">
        <v>0</v>
      </c>
      <c r="Y498" s="156">
        <v>0</v>
      </c>
      <c r="Z498" s="157" t="s">
        <v>1454</v>
      </c>
      <c r="AA498" s="174">
        <v>2021</v>
      </c>
      <c r="AB498" s="175">
        <v>9</v>
      </c>
      <c r="AC498" s="175">
        <v>6</v>
      </c>
      <c r="AD498" s="122" t="b">
        <f>IF(ISBLANK(GroupMember[[#This Row],[1. Identifiant interne d’exploitation agricole*]]),"",IF(ISERROR(MATCH(GroupMember[[#This Row],[1. Identifiant interne d’exploitation agricole*]],CertifiedCrop[1. Identifiant interne d’exploitation agricole*],0)),FALSE,TRUE))</f>
        <v>1</v>
      </c>
      <c r="AE498" s="122" t="b">
        <f>IF(ISBLANK(GroupMember[[#This Row],[1. Identifiant interne d’exploitation agricole*]]),"",IF(ISERROR(MATCH(GroupMember[[#This Row],[1. Identifiant interne d’exploitation agricole*]],FarmUnit[1. Identifiant interne d’exploitation agricole*],0)),FALSE,TRUE))</f>
        <v>1</v>
      </c>
      <c r="AF498" s="9" t="str">
        <f t="shared" si="21"/>
        <v>SAMA  MADY</v>
      </c>
      <c r="AG498" s="243" t="str">
        <f t="shared" si="22"/>
        <v>6/9/2021</v>
      </c>
      <c r="AH498" s="51">
        <f>COUNTIFS(Z:Z,Z498,AG:AG,AG498)</f>
        <v>4</v>
      </c>
      <c r="AI498" s="49">
        <f t="shared" si="23"/>
        <v>0</v>
      </c>
    </row>
    <row r="499" spans="1:35" ht="15" x14ac:dyDescent="0.2">
      <c r="A499" s="193" t="s">
        <v>2149</v>
      </c>
      <c r="B499" s="146" t="s">
        <v>668</v>
      </c>
      <c r="C499" s="193" t="s">
        <v>2149</v>
      </c>
      <c r="D499" s="200" t="s">
        <v>2146</v>
      </c>
      <c r="E499" s="146" t="s">
        <v>670</v>
      </c>
      <c r="F499" s="146" t="s">
        <v>671</v>
      </c>
      <c r="G499" s="146" t="s">
        <v>672</v>
      </c>
      <c r="H499" s="148">
        <v>4.1399999999999997</v>
      </c>
      <c r="I499" s="146" t="s">
        <v>673</v>
      </c>
      <c r="J499" s="149">
        <v>1</v>
      </c>
      <c r="K499" s="150">
        <v>2021</v>
      </c>
      <c r="L499" s="201" t="s">
        <v>2150</v>
      </c>
      <c r="M499" s="201" t="s">
        <v>2151</v>
      </c>
      <c r="N499" s="202">
        <v>777983362</v>
      </c>
      <c r="O499" s="203"/>
      <c r="P499" s="204" t="s">
        <v>676</v>
      </c>
      <c r="Q499" s="204"/>
      <c r="R499" s="155">
        <v>8</v>
      </c>
      <c r="S499" s="168"/>
      <c r="T499" s="168"/>
      <c r="U499" s="146"/>
      <c r="V499" s="146"/>
      <c r="W499" s="146"/>
      <c r="X499" s="156">
        <v>0</v>
      </c>
      <c r="Y499" s="156">
        <v>0</v>
      </c>
      <c r="Z499" s="157" t="s">
        <v>1454</v>
      </c>
      <c r="AA499" s="174">
        <v>2021</v>
      </c>
      <c r="AB499" s="175">
        <v>9</v>
      </c>
      <c r="AC499" s="175">
        <v>14</v>
      </c>
      <c r="AD499" s="122" t="b">
        <f>IF(ISBLANK(GroupMember[[#This Row],[1. Identifiant interne d’exploitation agricole*]]),"",IF(ISERROR(MATCH(GroupMember[[#This Row],[1. Identifiant interne d’exploitation agricole*]],CertifiedCrop[1. Identifiant interne d’exploitation agricole*],0)),FALSE,TRUE))</f>
        <v>1</v>
      </c>
      <c r="AE499" s="122" t="b">
        <f>IF(ISBLANK(GroupMember[[#This Row],[1. Identifiant interne d’exploitation agricole*]]),"",IF(ISERROR(MATCH(GroupMember[[#This Row],[1. Identifiant interne d’exploitation agricole*]],FarmUnit[1. Identifiant interne d’exploitation agricole*],0)),FALSE,TRUE))</f>
        <v>1</v>
      </c>
      <c r="AF499" s="9" t="str">
        <f t="shared" ref="AF499:AF562" si="24">IFERROR(CONCATENATE(L499," ",M499),"")</f>
        <v>KASSIM DIARRA</v>
      </c>
      <c r="AG499" s="243" t="str">
        <f t="shared" ref="AG499:AG562" si="25">CONCATENATE(AC499,"/",AB499,"/",AA499)</f>
        <v>14/9/2021</v>
      </c>
      <c r="AH499" s="51">
        <f>COUNTIFS(Z:Z,Z499,AG:AG,AG499)</f>
        <v>4</v>
      </c>
      <c r="AI499" s="49">
        <f t="shared" ref="AI499:AI562" si="26">IF((X499+Y499/12)&lt;0,"",(X499+Y499/12))</f>
        <v>0</v>
      </c>
    </row>
    <row r="500" spans="1:35" ht="15" x14ac:dyDescent="0.2">
      <c r="A500" s="193" t="s">
        <v>2152</v>
      </c>
      <c r="B500" s="146" t="s">
        <v>668</v>
      </c>
      <c r="C500" s="193" t="s">
        <v>2152</v>
      </c>
      <c r="D500" s="200" t="s">
        <v>2146</v>
      </c>
      <c r="E500" s="146" t="s">
        <v>670</v>
      </c>
      <c r="F500" s="146" t="s">
        <v>671</v>
      </c>
      <c r="G500" s="146" t="s">
        <v>672</v>
      </c>
      <c r="H500" s="148">
        <v>4.0999999999999996</v>
      </c>
      <c r="I500" s="146" t="s">
        <v>673</v>
      </c>
      <c r="J500" s="149">
        <v>1</v>
      </c>
      <c r="K500" s="150">
        <v>2021</v>
      </c>
      <c r="L500" s="201" t="s">
        <v>2153</v>
      </c>
      <c r="M500" s="201" t="s">
        <v>2154</v>
      </c>
      <c r="N500" s="202">
        <v>749868065</v>
      </c>
      <c r="O500" s="203"/>
      <c r="P500" s="204" t="s">
        <v>676</v>
      </c>
      <c r="Q500" s="204"/>
      <c r="R500" s="155">
        <v>5</v>
      </c>
      <c r="S500" s="168"/>
      <c r="T500" s="168"/>
      <c r="U500" s="146"/>
      <c r="V500" s="146"/>
      <c r="W500" s="146"/>
      <c r="X500" s="156">
        <v>0</v>
      </c>
      <c r="Y500" s="156">
        <v>0</v>
      </c>
      <c r="Z500" s="157" t="s">
        <v>1454</v>
      </c>
      <c r="AA500" s="174">
        <v>2021</v>
      </c>
      <c r="AB500" s="175">
        <v>9</v>
      </c>
      <c r="AC500" s="175">
        <v>9</v>
      </c>
      <c r="AD500" s="122" t="b">
        <f>IF(ISBLANK(GroupMember[[#This Row],[1. Identifiant interne d’exploitation agricole*]]),"",IF(ISERROR(MATCH(GroupMember[[#This Row],[1. Identifiant interne d’exploitation agricole*]],CertifiedCrop[1. Identifiant interne d’exploitation agricole*],0)),FALSE,TRUE))</f>
        <v>1</v>
      </c>
      <c r="AE500" s="122" t="b">
        <f>IF(ISBLANK(GroupMember[[#This Row],[1. Identifiant interne d’exploitation agricole*]]),"",IF(ISERROR(MATCH(GroupMember[[#This Row],[1. Identifiant interne d’exploitation agricole*]],FarmUnit[1. Identifiant interne d’exploitation agricole*],0)),FALSE,TRUE))</f>
        <v>1</v>
      </c>
      <c r="AF500" s="9" t="str">
        <f t="shared" si="24"/>
        <v>DJAKARIDJA DIAKITE</v>
      </c>
      <c r="AG500" s="243" t="str">
        <f t="shared" si="25"/>
        <v>9/9/2021</v>
      </c>
      <c r="AH500" s="51">
        <f>COUNTIFS(Z:Z,Z500,AG:AG,AG500)</f>
        <v>5</v>
      </c>
      <c r="AI500" s="49">
        <f t="shared" si="26"/>
        <v>0</v>
      </c>
    </row>
    <row r="501" spans="1:35" ht="15" x14ac:dyDescent="0.2">
      <c r="A501" s="193" t="s">
        <v>2155</v>
      </c>
      <c r="B501" s="146" t="s">
        <v>668</v>
      </c>
      <c r="C501" s="193" t="s">
        <v>2155</v>
      </c>
      <c r="D501" s="200" t="s">
        <v>2146</v>
      </c>
      <c r="E501" s="146" t="s">
        <v>670</v>
      </c>
      <c r="F501" s="146" t="s">
        <v>671</v>
      </c>
      <c r="G501" s="146" t="s">
        <v>672</v>
      </c>
      <c r="H501" s="148">
        <v>4.93</v>
      </c>
      <c r="I501" s="146" t="s">
        <v>673</v>
      </c>
      <c r="J501" s="149">
        <v>1</v>
      </c>
      <c r="K501" s="150">
        <v>2021</v>
      </c>
      <c r="L501" s="201" t="s">
        <v>1805</v>
      </c>
      <c r="M501" s="201" t="s">
        <v>754</v>
      </c>
      <c r="N501" s="202">
        <v>747333066</v>
      </c>
      <c r="O501" s="285" t="s">
        <v>3444</v>
      </c>
      <c r="P501" s="204" t="s">
        <v>676</v>
      </c>
      <c r="Q501" s="217">
        <v>1983</v>
      </c>
      <c r="R501" s="155">
        <v>6</v>
      </c>
      <c r="S501" s="168"/>
      <c r="T501" s="168"/>
      <c r="U501" s="146"/>
      <c r="V501" s="146"/>
      <c r="W501" s="146"/>
      <c r="X501" s="156">
        <v>0</v>
      </c>
      <c r="Y501" s="156">
        <v>0</v>
      </c>
      <c r="Z501" s="157" t="s">
        <v>1454</v>
      </c>
      <c r="AA501" s="174">
        <v>2021</v>
      </c>
      <c r="AB501" s="175">
        <v>9</v>
      </c>
      <c r="AC501" s="175">
        <v>15</v>
      </c>
      <c r="AD501" s="122" t="b">
        <f>IF(ISBLANK(GroupMember[[#This Row],[1. Identifiant interne d’exploitation agricole*]]),"",IF(ISERROR(MATCH(GroupMember[[#This Row],[1. Identifiant interne d’exploitation agricole*]],CertifiedCrop[1. Identifiant interne d’exploitation agricole*],0)),FALSE,TRUE))</f>
        <v>1</v>
      </c>
      <c r="AE501" s="122" t="b">
        <f>IF(ISBLANK(GroupMember[[#This Row],[1. Identifiant interne d’exploitation agricole*]]),"",IF(ISERROR(MATCH(GroupMember[[#This Row],[1. Identifiant interne d’exploitation agricole*]],FarmUnit[1. Identifiant interne d’exploitation agricole*],0)),FALSE,TRUE))</f>
        <v>1</v>
      </c>
      <c r="AF501" s="9" t="str">
        <f t="shared" si="24"/>
        <v>YAYA  DIARRA</v>
      </c>
      <c r="AG501" s="243" t="str">
        <f t="shared" si="25"/>
        <v>15/9/2021</v>
      </c>
      <c r="AH501" s="51">
        <f>COUNTIFS(Z:Z,Z501,AG:AG,AG501)</f>
        <v>5</v>
      </c>
      <c r="AI501" s="49">
        <f t="shared" si="26"/>
        <v>0</v>
      </c>
    </row>
    <row r="502" spans="1:35" ht="15" x14ac:dyDescent="0.2">
      <c r="A502" s="205" t="s">
        <v>2156</v>
      </c>
      <c r="B502" s="180" t="s">
        <v>668</v>
      </c>
      <c r="C502" s="205" t="s">
        <v>2156</v>
      </c>
      <c r="D502" s="200" t="s">
        <v>2146</v>
      </c>
      <c r="E502" s="180" t="s">
        <v>670</v>
      </c>
      <c r="F502" s="180" t="s">
        <v>671</v>
      </c>
      <c r="G502" s="180" t="s">
        <v>672</v>
      </c>
      <c r="H502" s="181">
        <v>4.38</v>
      </c>
      <c r="I502" s="180" t="s">
        <v>673</v>
      </c>
      <c r="J502" s="182">
        <v>2</v>
      </c>
      <c r="K502" s="179">
        <v>2021</v>
      </c>
      <c r="L502" s="206" t="s">
        <v>1785</v>
      </c>
      <c r="M502" s="206" t="s">
        <v>754</v>
      </c>
      <c r="N502" s="207" t="s">
        <v>2157</v>
      </c>
      <c r="O502" s="286"/>
      <c r="P502" s="204" t="s">
        <v>676</v>
      </c>
      <c r="Q502" s="290"/>
      <c r="R502" s="155">
        <v>8</v>
      </c>
      <c r="S502" s="185"/>
      <c r="T502" s="185"/>
      <c r="U502" s="180"/>
      <c r="V502" s="180"/>
      <c r="W502" s="180"/>
      <c r="X502" s="186">
        <v>0</v>
      </c>
      <c r="Y502" s="186">
        <v>0</v>
      </c>
      <c r="Z502" s="187" t="s">
        <v>1454</v>
      </c>
      <c r="AA502" s="174">
        <v>2021</v>
      </c>
      <c r="AB502" s="188">
        <v>9</v>
      </c>
      <c r="AC502" s="188">
        <v>4</v>
      </c>
      <c r="AD502" s="122" t="b">
        <f>IF(ISBLANK(GroupMember[[#This Row],[1. Identifiant interne d’exploitation agricole*]]),"",IF(ISERROR(MATCH(GroupMember[[#This Row],[1. Identifiant interne d’exploitation agricole*]],CertifiedCrop[1. Identifiant interne d’exploitation agricole*],0)),FALSE,TRUE))</f>
        <v>1</v>
      </c>
      <c r="AE502" s="122" t="b">
        <f>IF(ISBLANK(GroupMember[[#This Row],[1. Identifiant interne d’exploitation agricole*]]),"",IF(ISERROR(MATCH(GroupMember[[#This Row],[1. Identifiant interne d’exploitation agricole*]],FarmUnit[1. Identifiant interne d’exploitation agricole*],0)),FALSE,TRUE))</f>
        <v>1</v>
      </c>
      <c r="AF502" s="9" t="str">
        <f t="shared" si="24"/>
        <v>MAMADOU  DIARRA</v>
      </c>
      <c r="AG502" s="243" t="str">
        <f t="shared" si="25"/>
        <v>4/9/2021</v>
      </c>
      <c r="AH502" s="51">
        <f>COUNTIFS(Z:Z,Z502,AG:AG,AG502)</f>
        <v>5</v>
      </c>
      <c r="AI502" s="49">
        <f t="shared" si="26"/>
        <v>0</v>
      </c>
    </row>
    <row r="503" spans="1:35" ht="15" x14ac:dyDescent="0.2">
      <c r="A503" s="193" t="s">
        <v>2158</v>
      </c>
      <c r="B503" s="146" t="s">
        <v>668</v>
      </c>
      <c r="C503" s="193" t="s">
        <v>2158</v>
      </c>
      <c r="D503" s="200" t="s">
        <v>2146</v>
      </c>
      <c r="E503" s="146" t="s">
        <v>670</v>
      </c>
      <c r="F503" s="146" t="s">
        <v>671</v>
      </c>
      <c r="G503" s="146" t="s">
        <v>672</v>
      </c>
      <c r="H503" s="148">
        <v>3.46</v>
      </c>
      <c r="I503" s="146" t="s">
        <v>673</v>
      </c>
      <c r="J503" s="149">
        <v>1</v>
      </c>
      <c r="K503" s="150">
        <v>2021</v>
      </c>
      <c r="L503" s="201" t="s">
        <v>2159</v>
      </c>
      <c r="M503" s="201" t="s">
        <v>825</v>
      </c>
      <c r="N503" s="202"/>
      <c r="O503" s="217" t="s">
        <v>3445</v>
      </c>
      <c r="P503" s="204" t="s">
        <v>676</v>
      </c>
      <c r="Q503" s="217">
        <v>1970</v>
      </c>
      <c r="R503" s="155">
        <v>8</v>
      </c>
      <c r="S503" s="168"/>
      <c r="T503" s="168"/>
      <c r="U503" s="146"/>
      <c r="V503" s="146"/>
      <c r="W503" s="146"/>
      <c r="X503" s="156">
        <v>0</v>
      </c>
      <c r="Y503" s="156">
        <v>0</v>
      </c>
      <c r="Z503" s="157" t="s">
        <v>2160</v>
      </c>
      <c r="AA503" s="158">
        <v>2021</v>
      </c>
      <c r="AB503" s="158">
        <v>7</v>
      </c>
      <c r="AC503" s="158">
        <v>3</v>
      </c>
      <c r="AD503" s="122" t="b">
        <f>IF(ISBLANK(GroupMember[[#This Row],[1. Identifiant interne d’exploitation agricole*]]),"",IF(ISERROR(MATCH(GroupMember[[#This Row],[1. Identifiant interne d’exploitation agricole*]],CertifiedCrop[1. Identifiant interne d’exploitation agricole*],0)),FALSE,TRUE))</f>
        <v>1</v>
      </c>
      <c r="AE503" s="122" t="b">
        <f>IF(ISBLANK(GroupMember[[#This Row],[1. Identifiant interne d’exploitation agricole*]]),"",IF(ISERROR(MATCH(GroupMember[[#This Row],[1. Identifiant interne d’exploitation agricole*]],FarmUnit[1. Identifiant interne d’exploitation agricole*],0)),FALSE,TRUE))</f>
        <v>1</v>
      </c>
      <c r="AF503" s="9" t="str">
        <f t="shared" si="24"/>
        <v>DIARRASSOUBA  MAMADOU</v>
      </c>
      <c r="AG503" s="243" t="str">
        <f t="shared" si="25"/>
        <v>3/7/2021</v>
      </c>
      <c r="AH503" s="51">
        <f>COUNTIFS(Z:Z,Z503,AG:AG,AG503)</f>
        <v>4</v>
      </c>
      <c r="AI503" s="49">
        <f t="shared" si="26"/>
        <v>0</v>
      </c>
    </row>
    <row r="504" spans="1:35" ht="15" x14ac:dyDescent="0.2">
      <c r="A504" s="193" t="s">
        <v>2161</v>
      </c>
      <c r="B504" s="146" t="s">
        <v>668</v>
      </c>
      <c r="C504" s="193" t="s">
        <v>2161</v>
      </c>
      <c r="D504" s="200" t="s">
        <v>2146</v>
      </c>
      <c r="E504" s="146" t="s">
        <v>670</v>
      </c>
      <c r="F504" s="146" t="s">
        <v>671</v>
      </c>
      <c r="G504" s="146" t="s">
        <v>672</v>
      </c>
      <c r="H504" s="148">
        <v>3.41</v>
      </c>
      <c r="I504" s="146" t="s">
        <v>673</v>
      </c>
      <c r="J504" s="149">
        <v>1</v>
      </c>
      <c r="K504" s="150">
        <v>2021</v>
      </c>
      <c r="L504" s="201" t="s">
        <v>2162</v>
      </c>
      <c r="M504" s="201" t="s">
        <v>754</v>
      </c>
      <c r="N504" s="202">
        <v>777549547</v>
      </c>
      <c r="O504" s="217" t="s">
        <v>3446</v>
      </c>
      <c r="P504" s="204" t="s">
        <v>676</v>
      </c>
      <c r="Q504" s="217">
        <v>1979</v>
      </c>
      <c r="R504" s="155">
        <v>6</v>
      </c>
      <c r="S504" s="168"/>
      <c r="T504" s="168"/>
      <c r="U504" s="146"/>
      <c r="V504" s="146"/>
      <c r="W504" s="146"/>
      <c r="X504" s="156">
        <v>0</v>
      </c>
      <c r="Y504" s="156">
        <v>0</v>
      </c>
      <c r="Z504" s="157" t="s">
        <v>2160</v>
      </c>
      <c r="AA504" s="158">
        <v>2021</v>
      </c>
      <c r="AB504" s="158">
        <v>7</v>
      </c>
      <c r="AC504" s="158">
        <v>6</v>
      </c>
      <c r="AD504" s="122" t="b">
        <f>IF(ISBLANK(GroupMember[[#This Row],[1. Identifiant interne d’exploitation agricole*]]),"",IF(ISERROR(MATCH(GroupMember[[#This Row],[1. Identifiant interne d’exploitation agricole*]],CertifiedCrop[1. Identifiant interne d’exploitation agricole*],0)),FALSE,TRUE))</f>
        <v>1</v>
      </c>
      <c r="AE504" s="122" t="b">
        <f>IF(ISBLANK(GroupMember[[#This Row],[1. Identifiant interne d’exploitation agricole*]]),"",IF(ISERROR(MATCH(GroupMember[[#This Row],[1. Identifiant interne d’exploitation agricole*]],FarmUnit[1. Identifiant interne d’exploitation agricole*],0)),FALSE,TRUE))</f>
        <v>1</v>
      </c>
      <c r="AF504" s="9" t="str">
        <f t="shared" si="24"/>
        <v>INZHA  DIARRA</v>
      </c>
      <c r="AG504" s="243" t="str">
        <f t="shared" si="25"/>
        <v>6/7/2021</v>
      </c>
      <c r="AH504" s="51">
        <f>COUNTIFS(Z:Z,Z504,AG:AG,AG504)</f>
        <v>4</v>
      </c>
      <c r="AI504" s="49">
        <f t="shared" si="26"/>
        <v>0</v>
      </c>
    </row>
    <row r="505" spans="1:35" ht="15" x14ac:dyDescent="0.2">
      <c r="A505" s="193" t="s">
        <v>2163</v>
      </c>
      <c r="B505" s="146" t="s">
        <v>668</v>
      </c>
      <c r="C505" s="193" t="s">
        <v>2163</v>
      </c>
      <c r="D505" s="200" t="s">
        <v>2146</v>
      </c>
      <c r="E505" s="146" t="s">
        <v>670</v>
      </c>
      <c r="F505" s="146" t="s">
        <v>671</v>
      </c>
      <c r="G505" s="146" t="s">
        <v>672</v>
      </c>
      <c r="H505" s="148">
        <v>5.2</v>
      </c>
      <c r="I505" s="146" t="s">
        <v>673</v>
      </c>
      <c r="J505" s="149">
        <v>2</v>
      </c>
      <c r="K505" s="150">
        <v>2021</v>
      </c>
      <c r="L505" s="201" t="s">
        <v>2154</v>
      </c>
      <c r="M505" s="201" t="s">
        <v>2164</v>
      </c>
      <c r="N505" s="202">
        <v>748726888</v>
      </c>
      <c r="O505" s="217" t="s">
        <v>3447</v>
      </c>
      <c r="P505" s="204" t="s">
        <v>676</v>
      </c>
      <c r="Q505" s="217">
        <v>1991</v>
      </c>
      <c r="R505" s="155">
        <v>5</v>
      </c>
      <c r="S505" s="168"/>
      <c r="T505" s="168"/>
      <c r="U505" s="146"/>
      <c r="V505" s="146"/>
      <c r="W505" s="146"/>
      <c r="X505" s="156">
        <v>0</v>
      </c>
      <c r="Y505" s="156">
        <v>0</v>
      </c>
      <c r="Z505" s="157" t="s">
        <v>2160</v>
      </c>
      <c r="AA505" s="158">
        <v>2021</v>
      </c>
      <c r="AB505" s="158">
        <v>7</v>
      </c>
      <c r="AC505" s="158">
        <v>10</v>
      </c>
      <c r="AD505" s="122" t="b">
        <f>IF(ISBLANK(GroupMember[[#This Row],[1. Identifiant interne d’exploitation agricole*]]),"",IF(ISERROR(MATCH(GroupMember[[#This Row],[1. Identifiant interne d’exploitation agricole*]],CertifiedCrop[1. Identifiant interne d’exploitation agricole*],0)),FALSE,TRUE))</f>
        <v>1</v>
      </c>
      <c r="AE505" s="122" t="b">
        <f>IF(ISBLANK(GroupMember[[#This Row],[1. Identifiant interne d’exploitation agricole*]]),"",IF(ISERROR(MATCH(GroupMember[[#This Row],[1. Identifiant interne d’exploitation agricole*]],FarmUnit[1. Identifiant interne d’exploitation agricole*],0)),FALSE,TRUE))</f>
        <v>1</v>
      </c>
      <c r="AF505" s="9" t="str">
        <f t="shared" si="24"/>
        <v xml:space="preserve">DIAKITE ADAMA </v>
      </c>
      <c r="AG505" s="243" t="str">
        <f t="shared" si="25"/>
        <v>10/7/2021</v>
      </c>
      <c r="AH505" s="51">
        <f>COUNTIFS(Z:Z,Z505,AG:AG,AG505)</f>
        <v>4</v>
      </c>
      <c r="AI505" s="49">
        <f t="shared" si="26"/>
        <v>0</v>
      </c>
    </row>
    <row r="506" spans="1:35" ht="15" x14ac:dyDescent="0.2">
      <c r="A506" s="193" t="s">
        <v>2165</v>
      </c>
      <c r="B506" s="146" t="s">
        <v>668</v>
      </c>
      <c r="C506" s="193" t="s">
        <v>2165</v>
      </c>
      <c r="D506" s="200" t="s">
        <v>2146</v>
      </c>
      <c r="E506" s="146" t="s">
        <v>670</v>
      </c>
      <c r="F506" s="146" t="s">
        <v>671</v>
      </c>
      <c r="G506" s="146" t="s">
        <v>672</v>
      </c>
      <c r="H506" s="148">
        <v>4.2300000000000004</v>
      </c>
      <c r="I506" s="146" t="s">
        <v>673</v>
      </c>
      <c r="J506" s="149">
        <v>1</v>
      </c>
      <c r="K506" s="150">
        <v>2021</v>
      </c>
      <c r="L506" s="201" t="s">
        <v>2166</v>
      </c>
      <c r="M506" s="201" t="s">
        <v>754</v>
      </c>
      <c r="N506" s="202"/>
      <c r="O506" s="217" t="s">
        <v>3448</v>
      </c>
      <c r="P506" s="204" t="s">
        <v>676</v>
      </c>
      <c r="Q506" s="217">
        <v>1974</v>
      </c>
      <c r="R506" s="155">
        <v>4</v>
      </c>
      <c r="S506" s="168"/>
      <c r="T506" s="168"/>
      <c r="U506" s="146"/>
      <c r="V506" s="146"/>
      <c r="W506" s="146"/>
      <c r="X506" s="156">
        <v>0</v>
      </c>
      <c r="Y506" s="156">
        <v>0</v>
      </c>
      <c r="Z506" s="157" t="s">
        <v>2160</v>
      </c>
      <c r="AA506" s="158">
        <v>2021</v>
      </c>
      <c r="AB506" s="158">
        <v>7</v>
      </c>
      <c r="AC506" s="158">
        <v>19</v>
      </c>
      <c r="AD506" s="122" t="b">
        <f>IF(ISBLANK(GroupMember[[#This Row],[1. Identifiant interne d’exploitation agricole*]]),"",IF(ISERROR(MATCH(GroupMember[[#This Row],[1. Identifiant interne d’exploitation agricole*]],CertifiedCrop[1. Identifiant interne d’exploitation agricole*],0)),FALSE,TRUE))</f>
        <v>1</v>
      </c>
      <c r="AE506" s="122" t="b">
        <f>IF(ISBLANK(GroupMember[[#This Row],[1. Identifiant interne d’exploitation agricole*]]),"",IF(ISERROR(MATCH(GroupMember[[#This Row],[1. Identifiant interne d’exploitation agricole*]],FarmUnit[1. Identifiant interne d’exploitation agricole*],0)),FALSE,TRUE))</f>
        <v>1</v>
      </c>
      <c r="AF506" s="9" t="str">
        <f t="shared" si="24"/>
        <v>SOUMAILA  DIARRA</v>
      </c>
      <c r="AG506" s="243" t="str">
        <f t="shared" si="25"/>
        <v>19/7/2021</v>
      </c>
      <c r="AH506" s="51">
        <f>COUNTIFS(Z:Z,Z506,AG:AG,AG506)</f>
        <v>4</v>
      </c>
      <c r="AI506" s="49">
        <f t="shared" si="26"/>
        <v>0</v>
      </c>
    </row>
    <row r="507" spans="1:35" ht="15" x14ac:dyDescent="0.2">
      <c r="A507" s="193" t="s">
        <v>2167</v>
      </c>
      <c r="B507" s="146" t="s">
        <v>668</v>
      </c>
      <c r="C507" s="193" t="s">
        <v>2167</v>
      </c>
      <c r="D507" s="200" t="s">
        <v>2146</v>
      </c>
      <c r="E507" s="146" t="s">
        <v>670</v>
      </c>
      <c r="F507" s="146" t="s">
        <v>671</v>
      </c>
      <c r="G507" s="146" t="s">
        <v>672</v>
      </c>
      <c r="H507" s="148">
        <v>3.82</v>
      </c>
      <c r="I507" s="146" t="s">
        <v>673</v>
      </c>
      <c r="J507" s="149">
        <v>1</v>
      </c>
      <c r="K507" s="150">
        <v>2021</v>
      </c>
      <c r="L507" s="201" t="s">
        <v>765</v>
      </c>
      <c r="M507" s="201" t="s">
        <v>2168</v>
      </c>
      <c r="N507" s="202">
        <v>748066740</v>
      </c>
      <c r="O507" s="217" t="s">
        <v>3449</v>
      </c>
      <c r="P507" s="204" t="s">
        <v>676</v>
      </c>
      <c r="Q507" s="217">
        <v>1968</v>
      </c>
      <c r="R507" s="155">
        <v>7</v>
      </c>
      <c r="S507" s="168"/>
      <c r="T507" s="168"/>
      <c r="U507" s="146"/>
      <c r="V507" s="146"/>
      <c r="W507" s="146"/>
      <c r="X507" s="156">
        <v>0</v>
      </c>
      <c r="Y507" s="156">
        <v>0</v>
      </c>
      <c r="Z507" s="157" t="s">
        <v>2160</v>
      </c>
      <c r="AA507" s="158">
        <v>2021</v>
      </c>
      <c r="AB507" s="158">
        <v>7</v>
      </c>
      <c r="AC507" s="158">
        <v>21</v>
      </c>
      <c r="AD507" s="122" t="b">
        <f>IF(ISBLANK(GroupMember[[#This Row],[1. Identifiant interne d’exploitation agricole*]]),"",IF(ISERROR(MATCH(GroupMember[[#This Row],[1. Identifiant interne d’exploitation agricole*]],CertifiedCrop[1. Identifiant interne d’exploitation agricole*],0)),FALSE,TRUE))</f>
        <v>1</v>
      </c>
      <c r="AE507" s="122" t="b">
        <f>IF(ISBLANK(GroupMember[[#This Row],[1. Identifiant interne d’exploitation agricole*]]),"",IF(ISERROR(MATCH(GroupMember[[#This Row],[1. Identifiant interne d’exploitation agricole*]],FarmUnit[1. Identifiant interne d’exploitation agricole*],0)),FALSE,TRUE))</f>
        <v>1</v>
      </c>
      <c r="AF507" s="9" t="str">
        <f t="shared" si="24"/>
        <v>KONE  MOMINE</v>
      </c>
      <c r="AG507" s="243" t="str">
        <f t="shared" si="25"/>
        <v>21/7/2021</v>
      </c>
      <c r="AH507" s="51">
        <f>COUNTIFS(Z:Z,Z507,AG:AG,AG507)</f>
        <v>5</v>
      </c>
      <c r="AI507" s="49">
        <f t="shared" si="26"/>
        <v>0</v>
      </c>
    </row>
    <row r="508" spans="1:35" ht="15" x14ac:dyDescent="0.2">
      <c r="A508" s="193" t="s">
        <v>2169</v>
      </c>
      <c r="B508" s="146" t="s">
        <v>668</v>
      </c>
      <c r="C508" s="193" t="s">
        <v>2169</v>
      </c>
      <c r="D508" s="200" t="s">
        <v>2146</v>
      </c>
      <c r="E508" s="146" t="s">
        <v>670</v>
      </c>
      <c r="F508" s="146" t="s">
        <v>671</v>
      </c>
      <c r="G508" s="146" t="s">
        <v>672</v>
      </c>
      <c r="H508" s="148">
        <v>2.56</v>
      </c>
      <c r="I508" s="146" t="s">
        <v>673</v>
      </c>
      <c r="J508" s="149">
        <v>1</v>
      </c>
      <c r="K508" s="150">
        <v>2021</v>
      </c>
      <c r="L508" s="201" t="s">
        <v>2170</v>
      </c>
      <c r="M508" s="201" t="s">
        <v>2171</v>
      </c>
      <c r="N508" s="202" t="s">
        <v>2172</v>
      </c>
      <c r="O508" s="282" t="s">
        <v>3450</v>
      </c>
      <c r="P508" s="204" t="s">
        <v>676</v>
      </c>
      <c r="Q508" s="217">
        <v>1992</v>
      </c>
      <c r="R508" s="155">
        <v>8</v>
      </c>
      <c r="S508" s="168"/>
      <c r="T508" s="168"/>
      <c r="U508" s="146"/>
      <c r="V508" s="146"/>
      <c r="W508" s="146"/>
      <c r="X508" s="156">
        <v>0</v>
      </c>
      <c r="Y508" s="156">
        <v>0</v>
      </c>
      <c r="Z508" s="157" t="s">
        <v>2160</v>
      </c>
      <c r="AA508" s="158">
        <v>2021</v>
      </c>
      <c r="AB508" s="158">
        <v>7</v>
      </c>
      <c r="AC508" s="158">
        <v>23</v>
      </c>
      <c r="AD508" s="122" t="b">
        <f>IF(ISBLANK(GroupMember[[#This Row],[1. Identifiant interne d’exploitation agricole*]]),"",IF(ISERROR(MATCH(GroupMember[[#This Row],[1. Identifiant interne d’exploitation agricole*]],CertifiedCrop[1. Identifiant interne d’exploitation agricole*],0)),FALSE,TRUE))</f>
        <v>1</v>
      </c>
      <c r="AE508" s="122" t="b">
        <f>IF(ISBLANK(GroupMember[[#This Row],[1. Identifiant interne d’exploitation agricole*]]),"",IF(ISERROR(MATCH(GroupMember[[#This Row],[1. Identifiant interne d’exploitation agricole*]],FarmUnit[1. Identifiant interne d’exploitation agricole*],0)),FALSE,TRUE))</f>
        <v>1</v>
      </c>
      <c r="AF508" s="9" t="str">
        <f t="shared" si="24"/>
        <v>KEITA  DAOUDA</v>
      </c>
      <c r="AG508" s="243" t="str">
        <f t="shared" si="25"/>
        <v>23/7/2021</v>
      </c>
      <c r="AH508" s="51">
        <f>COUNTIFS(Z:Z,Z508,AG:AG,AG508)</f>
        <v>5</v>
      </c>
      <c r="AI508" s="49">
        <f t="shared" si="26"/>
        <v>0</v>
      </c>
    </row>
    <row r="509" spans="1:35" ht="15" x14ac:dyDescent="0.2">
      <c r="A509" s="193" t="s">
        <v>2173</v>
      </c>
      <c r="B509" s="146" t="s">
        <v>668</v>
      </c>
      <c r="C509" s="193" t="s">
        <v>2173</v>
      </c>
      <c r="D509" s="200" t="s">
        <v>2146</v>
      </c>
      <c r="E509" s="146" t="s">
        <v>670</v>
      </c>
      <c r="F509" s="146" t="s">
        <v>671</v>
      </c>
      <c r="G509" s="146" t="s">
        <v>672</v>
      </c>
      <c r="H509" s="148">
        <v>2.54</v>
      </c>
      <c r="I509" s="146" t="s">
        <v>673</v>
      </c>
      <c r="J509" s="149">
        <v>1</v>
      </c>
      <c r="K509" s="150">
        <v>2021</v>
      </c>
      <c r="L509" s="201" t="s">
        <v>2151</v>
      </c>
      <c r="M509" s="201" t="s">
        <v>2166</v>
      </c>
      <c r="N509" s="202">
        <v>708585429</v>
      </c>
      <c r="O509" s="217" t="s">
        <v>3451</v>
      </c>
      <c r="P509" s="204" t="s">
        <v>676</v>
      </c>
      <c r="Q509" s="217">
        <v>1976</v>
      </c>
      <c r="R509" s="155">
        <v>7</v>
      </c>
      <c r="S509" s="168"/>
      <c r="T509" s="168"/>
      <c r="U509" s="146"/>
      <c r="V509" s="146"/>
      <c r="W509" s="146"/>
      <c r="X509" s="156">
        <v>0</v>
      </c>
      <c r="Y509" s="156">
        <v>0</v>
      </c>
      <c r="Z509" s="157" t="s">
        <v>2160</v>
      </c>
      <c r="AA509" s="158">
        <v>2021</v>
      </c>
      <c r="AB509" s="158">
        <v>7</v>
      </c>
      <c r="AC509" s="158">
        <v>23</v>
      </c>
      <c r="AD509" s="122" t="b">
        <f>IF(ISBLANK(GroupMember[[#This Row],[1. Identifiant interne d’exploitation agricole*]]),"",IF(ISERROR(MATCH(GroupMember[[#This Row],[1. Identifiant interne d’exploitation agricole*]],CertifiedCrop[1. Identifiant interne d’exploitation agricole*],0)),FALSE,TRUE))</f>
        <v>1</v>
      </c>
      <c r="AE509" s="122" t="b">
        <f>IF(ISBLANK(GroupMember[[#This Row],[1. Identifiant interne d’exploitation agricole*]]),"",IF(ISERROR(MATCH(GroupMember[[#This Row],[1. Identifiant interne d’exploitation agricole*]],FarmUnit[1. Identifiant interne d’exploitation agricole*],0)),FALSE,TRUE))</f>
        <v>1</v>
      </c>
      <c r="AF509" s="9" t="str">
        <f t="shared" si="24"/>
        <v>DIARRA SOUMAILA</v>
      </c>
      <c r="AG509" s="243" t="str">
        <f t="shared" si="25"/>
        <v>23/7/2021</v>
      </c>
      <c r="AH509" s="51">
        <f>COUNTIFS(Z:Z,Z509,AG:AG,AG509)</f>
        <v>5</v>
      </c>
      <c r="AI509" s="49">
        <f t="shared" si="26"/>
        <v>0</v>
      </c>
    </row>
    <row r="510" spans="1:35" ht="15" x14ac:dyDescent="0.2">
      <c r="A510" s="193" t="s">
        <v>2174</v>
      </c>
      <c r="B510" s="146" t="s">
        <v>668</v>
      </c>
      <c r="C510" s="193" t="s">
        <v>2174</v>
      </c>
      <c r="D510" s="200" t="s">
        <v>2146</v>
      </c>
      <c r="E510" s="146" t="s">
        <v>670</v>
      </c>
      <c r="F510" s="146" t="s">
        <v>671</v>
      </c>
      <c r="G510" s="146" t="s">
        <v>672</v>
      </c>
      <c r="H510" s="148">
        <v>2.77</v>
      </c>
      <c r="I510" s="146" t="s">
        <v>673</v>
      </c>
      <c r="J510" s="149">
        <v>1</v>
      </c>
      <c r="K510" s="150">
        <v>2021</v>
      </c>
      <c r="L510" s="201" t="s">
        <v>2175</v>
      </c>
      <c r="M510" s="201" t="s">
        <v>1140</v>
      </c>
      <c r="N510" s="202" t="s">
        <v>2176</v>
      </c>
      <c r="O510" s="294" t="s">
        <v>3452</v>
      </c>
      <c r="P510" s="204" t="s">
        <v>676</v>
      </c>
      <c r="Q510" s="217">
        <v>1986</v>
      </c>
      <c r="R510" s="155">
        <v>7</v>
      </c>
      <c r="S510" s="168"/>
      <c r="T510" s="168"/>
      <c r="U510" s="146"/>
      <c r="V510" s="146"/>
      <c r="W510" s="146"/>
      <c r="X510" s="156">
        <v>0</v>
      </c>
      <c r="Y510" s="156">
        <v>0</v>
      </c>
      <c r="Z510" s="157" t="s">
        <v>2160</v>
      </c>
      <c r="AA510" s="158">
        <v>2021</v>
      </c>
      <c r="AB510" s="158">
        <v>7</v>
      </c>
      <c r="AC510" s="158">
        <v>7</v>
      </c>
      <c r="AD510" s="122" t="b">
        <f>IF(ISBLANK(GroupMember[[#This Row],[1. Identifiant interne d’exploitation agricole*]]),"",IF(ISERROR(MATCH(GroupMember[[#This Row],[1. Identifiant interne d’exploitation agricole*]],CertifiedCrop[1. Identifiant interne d’exploitation agricole*],0)),FALSE,TRUE))</f>
        <v>1</v>
      </c>
      <c r="AE510" s="122" t="b">
        <f>IF(ISBLANK(GroupMember[[#This Row],[1. Identifiant interne d’exploitation agricole*]]),"",IF(ISERROR(MATCH(GroupMember[[#This Row],[1. Identifiant interne d’exploitation agricole*]],FarmUnit[1. Identifiant interne d’exploitation agricole*],0)),FALSE,TRUE))</f>
        <v>1</v>
      </c>
      <c r="AF510" s="9" t="str">
        <f t="shared" si="24"/>
        <v>TAYOUROU  DIAKITE</v>
      </c>
      <c r="AG510" s="243" t="str">
        <f t="shared" si="25"/>
        <v>7/7/2021</v>
      </c>
      <c r="AH510" s="51">
        <f>COUNTIFS(Z:Z,Z510,AG:AG,AG510)</f>
        <v>4</v>
      </c>
      <c r="AI510" s="49">
        <f t="shared" si="26"/>
        <v>0</v>
      </c>
    </row>
    <row r="511" spans="1:35" ht="15" x14ac:dyDescent="0.2">
      <c r="A511" s="193" t="s">
        <v>2177</v>
      </c>
      <c r="B511" s="146" t="s">
        <v>668</v>
      </c>
      <c r="C511" s="193" t="s">
        <v>2177</v>
      </c>
      <c r="D511" s="200" t="s">
        <v>2146</v>
      </c>
      <c r="E511" s="146" t="s">
        <v>670</v>
      </c>
      <c r="F511" s="146" t="s">
        <v>671</v>
      </c>
      <c r="G511" s="146" t="s">
        <v>672</v>
      </c>
      <c r="H511" s="148">
        <v>1.44</v>
      </c>
      <c r="I511" s="146" t="s">
        <v>673</v>
      </c>
      <c r="J511" s="149">
        <v>1</v>
      </c>
      <c r="K511" s="150">
        <v>2021</v>
      </c>
      <c r="L511" s="201" t="s">
        <v>1358</v>
      </c>
      <c r="M511" s="201" t="s">
        <v>716</v>
      </c>
      <c r="N511" s="202">
        <v>758172670</v>
      </c>
      <c r="O511" s="295"/>
      <c r="P511" s="204" t="s">
        <v>676</v>
      </c>
      <c r="Q511" s="290"/>
      <c r="R511" s="155">
        <v>7</v>
      </c>
      <c r="S511" s="168"/>
      <c r="T511" s="168"/>
      <c r="U511" s="146"/>
      <c r="V511" s="146"/>
      <c r="W511" s="146"/>
      <c r="X511" s="156">
        <v>0</v>
      </c>
      <c r="Y511" s="156">
        <v>0</v>
      </c>
      <c r="Z511" s="157" t="s">
        <v>2160</v>
      </c>
      <c r="AA511" s="158">
        <v>2021</v>
      </c>
      <c r="AB511" s="158">
        <v>7</v>
      </c>
      <c r="AC511" s="158">
        <v>10</v>
      </c>
      <c r="AD511" s="122" t="b">
        <f>IF(ISBLANK(GroupMember[[#This Row],[1. Identifiant interne d’exploitation agricole*]]),"",IF(ISERROR(MATCH(GroupMember[[#This Row],[1. Identifiant interne d’exploitation agricole*]],CertifiedCrop[1. Identifiant interne d’exploitation agricole*],0)),FALSE,TRUE))</f>
        <v>1</v>
      </c>
      <c r="AE511" s="122" t="b">
        <f>IF(ISBLANK(GroupMember[[#This Row],[1. Identifiant interne d’exploitation agricole*]]),"",IF(ISERROR(MATCH(GroupMember[[#This Row],[1. Identifiant interne d’exploitation agricole*]],FarmUnit[1. Identifiant interne d’exploitation agricole*],0)),FALSE,TRUE))</f>
        <v>1</v>
      </c>
      <c r="AF511" s="9" t="str">
        <f t="shared" si="24"/>
        <v>SIDIBE  KASSOUM</v>
      </c>
      <c r="AG511" s="243" t="str">
        <f t="shared" si="25"/>
        <v>10/7/2021</v>
      </c>
      <c r="AH511" s="51">
        <f>COUNTIFS(Z:Z,Z511,AG:AG,AG511)</f>
        <v>4</v>
      </c>
      <c r="AI511" s="49">
        <f t="shared" si="26"/>
        <v>0</v>
      </c>
    </row>
    <row r="512" spans="1:35" ht="15" x14ac:dyDescent="0.2">
      <c r="A512" s="193" t="s">
        <v>2178</v>
      </c>
      <c r="B512" s="146" t="s">
        <v>668</v>
      </c>
      <c r="C512" s="193" t="s">
        <v>2178</v>
      </c>
      <c r="D512" s="200" t="s">
        <v>2146</v>
      </c>
      <c r="E512" s="146" t="s">
        <v>670</v>
      </c>
      <c r="F512" s="146" t="s">
        <v>671</v>
      </c>
      <c r="G512" s="146" t="s">
        <v>672</v>
      </c>
      <c r="H512" s="148">
        <v>2.12</v>
      </c>
      <c r="I512" s="146" t="s">
        <v>673</v>
      </c>
      <c r="J512" s="149">
        <v>2</v>
      </c>
      <c r="K512" s="150">
        <v>2021</v>
      </c>
      <c r="L512" s="201" t="s">
        <v>2179</v>
      </c>
      <c r="M512" s="201" t="s">
        <v>2180</v>
      </c>
      <c r="N512" s="202">
        <v>749144367</v>
      </c>
      <c r="O512" s="296"/>
      <c r="P512" s="204" t="s">
        <v>676</v>
      </c>
      <c r="Q512" s="290"/>
      <c r="R512" s="155">
        <v>8</v>
      </c>
      <c r="S512" s="168"/>
      <c r="T512" s="168"/>
      <c r="U512" s="146"/>
      <c r="V512" s="146"/>
      <c r="W512" s="146"/>
      <c r="X512" s="156">
        <v>0</v>
      </c>
      <c r="Y512" s="156">
        <v>0</v>
      </c>
      <c r="Z512" s="157" t="s">
        <v>2160</v>
      </c>
      <c r="AA512" s="158">
        <v>2021</v>
      </c>
      <c r="AB512" s="158">
        <v>7</v>
      </c>
      <c r="AC512" s="158">
        <v>19</v>
      </c>
      <c r="AD512" s="122" t="b">
        <f>IF(ISBLANK(GroupMember[[#This Row],[1. Identifiant interne d’exploitation agricole*]]),"",IF(ISERROR(MATCH(GroupMember[[#This Row],[1. Identifiant interne d’exploitation agricole*]],CertifiedCrop[1. Identifiant interne d’exploitation agricole*],0)),FALSE,TRUE))</f>
        <v>1</v>
      </c>
      <c r="AE512" s="122" t="b">
        <f>IF(ISBLANK(GroupMember[[#This Row],[1. Identifiant interne d’exploitation agricole*]]),"",IF(ISERROR(MATCH(GroupMember[[#This Row],[1. Identifiant interne d’exploitation agricole*]],FarmUnit[1. Identifiant interne d’exploitation agricole*],0)),FALSE,TRUE))</f>
        <v>1</v>
      </c>
      <c r="AF512" s="9" t="str">
        <f t="shared" si="24"/>
        <v xml:space="preserve">DIALLO  LAMINE </v>
      </c>
      <c r="AG512" s="243" t="str">
        <f t="shared" si="25"/>
        <v>19/7/2021</v>
      </c>
      <c r="AH512" s="51">
        <f>COUNTIFS(Z:Z,Z512,AG:AG,AG512)</f>
        <v>4</v>
      </c>
      <c r="AI512" s="49">
        <f t="shared" si="26"/>
        <v>0</v>
      </c>
    </row>
    <row r="513" spans="1:35" ht="15" x14ac:dyDescent="0.2">
      <c r="A513" s="193" t="s">
        <v>2181</v>
      </c>
      <c r="B513" s="146" t="s">
        <v>668</v>
      </c>
      <c r="C513" s="193" t="s">
        <v>2181</v>
      </c>
      <c r="D513" s="200" t="s">
        <v>2146</v>
      </c>
      <c r="E513" s="146" t="s">
        <v>670</v>
      </c>
      <c r="F513" s="146" t="s">
        <v>671</v>
      </c>
      <c r="G513" s="146" t="s">
        <v>672</v>
      </c>
      <c r="H513" s="148">
        <v>3.9</v>
      </c>
      <c r="I513" s="146" t="s">
        <v>673</v>
      </c>
      <c r="J513" s="149">
        <v>1</v>
      </c>
      <c r="K513" s="150">
        <v>2021</v>
      </c>
      <c r="L513" s="201" t="s">
        <v>682</v>
      </c>
      <c r="M513" s="201" t="s">
        <v>1011</v>
      </c>
      <c r="N513" s="202">
        <v>767542474</v>
      </c>
      <c r="O513" s="287" t="s">
        <v>3453</v>
      </c>
      <c r="P513" s="204" t="s">
        <v>676</v>
      </c>
      <c r="Q513" s="217">
        <v>1971</v>
      </c>
      <c r="R513" s="155">
        <v>5</v>
      </c>
      <c r="S513" s="168"/>
      <c r="T513" s="168"/>
      <c r="U513" s="146"/>
      <c r="V513" s="146"/>
      <c r="W513" s="146"/>
      <c r="X513" s="156">
        <v>0</v>
      </c>
      <c r="Y513" s="156">
        <v>0</v>
      </c>
      <c r="Z513" s="157" t="s">
        <v>2160</v>
      </c>
      <c r="AA513" s="158">
        <v>2021</v>
      </c>
      <c r="AB513" s="158">
        <v>7</v>
      </c>
      <c r="AC513" s="158">
        <v>21</v>
      </c>
      <c r="AD513" s="122" t="b">
        <f>IF(ISBLANK(GroupMember[[#This Row],[1. Identifiant interne d’exploitation agricole*]]),"",IF(ISERROR(MATCH(GroupMember[[#This Row],[1. Identifiant interne d’exploitation agricole*]],CertifiedCrop[1. Identifiant interne d’exploitation agricole*],0)),FALSE,TRUE))</f>
        <v>1</v>
      </c>
      <c r="AE513" s="122" t="b">
        <f>IF(ISBLANK(GroupMember[[#This Row],[1. Identifiant interne d’exploitation agricole*]]),"",IF(ISERROR(MATCH(GroupMember[[#This Row],[1. Identifiant interne d’exploitation agricole*]],FarmUnit[1. Identifiant interne d’exploitation agricole*],0)),FALSE,TRUE))</f>
        <v>1</v>
      </c>
      <c r="AF513" s="9" t="str">
        <f t="shared" si="24"/>
        <v>SANGARE  YOUSSOUF</v>
      </c>
      <c r="AG513" s="243" t="str">
        <f t="shared" si="25"/>
        <v>21/7/2021</v>
      </c>
      <c r="AH513" s="51">
        <f>COUNTIFS(Z:Z,Z513,AG:AG,AG513)</f>
        <v>5</v>
      </c>
      <c r="AI513" s="49">
        <f t="shared" si="26"/>
        <v>0</v>
      </c>
    </row>
    <row r="514" spans="1:35" ht="15" x14ac:dyDescent="0.2">
      <c r="A514" s="193" t="s">
        <v>2182</v>
      </c>
      <c r="B514" s="146" t="s">
        <v>668</v>
      </c>
      <c r="C514" s="193" t="s">
        <v>2182</v>
      </c>
      <c r="D514" s="200" t="s">
        <v>2146</v>
      </c>
      <c r="E514" s="146" t="s">
        <v>670</v>
      </c>
      <c r="F514" s="146" t="s">
        <v>671</v>
      </c>
      <c r="G514" s="146" t="s">
        <v>672</v>
      </c>
      <c r="H514" s="148">
        <v>4.0599999999999996</v>
      </c>
      <c r="I514" s="146" t="s">
        <v>673</v>
      </c>
      <c r="J514" s="149">
        <v>1</v>
      </c>
      <c r="K514" s="150">
        <v>2021</v>
      </c>
      <c r="L514" s="201" t="s">
        <v>765</v>
      </c>
      <c r="M514" s="201" t="s">
        <v>2183</v>
      </c>
      <c r="N514" s="202">
        <v>566330645</v>
      </c>
      <c r="O514" s="217" t="s">
        <v>3454</v>
      </c>
      <c r="P514" s="204" t="s">
        <v>676</v>
      </c>
      <c r="Q514" s="217">
        <v>1975</v>
      </c>
      <c r="R514" s="155">
        <v>4</v>
      </c>
      <c r="S514" s="168"/>
      <c r="T514" s="168"/>
      <c r="U514" s="146"/>
      <c r="V514" s="146"/>
      <c r="W514" s="146"/>
      <c r="X514" s="156">
        <v>0</v>
      </c>
      <c r="Y514" s="156">
        <v>0</v>
      </c>
      <c r="Z514" s="157" t="s">
        <v>2160</v>
      </c>
      <c r="AA514" s="158">
        <v>2021</v>
      </c>
      <c r="AB514" s="158">
        <v>7</v>
      </c>
      <c r="AC514" s="158">
        <v>20</v>
      </c>
      <c r="AD514" s="122" t="b">
        <f>IF(ISBLANK(GroupMember[[#This Row],[1. Identifiant interne d’exploitation agricole*]]),"",IF(ISERROR(MATCH(GroupMember[[#This Row],[1. Identifiant interne d’exploitation agricole*]],CertifiedCrop[1. Identifiant interne d’exploitation agricole*],0)),FALSE,TRUE))</f>
        <v>1</v>
      </c>
      <c r="AE514" s="122" t="b">
        <f>IF(ISBLANK(GroupMember[[#This Row],[1. Identifiant interne d’exploitation agricole*]]),"",IF(ISERROR(MATCH(GroupMember[[#This Row],[1. Identifiant interne d’exploitation agricole*]],FarmUnit[1. Identifiant interne d’exploitation agricole*],0)),FALSE,TRUE))</f>
        <v>1</v>
      </c>
      <c r="AF514" s="9" t="str">
        <f t="shared" si="24"/>
        <v>KONE IDRISSA</v>
      </c>
      <c r="AG514" s="243" t="str">
        <f t="shared" si="25"/>
        <v>20/7/2021</v>
      </c>
      <c r="AH514" s="51">
        <f>COUNTIFS(Z:Z,Z514,AG:AG,AG514)</f>
        <v>3</v>
      </c>
      <c r="AI514" s="49">
        <f t="shared" si="26"/>
        <v>0</v>
      </c>
    </row>
    <row r="515" spans="1:35" ht="15" x14ac:dyDescent="0.2">
      <c r="A515" s="193" t="s">
        <v>2184</v>
      </c>
      <c r="B515" s="146" t="s">
        <v>668</v>
      </c>
      <c r="C515" s="193" t="s">
        <v>2184</v>
      </c>
      <c r="D515" s="200" t="s">
        <v>2146</v>
      </c>
      <c r="E515" s="146" t="s">
        <v>670</v>
      </c>
      <c r="F515" s="146" t="s">
        <v>671</v>
      </c>
      <c r="G515" s="146" t="s">
        <v>672</v>
      </c>
      <c r="H515" s="148">
        <v>5.22</v>
      </c>
      <c r="I515" s="146" t="s">
        <v>673</v>
      </c>
      <c r="J515" s="149">
        <v>1</v>
      </c>
      <c r="K515" s="150">
        <v>2021</v>
      </c>
      <c r="L515" s="201" t="s">
        <v>707</v>
      </c>
      <c r="M515" s="201" t="s">
        <v>2185</v>
      </c>
      <c r="N515" s="202">
        <v>758986243</v>
      </c>
      <c r="O515" s="217" t="s">
        <v>3455</v>
      </c>
      <c r="P515" s="204" t="s">
        <v>676</v>
      </c>
      <c r="Q515" s="217">
        <v>1984</v>
      </c>
      <c r="R515" s="155">
        <v>4</v>
      </c>
      <c r="S515" s="168"/>
      <c r="T515" s="168"/>
      <c r="U515" s="146"/>
      <c r="V515" s="146"/>
      <c r="W515" s="146"/>
      <c r="X515" s="156">
        <v>0</v>
      </c>
      <c r="Y515" s="156">
        <v>0</v>
      </c>
      <c r="Z515" s="157" t="s">
        <v>2160</v>
      </c>
      <c r="AA515" s="158">
        <v>2021</v>
      </c>
      <c r="AB515" s="158">
        <v>7</v>
      </c>
      <c r="AC515" s="158">
        <v>10</v>
      </c>
      <c r="AD515" s="122" t="b">
        <f>IF(ISBLANK(GroupMember[[#This Row],[1. Identifiant interne d’exploitation agricole*]]),"",IF(ISERROR(MATCH(GroupMember[[#This Row],[1. Identifiant interne d’exploitation agricole*]],CertifiedCrop[1. Identifiant interne d’exploitation agricole*],0)),FALSE,TRUE))</f>
        <v>1</v>
      </c>
      <c r="AE515" s="122" t="b">
        <f>IF(ISBLANK(GroupMember[[#This Row],[1. Identifiant interne d’exploitation agricole*]]),"",IF(ISERROR(MATCH(GroupMember[[#This Row],[1. Identifiant interne d’exploitation agricole*]],FarmUnit[1. Identifiant interne d’exploitation agricole*],0)),FALSE,TRUE))</f>
        <v>1</v>
      </c>
      <c r="AF515" s="9" t="str">
        <f t="shared" si="24"/>
        <v>OUEDRAOGO  LAZARE</v>
      </c>
      <c r="AG515" s="243" t="str">
        <f t="shared" si="25"/>
        <v>10/7/2021</v>
      </c>
      <c r="AH515" s="51">
        <f>COUNTIFS(Z:Z,Z515,AG:AG,AG515)</f>
        <v>4</v>
      </c>
      <c r="AI515" s="49">
        <f t="shared" si="26"/>
        <v>0</v>
      </c>
    </row>
    <row r="516" spans="1:35" ht="15" x14ac:dyDescent="0.2">
      <c r="A516" s="193" t="s">
        <v>2186</v>
      </c>
      <c r="B516" s="146" t="s">
        <v>668</v>
      </c>
      <c r="C516" s="193" t="s">
        <v>2186</v>
      </c>
      <c r="D516" s="200" t="s">
        <v>2146</v>
      </c>
      <c r="E516" s="146" t="s">
        <v>670</v>
      </c>
      <c r="F516" s="146" t="s">
        <v>671</v>
      </c>
      <c r="G516" s="146" t="s">
        <v>672</v>
      </c>
      <c r="H516" s="148">
        <v>1.33</v>
      </c>
      <c r="I516" s="146" t="s">
        <v>673</v>
      </c>
      <c r="J516" s="149">
        <v>1</v>
      </c>
      <c r="K516" s="150">
        <v>2021</v>
      </c>
      <c r="L516" s="201" t="s">
        <v>2187</v>
      </c>
      <c r="M516" s="201" t="s">
        <v>2188</v>
      </c>
      <c r="N516" s="202"/>
      <c r="O516" s="217" t="s">
        <v>3456</v>
      </c>
      <c r="P516" s="204" t="s">
        <v>676</v>
      </c>
      <c r="Q516" s="217">
        <v>1988</v>
      </c>
      <c r="R516" s="155">
        <v>5</v>
      </c>
      <c r="S516" s="168"/>
      <c r="T516" s="168"/>
      <c r="U516" s="146"/>
      <c r="V516" s="146"/>
      <c r="W516" s="146"/>
      <c r="X516" s="156">
        <v>0</v>
      </c>
      <c r="Y516" s="156">
        <v>0</v>
      </c>
      <c r="Z516" s="157" t="s">
        <v>2160</v>
      </c>
      <c r="AA516" s="158">
        <v>2021</v>
      </c>
      <c r="AB516" s="158">
        <v>8</v>
      </c>
      <c r="AC516" s="158">
        <v>23</v>
      </c>
      <c r="AD516" s="122" t="b">
        <f>IF(ISBLANK(GroupMember[[#This Row],[1. Identifiant interne d’exploitation agricole*]]),"",IF(ISERROR(MATCH(GroupMember[[#This Row],[1. Identifiant interne d’exploitation agricole*]],CertifiedCrop[1. Identifiant interne d’exploitation agricole*],0)),FALSE,TRUE))</f>
        <v>1</v>
      </c>
      <c r="AE516" s="122" t="b">
        <f>IF(ISBLANK(GroupMember[[#This Row],[1. Identifiant interne d’exploitation agricole*]]),"",IF(ISERROR(MATCH(GroupMember[[#This Row],[1. Identifiant interne d’exploitation agricole*]],FarmUnit[1. Identifiant interne d’exploitation agricole*],0)),FALSE,TRUE))</f>
        <v>1</v>
      </c>
      <c r="AF516" s="9" t="str">
        <f t="shared" si="24"/>
        <v>GAHA  TEA ERIC</v>
      </c>
      <c r="AG516" s="243" t="str">
        <f t="shared" si="25"/>
        <v>23/8/2021</v>
      </c>
      <c r="AH516" s="51">
        <f>COUNTIFS(Z:Z,Z516,AG:AG,AG516)</f>
        <v>4</v>
      </c>
      <c r="AI516" s="49">
        <f t="shared" si="26"/>
        <v>0</v>
      </c>
    </row>
    <row r="517" spans="1:35" ht="15" x14ac:dyDescent="0.2">
      <c r="A517" s="193" t="s">
        <v>2189</v>
      </c>
      <c r="B517" s="146" t="s">
        <v>668</v>
      </c>
      <c r="C517" s="193" t="s">
        <v>2189</v>
      </c>
      <c r="D517" s="200" t="s">
        <v>2146</v>
      </c>
      <c r="E517" s="146" t="s">
        <v>670</v>
      </c>
      <c r="F517" s="146" t="s">
        <v>671</v>
      </c>
      <c r="G517" s="146" t="s">
        <v>672</v>
      </c>
      <c r="H517" s="148">
        <v>3.49</v>
      </c>
      <c r="I517" s="146" t="s">
        <v>673</v>
      </c>
      <c r="J517" s="149">
        <v>2</v>
      </c>
      <c r="K517" s="150">
        <v>2021</v>
      </c>
      <c r="L517" s="201" t="s">
        <v>2190</v>
      </c>
      <c r="M517" s="201" t="s">
        <v>2191</v>
      </c>
      <c r="N517" s="202">
        <v>708492177</v>
      </c>
      <c r="O517" s="217" t="s">
        <v>3457</v>
      </c>
      <c r="P517" s="204" t="s">
        <v>676</v>
      </c>
      <c r="Q517" s="217">
        <v>1989</v>
      </c>
      <c r="R517" s="155">
        <v>5</v>
      </c>
      <c r="S517" s="168"/>
      <c r="T517" s="168"/>
      <c r="U517" s="146"/>
      <c r="V517" s="146"/>
      <c r="W517" s="146"/>
      <c r="X517" s="156">
        <v>0</v>
      </c>
      <c r="Y517" s="156">
        <v>0</v>
      </c>
      <c r="Z517" s="157" t="s">
        <v>2160</v>
      </c>
      <c r="AA517" s="158">
        <v>2021</v>
      </c>
      <c r="AB517" s="158">
        <v>7</v>
      </c>
      <c r="AC517" s="158">
        <v>3</v>
      </c>
      <c r="AD517" s="122" t="b">
        <f>IF(ISBLANK(GroupMember[[#This Row],[1. Identifiant interne d’exploitation agricole*]]),"",IF(ISERROR(MATCH(GroupMember[[#This Row],[1. Identifiant interne d’exploitation agricole*]],CertifiedCrop[1. Identifiant interne d’exploitation agricole*],0)),FALSE,TRUE))</f>
        <v>1</v>
      </c>
      <c r="AE517" s="122" t="b">
        <f>IF(ISBLANK(GroupMember[[#This Row],[1. Identifiant interne d’exploitation agricole*]]),"",IF(ISERROR(MATCH(GroupMember[[#This Row],[1. Identifiant interne d’exploitation agricole*]],FarmUnit[1. Identifiant interne d’exploitation agricole*],0)),FALSE,TRUE))</f>
        <v>1</v>
      </c>
      <c r="AF517" s="9" t="str">
        <f t="shared" si="24"/>
        <v xml:space="preserve">SOMA  SALIF </v>
      </c>
      <c r="AG517" s="243" t="str">
        <f t="shared" si="25"/>
        <v>3/7/2021</v>
      </c>
      <c r="AH517" s="51">
        <f>COUNTIFS(Z:Z,Z517,AG:AG,AG517)</f>
        <v>4</v>
      </c>
      <c r="AI517" s="49">
        <f t="shared" si="26"/>
        <v>0</v>
      </c>
    </row>
    <row r="518" spans="1:35" ht="15" x14ac:dyDescent="0.2">
      <c r="A518" s="193" t="s">
        <v>2192</v>
      </c>
      <c r="B518" s="146" t="s">
        <v>668</v>
      </c>
      <c r="C518" s="193" t="s">
        <v>2192</v>
      </c>
      <c r="D518" s="200" t="s">
        <v>2146</v>
      </c>
      <c r="E518" s="146" t="s">
        <v>670</v>
      </c>
      <c r="F518" s="146" t="s">
        <v>671</v>
      </c>
      <c r="G518" s="146" t="s">
        <v>672</v>
      </c>
      <c r="H518" s="148">
        <v>10.27</v>
      </c>
      <c r="I518" s="146" t="s">
        <v>673</v>
      </c>
      <c r="J518" s="149">
        <v>2</v>
      </c>
      <c r="K518" s="150">
        <v>2021</v>
      </c>
      <c r="L518" s="201" t="s">
        <v>2193</v>
      </c>
      <c r="M518" s="201" t="s">
        <v>1075</v>
      </c>
      <c r="N518" s="202">
        <v>757510927</v>
      </c>
      <c r="O518" s="217" t="s">
        <v>3458</v>
      </c>
      <c r="P518" s="204" t="s">
        <v>676</v>
      </c>
      <c r="Q518" s="217">
        <v>1977</v>
      </c>
      <c r="R518" s="155">
        <v>4</v>
      </c>
      <c r="S518" s="168"/>
      <c r="T518" s="168"/>
      <c r="U518" s="146"/>
      <c r="V518" s="146"/>
      <c r="W518" s="146"/>
      <c r="X518" s="156">
        <v>0</v>
      </c>
      <c r="Y518" s="156">
        <v>0</v>
      </c>
      <c r="Z518" s="157" t="s">
        <v>2160</v>
      </c>
      <c r="AA518" s="158">
        <v>2021</v>
      </c>
      <c r="AB518" s="158">
        <v>7</v>
      </c>
      <c r="AC518" s="158">
        <v>12</v>
      </c>
      <c r="AD518" s="122" t="b">
        <f>IF(ISBLANK(GroupMember[[#This Row],[1. Identifiant interne d’exploitation agricole*]]),"",IF(ISERROR(MATCH(GroupMember[[#This Row],[1. Identifiant interne d’exploitation agricole*]],CertifiedCrop[1. Identifiant interne d’exploitation agricole*],0)),FALSE,TRUE))</f>
        <v>1</v>
      </c>
      <c r="AE518" s="122" t="b">
        <f>IF(ISBLANK(GroupMember[[#This Row],[1. Identifiant interne d’exploitation agricole*]]),"",IF(ISERROR(MATCH(GroupMember[[#This Row],[1. Identifiant interne d’exploitation agricole*]],FarmUnit[1. Identifiant interne d’exploitation agricole*],0)),FALSE,TRUE))</f>
        <v>1</v>
      </c>
      <c r="AF518" s="9" t="str">
        <f t="shared" si="24"/>
        <v>SAGNON  ISSOUF</v>
      </c>
      <c r="AG518" s="243" t="str">
        <f t="shared" si="25"/>
        <v>12/7/2021</v>
      </c>
      <c r="AH518" s="51">
        <f>COUNTIFS(Z:Z,Z518,AG:AG,AG518)</f>
        <v>3</v>
      </c>
      <c r="AI518" s="49">
        <f t="shared" si="26"/>
        <v>0</v>
      </c>
    </row>
    <row r="519" spans="1:35" ht="15" x14ac:dyDescent="0.2">
      <c r="A519" s="193" t="s">
        <v>2194</v>
      </c>
      <c r="B519" s="146" t="s">
        <v>668</v>
      </c>
      <c r="C519" s="193" t="s">
        <v>2194</v>
      </c>
      <c r="D519" s="200" t="s">
        <v>2146</v>
      </c>
      <c r="E519" s="146" t="s">
        <v>670</v>
      </c>
      <c r="F519" s="146" t="s">
        <v>671</v>
      </c>
      <c r="G519" s="146" t="s">
        <v>672</v>
      </c>
      <c r="H519" s="148">
        <v>5.01</v>
      </c>
      <c r="I519" s="146" t="s">
        <v>673</v>
      </c>
      <c r="J519" s="149">
        <v>2</v>
      </c>
      <c r="K519" s="150">
        <v>2021</v>
      </c>
      <c r="L519" s="201" t="s">
        <v>2195</v>
      </c>
      <c r="M519" s="201" t="s">
        <v>1129</v>
      </c>
      <c r="N519" s="202">
        <v>788610248</v>
      </c>
      <c r="O519" s="217" t="s">
        <v>3459</v>
      </c>
      <c r="P519" s="204" t="s">
        <v>676</v>
      </c>
      <c r="Q519" s="204">
        <v>1989</v>
      </c>
      <c r="R519" s="155">
        <v>8</v>
      </c>
      <c r="S519" s="168"/>
      <c r="T519" s="168"/>
      <c r="U519" s="146"/>
      <c r="V519" s="146"/>
      <c r="W519" s="146"/>
      <c r="X519" s="156">
        <v>0</v>
      </c>
      <c r="Y519" s="156">
        <v>0</v>
      </c>
      <c r="Z519" s="157" t="s">
        <v>2160</v>
      </c>
      <c r="AA519" s="158">
        <v>2021</v>
      </c>
      <c r="AB519" s="158">
        <v>7</v>
      </c>
      <c r="AC519" s="158">
        <v>21</v>
      </c>
      <c r="AD519" s="122" t="b">
        <f>IF(ISBLANK(GroupMember[[#This Row],[1. Identifiant interne d’exploitation agricole*]]),"",IF(ISERROR(MATCH(GroupMember[[#This Row],[1. Identifiant interne d’exploitation agricole*]],CertifiedCrop[1. Identifiant interne d’exploitation agricole*],0)),FALSE,TRUE))</f>
        <v>1</v>
      </c>
      <c r="AE519" s="122" t="b">
        <f>IF(ISBLANK(GroupMember[[#This Row],[1. Identifiant interne d’exploitation agricole*]]),"",IF(ISERROR(MATCH(GroupMember[[#This Row],[1. Identifiant interne d’exploitation agricole*]],FarmUnit[1. Identifiant interne d’exploitation agricole*],0)),FALSE,TRUE))</f>
        <v>1</v>
      </c>
      <c r="AF519" s="9" t="str">
        <f t="shared" si="24"/>
        <v>SANOU  OUSMANE</v>
      </c>
      <c r="AG519" s="243" t="str">
        <f t="shared" si="25"/>
        <v>21/7/2021</v>
      </c>
      <c r="AH519" s="51">
        <f>COUNTIFS(Z:Z,Z519,AG:AG,AG519)</f>
        <v>5</v>
      </c>
      <c r="AI519" s="49">
        <f t="shared" si="26"/>
        <v>0</v>
      </c>
    </row>
    <row r="520" spans="1:35" ht="15" x14ac:dyDescent="0.2">
      <c r="A520" s="193" t="s">
        <v>2196</v>
      </c>
      <c r="B520" s="146" t="s">
        <v>668</v>
      </c>
      <c r="C520" s="193" t="s">
        <v>2196</v>
      </c>
      <c r="D520" s="200" t="s">
        <v>2146</v>
      </c>
      <c r="E520" s="146" t="s">
        <v>670</v>
      </c>
      <c r="F520" s="146" t="s">
        <v>671</v>
      </c>
      <c r="G520" s="146" t="s">
        <v>672</v>
      </c>
      <c r="H520" s="148">
        <v>6.32</v>
      </c>
      <c r="I520" s="146" t="s">
        <v>673</v>
      </c>
      <c r="J520" s="149">
        <v>2</v>
      </c>
      <c r="K520" s="150">
        <v>2021</v>
      </c>
      <c r="L520" s="201" t="s">
        <v>729</v>
      </c>
      <c r="M520" s="201" t="s">
        <v>2197</v>
      </c>
      <c r="N520" s="202">
        <v>585113152</v>
      </c>
      <c r="O520" s="217" t="s">
        <v>3460</v>
      </c>
      <c r="P520" s="204" t="s">
        <v>676</v>
      </c>
      <c r="Q520" s="204">
        <v>1972</v>
      </c>
      <c r="R520" s="155">
        <v>7</v>
      </c>
      <c r="S520" s="168"/>
      <c r="T520" s="168"/>
      <c r="U520" s="146"/>
      <c r="V520" s="146"/>
      <c r="W520" s="146"/>
      <c r="X520" s="156">
        <v>0</v>
      </c>
      <c r="Y520" s="156">
        <v>0</v>
      </c>
      <c r="Z520" s="157" t="s">
        <v>2160</v>
      </c>
      <c r="AA520" s="158">
        <v>2021</v>
      </c>
      <c r="AB520" s="158">
        <v>7</v>
      </c>
      <c r="AC520" s="158">
        <v>20</v>
      </c>
      <c r="AD520" s="122" t="b">
        <f>IF(ISBLANK(GroupMember[[#This Row],[1. Identifiant interne d’exploitation agricole*]]),"",IF(ISERROR(MATCH(GroupMember[[#This Row],[1. Identifiant interne d’exploitation agricole*]],CertifiedCrop[1. Identifiant interne d’exploitation agricole*],0)),FALSE,TRUE))</f>
        <v>1</v>
      </c>
      <c r="AE520" s="122" t="b">
        <f>IF(ISBLANK(GroupMember[[#This Row],[1. Identifiant interne d’exploitation agricole*]]),"",IF(ISERROR(MATCH(GroupMember[[#This Row],[1. Identifiant interne d’exploitation agricole*]],FarmUnit[1. Identifiant interne d’exploitation agricole*],0)),FALSE,TRUE))</f>
        <v>1</v>
      </c>
      <c r="AF520" s="9" t="str">
        <f t="shared" si="24"/>
        <v xml:space="preserve">DOUMBIA  OUMAROU </v>
      </c>
      <c r="AG520" s="243" t="str">
        <f t="shared" si="25"/>
        <v>20/7/2021</v>
      </c>
      <c r="AH520" s="51">
        <f>COUNTIFS(Z:Z,Z520,AG:AG,AG520)</f>
        <v>3</v>
      </c>
      <c r="AI520" s="49">
        <f t="shared" si="26"/>
        <v>0</v>
      </c>
    </row>
    <row r="521" spans="1:35" ht="15" x14ac:dyDescent="0.2">
      <c r="A521" s="193" t="s">
        <v>2198</v>
      </c>
      <c r="B521" s="146" t="s">
        <v>668</v>
      </c>
      <c r="C521" s="193" t="s">
        <v>2198</v>
      </c>
      <c r="D521" s="200" t="s">
        <v>2146</v>
      </c>
      <c r="E521" s="146" t="s">
        <v>670</v>
      </c>
      <c r="F521" s="146" t="s">
        <v>671</v>
      </c>
      <c r="G521" s="146" t="s">
        <v>672</v>
      </c>
      <c r="H521" s="148">
        <v>3.38</v>
      </c>
      <c r="I521" s="146" t="s">
        <v>673</v>
      </c>
      <c r="J521" s="149">
        <v>1</v>
      </c>
      <c r="K521" s="150">
        <v>2021</v>
      </c>
      <c r="L521" s="201" t="s">
        <v>2199</v>
      </c>
      <c r="M521" s="201" t="s">
        <v>1101</v>
      </c>
      <c r="N521" s="202">
        <v>506035630</v>
      </c>
      <c r="O521" s="203"/>
      <c r="P521" s="204" t="s">
        <v>676</v>
      </c>
      <c r="Q521" s="204"/>
      <c r="R521" s="155">
        <v>5</v>
      </c>
      <c r="S521" s="168"/>
      <c r="T521" s="168"/>
      <c r="U521" s="146"/>
      <c r="V521" s="146"/>
      <c r="W521" s="146"/>
      <c r="X521" s="156">
        <v>0</v>
      </c>
      <c r="Y521" s="156">
        <v>0</v>
      </c>
      <c r="Z521" s="157" t="s">
        <v>2160</v>
      </c>
      <c r="AA521" s="158">
        <v>2021</v>
      </c>
      <c r="AB521" s="158">
        <v>7</v>
      </c>
      <c r="AC521" s="158">
        <v>22</v>
      </c>
      <c r="AD521" s="122" t="b">
        <f>IF(ISBLANK(GroupMember[[#This Row],[1. Identifiant interne d’exploitation agricole*]]),"",IF(ISERROR(MATCH(GroupMember[[#This Row],[1. Identifiant interne d’exploitation agricole*]],CertifiedCrop[1. Identifiant interne d’exploitation agricole*],0)),FALSE,TRUE))</f>
        <v>1</v>
      </c>
      <c r="AE521" s="122" t="b">
        <f>IF(ISBLANK(GroupMember[[#This Row],[1. Identifiant interne d’exploitation agricole*]]),"",IF(ISERROR(MATCH(GroupMember[[#This Row],[1. Identifiant interne d’exploitation agricole*]],FarmUnit[1. Identifiant interne d’exploitation agricole*],0)),FALSE,TRUE))</f>
        <v>1</v>
      </c>
      <c r="AF521" s="9" t="str">
        <f t="shared" si="24"/>
        <v>MOUSSA BAKAYOKO</v>
      </c>
      <c r="AG521" s="243" t="str">
        <f t="shared" si="25"/>
        <v>22/7/2021</v>
      </c>
      <c r="AH521" s="51">
        <f>COUNTIFS(Z:Z,Z521,AG:AG,AG521)</f>
        <v>3</v>
      </c>
      <c r="AI521" s="49">
        <f t="shared" si="26"/>
        <v>0</v>
      </c>
    </row>
    <row r="522" spans="1:35" ht="15" x14ac:dyDescent="0.2">
      <c r="A522" s="193" t="s">
        <v>2200</v>
      </c>
      <c r="B522" s="146" t="s">
        <v>668</v>
      </c>
      <c r="C522" s="193" t="s">
        <v>2200</v>
      </c>
      <c r="D522" s="200" t="s">
        <v>2146</v>
      </c>
      <c r="E522" s="146" t="s">
        <v>670</v>
      </c>
      <c r="F522" s="146" t="s">
        <v>671</v>
      </c>
      <c r="G522" s="146" t="s">
        <v>672</v>
      </c>
      <c r="H522" s="148">
        <v>5.54</v>
      </c>
      <c r="I522" s="146" t="s">
        <v>673</v>
      </c>
      <c r="J522" s="149">
        <v>1</v>
      </c>
      <c r="K522" s="150">
        <v>2021</v>
      </c>
      <c r="L522" s="201" t="s">
        <v>1132</v>
      </c>
      <c r="M522" s="201" t="s">
        <v>825</v>
      </c>
      <c r="N522" s="202">
        <v>545068694</v>
      </c>
      <c r="O522" s="203"/>
      <c r="P522" s="204" t="s">
        <v>676</v>
      </c>
      <c r="Q522" s="204"/>
      <c r="R522" s="155">
        <v>6</v>
      </c>
      <c r="S522" s="168"/>
      <c r="T522" s="168"/>
      <c r="U522" s="146"/>
      <c r="V522" s="146"/>
      <c r="W522" s="146"/>
      <c r="X522" s="156">
        <v>0</v>
      </c>
      <c r="Y522" s="156">
        <v>0</v>
      </c>
      <c r="Z522" s="157" t="s">
        <v>2160</v>
      </c>
      <c r="AA522" s="158">
        <v>2021</v>
      </c>
      <c r="AB522" s="158">
        <v>7</v>
      </c>
      <c r="AC522" s="158">
        <v>24</v>
      </c>
      <c r="AD522" s="122" t="b">
        <f>IF(ISBLANK(GroupMember[[#This Row],[1. Identifiant interne d’exploitation agricole*]]),"",IF(ISERROR(MATCH(GroupMember[[#This Row],[1. Identifiant interne d’exploitation agricole*]],CertifiedCrop[1. Identifiant interne d’exploitation agricole*],0)),FALSE,TRUE))</f>
        <v>1</v>
      </c>
      <c r="AE522" s="122" t="b">
        <f>IF(ISBLANK(GroupMember[[#This Row],[1. Identifiant interne d’exploitation agricole*]]),"",IF(ISERROR(MATCH(GroupMember[[#This Row],[1. Identifiant interne d’exploitation agricole*]],FarmUnit[1. Identifiant interne d’exploitation agricole*],0)),FALSE,TRUE))</f>
        <v>1</v>
      </c>
      <c r="AF522" s="9" t="str">
        <f t="shared" si="24"/>
        <v>FANE  MAMADOU</v>
      </c>
      <c r="AG522" s="243" t="str">
        <f t="shared" si="25"/>
        <v>24/7/2021</v>
      </c>
      <c r="AH522" s="51">
        <f>COUNTIFS(Z:Z,Z522,AG:AG,AG522)</f>
        <v>4</v>
      </c>
      <c r="AI522" s="49">
        <f t="shared" si="26"/>
        <v>0</v>
      </c>
    </row>
    <row r="523" spans="1:35" ht="15" x14ac:dyDescent="0.2">
      <c r="A523" s="193" t="s">
        <v>2201</v>
      </c>
      <c r="B523" s="146" t="s">
        <v>668</v>
      </c>
      <c r="C523" s="193" t="s">
        <v>2201</v>
      </c>
      <c r="D523" s="200" t="s">
        <v>2146</v>
      </c>
      <c r="E523" s="146" t="s">
        <v>670</v>
      </c>
      <c r="F523" s="146" t="s">
        <v>671</v>
      </c>
      <c r="G523" s="146" t="s">
        <v>672</v>
      </c>
      <c r="H523" s="148">
        <v>4.82</v>
      </c>
      <c r="I523" s="146" t="s">
        <v>673</v>
      </c>
      <c r="J523" s="149">
        <v>1</v>
      </c>
      <c r="K523" s="150">
        <v>2021</v>
      </c>
      <c r="L523" s="201" t="s">
        <v>2195</v>
      </c>
      <c r="M523" s="201" t="s">
        <v>2202</v>
      </c>
      <c r="N523" s="202">
        <v>788854399</v>
      </c>
      <c r="O523" s="203"/>
      <c r="P523" s="204" t="s">
        <v>676</v>
      </c>
      <c r="Q523" s="204"/>
      <c r="R523" s="155">
        <v>8</v>
      </c>
      <c r="S523" s="168"/>
      <c r="T523" s="168"/>
      <c r="U523" s="146"/>
      <c r="V523" s="146"/>
      <c r="W523" s="146"/>
      <c r="X523" s="156">
        <v>0</v>
      </c>
      <c r="Y523" s="156">
        <v>0</v>
      </c>
      <c r="Z523" s="157" t="s">
        <v>2160</v>
      </c>
      <c r="AA523" s="158">
        <v>2021</v>
      </c>
      <c r="AB523" s="158">
        <v>7</v>
      </c>
      <c r="AC523" s="158">
        <v>24</v>
      </c>
      <c r="AD523" s="122" t="b">
        <f>IF(ISBLANK(GroupMember[[#This Row],[1. Identifiant interne d’exploitation agricole*]]),"",IF(ISERROR(MATCH(GroupMember[[#This Row],[1. Identifiant interne d’exploitation agricole*]],CertifiedCrop[1. Identifiant interne d’exploitation agricole*],0)),FALSE,TRUE))</f>
        <v>1</v>
      </c>
      <c r="AE523" s="122" t="b">
        <f>IF(ISBLANK(GroupMember[[#This Row],[1. Identifiant interne d’exploitation agricole*]]),"",IF(ISERROR(MATCH(GroupMember[[#This Row],[1. Identifiant interne d’exploitation agricole*]],FarmUnit[1. Identifiant interne d’exploitation agricole*],0)),FALSE,TRUE))</f>
        <v>1</v>
      </c>
      <c r="AF523" s="9" t="str">
        <f t="shared" si="24"/>
        <v>SANOU DRAMANE</v>
      </c>
      <c r="AG523" s="243" t="str">
        <f t="shared" si="25"/>
        <v>24/7/2021</v>
      </c>
      <c r="AH523" s="51">
        <f>COUNTIFS(Z:Z,Z523,AG:AG,AG523)</f>
        <v>4</v>
      </c>
      <c r="AI523" s="49">
        <f t="shared" si="26"/>
        <v>0</v>
      </c>
    </row>
    <row r="524" spans="1:35" ht="15" x14ac:dyDescent="0.2">
      <c r="A524" s="193" t="s">
        <v>2203</v>
      </c>
      <c r="B524" s="146" t="s">
        <v>668</v>
      </c>
      <c r="C524" s="193" t="s">
        <v>2203</v>
      </c>
      <c r="D524" s="200" t="s">
        <v>2146</v>
      </c>
      <c r="E524" s="146" t="s">
        <v>670</v>
      </c>
      <c r="F524" s="146" t="s">
        <v>671</v>
      </c>
      <c r="G524" s="146" t="s">
        <v>672</v>
      </c>
      <c r="H524" s="148">
        <v>1.23</v>
      </c>
      <c r="I524" s="146" t="s">
        <v>673</v>
      </c>
      <c r="J524" s="149">
        <v>1</v>
      </c>
      <c r="K524" s="150">
        <v>2021</v>
      </c>
      <c r="L524" s="201" t="s">
        <v>2204</v>
      </c>
      <c r="M524" s="201" t="s">
        <v>872</v>
      </c>
      <c r="N524" s="202">
        <v>748847726</v>
      </c>
      <c r="O524" s="203"/>
      <c r="P524" s="204" t="s">
        <v>676</v>
      </c>
      <c r="Q524" s="204"/>
      <c r="R524" s="155">
        <v>7</v>
      </c>
      <c r="S524" s="168"/>
      <c r="T524" s="168"/>
      <c r="U524" s="146"/>
      <c r="V524" s="146"/>
      <c r="W524" s="146"/>
      <c r="X524" s="156">
        <v>0</v>
      </c>
      <c r="Y524" s="156">
        <v>0</v>
      </c>
      <c r="Z524" s="157" t="s">
        <v>2160</v>
      </c>
      <c r="AA524" s="158">
        <v>2021</v>
      </c>
      <c r="AB524" s="158">
        <v>7</v>
      </c>
      <c r="AC524" s="158">
        <v>23</v>
      </c>
      <c r="AD524" s="122" t="b">
        <f>IF(ISBLANK(GroupMember[[#This Row],[1. Identifiant interne d’exploitation agricole*]]),"",IF(ISERROR(MATCH(GroupMember[[#This Row],[1. Identifiant interne d’exploitation agricole*]],CertifiedCrop[1. Identifiant interne d’exploitation agricole*],0)),FALSE,TRUE))</f>
        <v>1</v>
      </c>
      <c r="AE524" s="122" t="b">
        <f>IF(ISBLANK(GroupMember[[#This Row],[1. Identifiant interne d’exploitation agricole*]]),"",IF(ISERROR(MATCH(GroupMember[[#This Row],[1. Identifiant interne d’exploitation agricole*]],FarmUnit[1. Identifiant interne d’exploitation agricole*],0)),FALSE,TRUE))</f>
        <v>1</v>
      </c>
      <c r="AF524" s="9" t="str">
        <f t="shared" si="24"/>
        <v>DAO  ADAMA</v>
      </c>
      <c r="AG524" s="243" t="str">
        <f t="shared" si="25"/>
        <v>23/7/2021</v>
      </c>
      <c r="AH524" s="51">
        <f>COUNTIFS(Z:Z,Z524,AG:AG,AG524)</f>
        <v>5</v>
      </c>
      <c r="AI524" s="49">
        <f t="shared" si="26"/>
        <v>0</v>
      </c>
    </row>
    <row r="525" spans="1:35" ht="15" x14ac:dyDescent="0.2">
      <c r="A525" s="193" t="s">
        <v>2205</v>
      </c>
      <c r="B525" s="146" t="s">
        <v>668</v>
      </c>
      <c r="C525" s="193" t="s">
        <v>2205</v>
      </c>
      <c r="D525" s="200" t="s">
        <v>2146</v>
      </c>
      <c r="E525" s="146" t="s">
        <v>670</v>
      </c>
      <c r="F525" s="146" t="s">
        <v>671</v>
      </c>
      <c r="G525" s="146" t="s">
        <v>672</v>
      </c>
      <c r="H525" s="148">
        <v>8.6999999999999993</v>
      </c>
      <c r="I525" s="146" t="s">
        <v>673</v>
      </c>
      <c r="J525" s="149">
        <v>1</v>
      </c>
      <c r="K525" s="150">
        <v>2021</v>
      </c>
      <c r="L525" s="201" t="s">
        <v>701</v>
      </c>
      <c r="M525" s="201" t="s">
        <v>2206</v>
      </c>
      <c r="N525" s="202">
        <v>778011625</v>
      </c>
      <c r="O525" s="203"/>
      <c r="P525" s="204" t="s">
        <v>676</v>
      </c>
      <c r="Q525" s="204"/>
      <c r="R525" s="155">
        <v>7</v>
      </c>
      <c r="S525" s="168"/>
      <c r="T525" s="168"/>
      <c r="U525" s="146"/>
      <c r="V525" s="146"/>
      <c r="W525" s="146"/>
      <c r="X525" s="156">
        <v>0</v>
      </c>
      <c r="Y525" s="156">
        <v>0</v>
      </c>
      <c r="Z525" s="157" t="s">
        <v>2160</v>
      </c>
      <c r="AA525" s="158">
        <v>2021</v>
      </c>
      <c r="AB525" s="158">
        <v>7</v>
      </c>
      <c r="AC525" s="158">
        <v>20</v>
      </c>
      <c r="AD525" s="122" t="b">
        <f>IF(ISBLANK(GroupMember[[#This Row],[1. Identifiant interne d’exploitation agricole*]]),"",IF(ISERROR(MATCH(GroupMember[[#This Row],[1. Identifiant interne d’exploitation agricole*]],CertifiedCrop[1. Identifiant interne d’exploitation agricole*],0)),FALSE,TRUE))</f>
        <v>1</v>
      </c>
      <c r="AE525" s="122" t="b">
        <f>IF(ISBLANK(GroupMember[[#This Row],[1. Identifiant interne d’exploitation agricole*]]),"",IF(ISERROR(MATCH(GroupMember[[#This Row],[1. Identifiant interne d’exploitation agricole*]],FarmUnit[1. Identifiant interne d’exploitation agricole*],0)),FALSE,TRUE))</f>
        <v>1</v>
      </c>
      <c r="AF525" s="9" t="str">
        <f t="shared" si="24"/>
        <v>OUATTARA  DRISSA</v>
      </c>
      <c r="AG525" s="243" t="str">
        <f t="shared" si="25"/>
        <v>20/7/2021</v>
      </c>
      <c r="AH525" s="51">
        <f>COUNTIFS(Z:Z,Z525,AG:AG,AG525)</f>
        <v>3</v>
      </c>
      <c r="AI525" s="49">
        <f t="shared" si="26"/>
        <v>0</v>
      </c>
    </row>
    <row r="526" spans="1:35" ht="15" x14ac:dyDescent="0.2">
      <c r="A526" s="193" t="s">
        <v>2207</v>
      </c>
      <c r="B526" s="146" t="s">
        <v>668</v>
      </c>
      <c r="C526" s="193" t="s">
        <v>2207</v>
      </c>
      <c r="D526" s="200" t="s">
        <v>2146</v>
      </c>
      <c r="E526" s="146" t="s">
        <v>670</v>
      </c>
      <c r="F526" s="146" t="s">
        <v>671</v>
      </c>
      <c r="G526" s="146" t="s">
        <v>672</v>
      </c>
      <c r="H526" s="148">
        <v>7.59</v>
      </c>
      <c r="I526" s="146" t="s">
        <v>673</v>
      </c>
      <c r="J526" s="149">
        <v>1</v>
      </c>
      <c r="K526" s="150">
        <v>2021</v>
      </c>
      <c r="L526" s="201" t="s">
        <v>707</v>
      </c>
      <c r="M526" s="201" t="s">
        <v>2208</v>
      </c>
      <c r="N526" s="202">
        <v>554492818</v>
      </c>
      <c r="O526" s="203"/>
      <c r="P526" s="204" t="s">
        <v>676</v>
      </c>
      <c r="Q526" s="204"/>
      <c r="R526" s="155">
        <v>5</v>
      </c>
      <c r="S526" s="168"/>
      <c r="T526" s="168"/>
      <c r="U526" s="146"/>
      <c r="V526" s="146"/>
      <c r="W526" s="146"/>
      <c r="X526" s="156">
        <v>0</v>
      </c>
      <c r="Y526" s="156">
        <v>0</v>
      </c>
      <c r="Z526" s="157" t="s">
        <v>2160</v>
      </c>
      <c r="AA526" s="158">
        <v>2021</v>
      </c>
      <c r="AB526" s="158">
        <v>7</v>
      </c>
      <c r="AC526" s="158">
        <v>10</v>
      </c>
      <c r="AD526" s="122" t="b">
        <f>IF(ISBLANK(GroupMember[[#This Row],[1. Identifiant interne d’exploitation agricole*]]),"",IF(ISERROR(MATCH(GroupMember[[#This Row],[1. Identifiant interne d’exploitation agricole*]],CertifiedCrop[1. Identifiant interne d’exploitation agricole*],0)),FALSE,TRUE))</f>
        <v>1</v>
      </c>
      <c r="AE526" s="122" t="b">
        <f>IF(ISBLANK(GroupMember[[#This Row],[1. Identifiant interne d’exploitation agricole*]]),"",IF(ISERROR(MATCH(GroupMember[[#This Row],[1. Identifiant interne d’exploitation agricole*]],FarmUnit[1. Identifiant interne d’exploitation agricole*],0)),FALSE,TRUE))</f>
        <v>1</v>
      </c>
      <c r="AF526" s="9" t="str">
        <f t="shared" si="24"/>
        <v>OUEDRAOGO  AZIZ</v>
      </c>
      <c r="AG526" s="243" t="str">
        <f t="shared" si="25"/>
        <v>10/7/2021</v>
      </c>
      <c r="AH526" s="51">
        <f>COUNTIFS(Z:Z,Z526,AG:AG,AG526)</f>
        <v>4</v>
      </c>
      <c r="AI526" s="49">
        <f t="shared" si="26"/>
        <v>0</v>
      </c>
    </row>
    <row r="527" spans="1:35" ht="15" x14ac:dyDescent="0.2">
      <c r="A527" s="193" t="s">
        <v>2209</v>
      </c>
      <c r="B527" s="146" t="s">
        <v>668</v>
      </c>
      <c r="C527" s="193" t="s">
        <v>2209</v>
      </c>
      <c r="D527" s="200" t="s">
        <v>2146</v>
      </c>
      <c r="E527" s="146" t="s">
        <v>670</v>
      </c>
      <c r="F527" s="146" t="s">
        <v>671</v>
      </c>
      <c r="G527" s="146" t="s">
        <v>672</v>
      </c>
      <c r="H527" s="148">
        <v>1.8</v>
      </c>
      <c r="I527" s="146" t="s">
        <v>673</v>
      </c>
      <c r="J527" s="149">
        <v>1</v>
      </c>
      <c r="K527" s="150">
        <v>2021</v>
      </c>
      <c r="L527" s="201" t="s">
        <v>1094</v>
      </c>
      <c r="M527" s="201" t="s">
        <v>2210</v>
      </c>
      <c r="N527" s="202">
        <v>709938887</v>
      </c>
      <c r="O527" s="203"/>
      <c r="P527" s="204" t="s">
        <v>676</v>
      </c>
      <c r="Q527" s="204"/>
      <c r="R527" s="155">
        <v>6</v>
      </c>
      <c r="S527" s="168"/>
      <c r="T527" s="168"/>
      <c r="U527" s="146"/>
      <c r="V527" s="146"/>
      <c r="W527" s="146"/>
      <c r="X527" s="156">
        <v>0</v>
      </c>
      <c r="Y527" s="156">
        <v>0</v>
      </c>
      <c r="Z527" s="157" t="s">
        <v>2160</v>
      </c>
      <c r="AA527" s="158">
        <v>2021</v>
      </c>
      <c r="AB527" s="158">
        <v>7</v>
      </c>
      <c r="AC527" s="158">
        <v>21</v>
      </c>
      <c r="AD527" s="122" t="b">
        <f>IF(ISBLANK(GroupMember[[#This Row],[1. Identifiant interne d’exploitation agricole*]]),"",IF(ISERROR(MATCH(GroupMember[[#This Row],[1. Identifiant interne d’exploitation agricole*]],CertifiedCrop[1. Identifiant interne d’exploitation agricole*],0)),FALSE,TRUE))</f>
        <v>1</v>
      </c>
      <c r="AE527" s="122" t="b">
        <f>IF(ISBLANK(GroupMember[[#This Row],[1. Identifiant interne d’exploitation agricole*]]),"",IF(ISERROR(MATCH(GroupMember[[#This Row],[1. Identifiant interne d’exploitation agricole*]],FarmUnit[1. Identifiant interne d’exploitation agricole*],0)),FALSE,TRUE))</f>
        <v>1</v>
      </c>
      <c r="AF527" s="9" t="str">
        <f t="shared" si="24"/>
        <v>KINDA  DESIRE</v>
      </c>
      <c r="AG527" s="243" t="str">
        <f t="shared" si="25"/>
        <v>21/7/2021</v>
      </c>
      <c r="AH527" s="51">
        <f>COUNTIFS(Z:Z,Z527,AG:AG,AG527)</f>
        <v>5</v>
      </c>
      <c r="AI527" s="49">
        <f t="shared" si="26"/>
        <v>0</v>
      </c>
    </row>
    <row r="528" spans="1:35" ht="15" x14ac:dyDescent="0.2">
      <c r="A528" s="193" t="s">
        <v>2211</v>
      </c>
      <c r="B528" s="146" t="s">
        <v>668</v>
      </c>
      <c r="C528" s="193" t="s">
        <v>2211</v>
      </c>
      <c r="D528" s="200" t="s">
        <v>2146</v>
      </c>
      <c r="E528" s="146" t="s">
        <v>670</v>
      </c>
      <c r="F528" s="146" t="s">
        <v>671</v>
      </c>
      <c r="G528" s="146" t="s">
        <v>672</v>
      </c>
      <c r="H528" s="148">
        <v>2.5299999999999998</v>
      </c>
      <c r="I528" s="146" t="s">
        <v>673</v>
      </c>
      <c r="J528" s="149">
        <v>1</v>
      </c>
      <c r="K528" s="150">
        <v>2021</v>
      </c>
      <c r="L528" s="201" t="s">
        <v>1376</v>
      </c>
      <c r="M528" s="201" t="s">
        <v>2212</v>
      </c>
      <c r="N528" s="202">
        <v>789414064</v>
      </c>
      <c r="O528" s="203"/>
      <c r="P528" s="204" t="s">
        <v>676</v>
      </c>
      <c r="Q528" s="204"/>
      <c r="R528" s="155">
        <v>8</v>
      </c>
      <c r="S528" s="168"/>
      <c r="T528" s="168"/>
      <c r="U528" s="146"/>
      <c r="V528" s="146"/>
      <c r="W528" s="146"/>
      <c r="X528" s="156">
        <v>0</v>
      </c>
      <c r="Y528" s="156">
        <v>0</v>
      </c>
      <c r="Z528" s="157" t="s">
        <v>2160</v>
      </c>
      <c r="AA528" s="158">
        <v>2021</v>
      </c>
      <c r="AB528" s="158">
        <v>7</v>
      </c>
      <c r="AC528" s="158">
        <v>22</v>
      </c>
      <c r="AD528" s="122" t="b">
        <f>IF(ISBLANK(GroupMember[[#This Row],[1. Identifiant interne d’exploitation agricole*]]),"",IF(ISERROR(MATCH(GroupMember[[#This Row],[1. Identifiant interne d’exploitation agricole*]],CertifiedCrop[1. Identifiant interne d’exploitation agricole*],0)),FALSE,TRUE))</f>
        <v>1</v>
      </c>
      <c r="AE528" s="122" t="b">
        <f>IF(ISBLANK(GroupMember[[#This Row],[1. Identifiant interne d’exploitation agricole*]]),"",IF(ISERROR(MATCH(GroupMember[[#This Row],[1. Identifiant interne d’exploitation agricole*]],FarmUnit[1. Identifiant interne d’exploitation agricole*],0)),FALSE,TRUE))</f>
        <v>1</v>
      </c>
      <c r="AF528" s="9" t="str">
        <f t="shared" si="24"/>
        <v>ISSA  BADIALE</v>
      </c>
      <c r="AG528" s="243" t="str">
        <f t="shared" si="25"/>
        <v>22/7/2021</v>
      </c>
      <c r="AH528" s="51">
        <f>COUNTIFS(Z:Z,Z528,AG:AG,AG528)</f>
        <v>3</v>
      </c>
      <c r="AI528" s="49">
        <f t="shared" si="26"/>
        <v>0</v>
      </c>
    </row>
    <row r="529" spans="1:35" ht="15" x14ac:dyDescent="0.2">
      <c r="A529" s="193" t="s">
        <v>2213</v>
      </c>
      <c r="B529" s="146" t="s">
        <v>668</v>
      </c>
      <c r="C529" s="193" t="s">
        <v>2213</v>
      </c>
      <c r="D529" s="200" t="s">
        <v>2146</v>
      </c>
      <c r="E529" s="146" t="s">
        <v>670</v>
      </c>
      <c r="F529" s="146" t="s">
        <v>671</v>
      </c>
      <c r="G529" s="146" t="s">
        <v>672</v>
      </c>
      <c r="H529" s="148">
        <v>3.86</v>
      </c>
      <c r="I529" s="146" t="s">
        <v>673</v>
      </c>
      <c r="J529" s="149">
        <v>1</v>
      </c>
      <c r="K529" s="150">
        <v>2021</v>
      </c>
      <c r="L529" s="201" t="s">
        <v>948</v>
      </c>
      <c r="M529" s="201" t="s">
        <v>2214</v>
      </c>
      <c r="N529" s="202"/>
      <c r="O529" s="203"/>
      <c r="P529" s="204" t="s">
        <v>676</v>
      </c>
      <c r="Q529" s="204"/>
      <c r="R529" s="155">
        <v>4</v>
      </c>
      <c r="S529" s="168"/>
      <c r="T529" s="168"/>
      <c r="U529" s="146"/>
      <c r="V529" s="146"/>
      <c r="W529" s="146"/>
      <c r="X529" s="156">
        <v>0</v>
      </c>
      <c r="Y529" s="156">
        <v>0</v>
      </c>
      <c r="Z529" s="157" t="s">
        <v>2160</v>
      </c>
      <c r="AA529" s="158">
        <v>2021</v>
      </c>
      <c r="AB529" s="158">
        <v>7</v>
      </c>
      <c r="AC529" s="158">
        <v>24</v>
      </c>
      <c r="AD529" s="122" t="b">
        <f>IF(ISBLANK(GroupMember[[#This Row],[1. Identifiant interne d’exploitation agricole*]]),"",IF(ISERROR(MATCH(GroupMember[[#This Row],[1. Identifiant interne d’exploitation agricole*]],CertifiedCrop[1. Identifiant interne d’exploitation agricole*],0)),FALSE,TRUE))</f>
        <v>1</v>
      </c>
      <c r="AE529" s="122" t="b">
        <f>IF(ISBLANK(GroupMember[[#This Row],[1. Identifiant interne d’exploitation agricole*]]),"",IF(ISERROR(MATCH(GroupMember[[#This Row],[1. Identifiant interne d’exploitation agricole*]],FarmUnit[1. Identifiant interne d’exploitation agricole*],0)),FALSE,TRUE))</f>
        <v>1</v>
      </c>
      <c r="AF529" s="9" t="str">
        <f t="shared" si="24"/>
        <v>SAWADOGO  SAYOUBA</v>
      </c>
      <c r="AG529" s="243" t="str">
        <f t="shared" si="25"/>
        <v>24/7/2021</v>
      </c>
      <c r="AH529" s="51">
        <f>COUNTIFS(Z:Z,Z529,AG:AG,AG529)</f>
        <v>4</v>
      </c>
      <c r="AI529" s="49">
        <f t="shared" si="26"/>
        <v>0</v>
      </c>
    </row>
    <row r="530" spans="1:35" ht="15" x14ac:dyDescent="0.2">
      <c r="A530" s="193" t="s">
        <v>2215</v>
      </c>
      <c r="B530" s="146" t="s">
        <v>668</v>
      </c>
      <c r="C530" s="193" t="s">
        <v>2215</v>
      </c>
      <c r="D530" s="200" t="s">
        <v>2146</v>
      </c>
      <c r="E530" s="146" t="s">
        <v>670</v>
      </c>
      <c r="F530" s="146" t="s">
        <v>671</v>
      </c>
      <c r="G530" s="146" t="s">
        <v>672</v>
      </c>
      <c r="H530" s="148">
        <v>5.74</v>
      </c>
      <c r="I530" s="146" t="s">
        <v>673</v>
      </c>
      <c r="J530" s="149">
        <v>1</v>
      </c>
      <c r="K530" s="150">
        <v>2021</v>
      </c>
      <c r="L530" s="201" t="s">
        <v>2190</v>
      </c>
      <c r="M530" s="201" t="s">
        <v>1732</v>
      </c>
      <c r="N530" s="202">
        <v>787164815</v>
      </c>
      <c r="O530" s="203"/>
      <c r="P530" s="204" t="s">
        <v>676</v>
      </c>
      <c r="Q530" s="204"/>
      <c r="R530" s="155">
        <v>5</v>
      </c>
      <c r="S530" s="168"/>
      <c r="T530" s="168"/>
      <c r="U530" s="146"/>
      <c r="V530" s="146"/>
      <c r="W530" s="146"/>
      <c r="X530" s="156">
        <v>0</v>
      </c>
      <c r="Y530" s="156">
        <v>0</v>
      </c>
      <c r="Z530" s="157" t="s">
        <v>2160</v>
      </c>
      <c r="AA530" s="158">
        <v>2021</v>
      </c>
      <c r="AB530" s="158">
        <v>7</v>
      </c>
      <c r="AC530" s="158">
        <v>12</v>
      </c>
      <c r="AD530" s="122" t="b">
        <f>IF(ISBLANK(GroupMember[[#This Row],[1. Identifiant interne d’exploitation agricole*]]),"",IF(ISERROR(MATCH(GroupMember[[#This Row],[1. Identifiant interne d’exploitation agricole*]],CertifiedCrop[1. Identifiant interne d’exploitation agricole*],0)),FALSE,TRUE))</f>
        <v>1</v>
      </c>
      <c r="AE530" s="122" t="b">
        <f>IF(ISBLANK(GroupMember[[#This Row],[1. Identifiant interne d’exploitation agricole*]]),"",IF(ISERROR(MATCH(GroupMember[[#This Row],[1. Identifiant interne d’exploitation agricole*]],FarmUnit[1. Identifiant interne d’exploitation agricole*],0)),FALSE,TRUE))</f>
        <v>1</v>
      </c>
      <c r="AF530" s="9" t="str">
        <f t="shared" si="24"/>
        <v>SOMA  YAYA</v>
      </c>
      <c r="AG530" s="243" t="str">
        <f t="shared" si="25"/>
        <v>12/7/2021</v>
      </c>
      <c r="AH530" s="51">
        <f>COUNTIFS(Z:Z,Z530,AG:AG,AG530)</f>
        <v>3</v>
      </c>
      <c r="AI530" s="49">
        <f t="shared" si="26"/>
        <v>0</v>
      </c>
    </row>
    <row r="531" spans="1:35" ht="15" x14ac:dyDescent="0.2">
      <c r="A531" s="193" t="s">
        <v>2216</v>
      </c>
      <c r="B531" s="146" t="s">
        <v>668</v>
      </c>
      <c r="C531" s="193" t="s">
        <v>2216</v>
      </c>
      <c r="D531" s="200" t="s">
        <v>2146</v>
      </c>
      <c r="E531" s="146" t="s">
        <v>670</v>
      </c>
      <c r="F531" s="146" t="s">
        <v>671</v>
      </c>
      <c r="G531" s="146" t="s">
        <v>672</v>
      </c>
      <c r="H531" s="148">
        <v>3.15</v>
      </c>
      <c r="I531" s="146" t="s">
        <v>673</v>
      </c>
      <c r="J531" s="149">
        <v>2</v>
      </c>
      <c r="K531" s="150">
        <v>2021</v>
      </c>
      <c r="L531" s="201" t="s">
        <v>939</v>
      </c>
      <c r="M531" s="201" t="s">
        <v>2217</v>
      </c>
      <c r="N531" s="202">
        <v>789545931</v>
      </c>
      <c r="O531" s="203"/>
      <c r="P531" s="204" t="s">
        <v>676</v>
      </c>
      <c r="Q531" s="204"/>
      <c r="R531" s="155">
        <v>8</v>
      </c>
      <c r="S531" s="168"/>
      <c r="T531" s="168"/>
      <c r="U531" s="146"/>
      <c r="V531" s="146"/>
      <c r="W531" s="146"/>
      <c r="X531" s="156">
        <v>0</v>
      </c>
      <c r="Y531" s="156">
        <v>0</v>
      </c>
      <c r="Z531" s="157" t="s">
        <v>2160</v>
      </c>
      <c r="AA531" s="158">
        <v>2021</v>
      </c>
      <c r="AB531" s="158">
        <v>7</v>
      </c>
      <c r="AC531" s="158">
        <v>6</v>
      </c>
      <c r="AD531" s="122" t="b">
        <f>IF(ISBLANK(GroupMember[[#This Row],[1. Identifiant interne d’exploitation agricole*]]),"",IF(ISERROR(MATCH(GroupMember[[#This Row],[1. Identifiant interne d’exploitation agricole*]],CertifiedCrop[1. Identifiant interne d’exploitation agricole*],0)),FALSE,TRUE))</f>
        <v>1</v>
      </c>
      <c r="AE531" s="122" t="b">
        <f>IF(ISBLANK(GroupMember[[#This Row],[1. Identifiant interne d’exploitation agricole*]]),"",IF(ISERROR(MATCH(GroupMember[[#This Row],[1. Identifiant interne d’exploitation agricole*]],FarmUnit[1. Identifiant interne d’exploitation agricole*],0)),FALSE,TRUE))</f>
        <v>1</v>
      </c>
      <c r="AF531" s="9" t="str">
        <f t="shared" si="24"/>
        <v xml:space="preserve">SANOGO  DAOUDA </v>
      </c>
      <c r="AG531" s="243" t="str">
        <f t="shared" si="25"/>
        <v>6/7/2021</v>
      </c>
      <c r="AH531" s="51">
        <f>COUNTIFS(Z:Z,Z531,AG:AG,AG531)</f>
        <v>4</v>
      </c>
      <c r="AI531" s="49">
        <f t="shared" si="26"/>
        <v>0</v>
      </c>
    </row>
    <row r="532" spans="1:35" ht="15" x14ac:dyDescent="0.2">
      <c r="A532" s="193" t="s">
        <v>2218</v>
      </c>
      <c r="B532" s="146" t="s">
        <v>668</v>
      </c>
      <c r="C532" s="193" t="s">
        <v>2218</v>
      </c>
      <c r="D532" s="200" t="s">
        <v>2146</v>
      </c>
      <c r="E532" s="146" t="s">
        <v>670</v>
      </c>
      <c r="F532" s="146" t="s">
        <v>671</v>
      </c>
      <c r="G532" s="146" t="s">
        <v>672</v>
      </c>
      <c r="H532" s="148">
        <v>10.37</v>
      </c>
      <c r="I532" s="146" t="s">
        <v>673</v>
      </c>
      <c r="J532" s="149">
        <v>1</v>
      </c>
      <c r="K532" s="150">
        <v>2021</v>
      </c>
      <c r="L532" s="201" t="s">
        <v>682</v>
      </c>
      <c r="M532" s="201" t="s">
        <v>2219</v>
      </c>
      <c r="N532" s="202">
        <v>759034407</v>
      </c>
      <c r="O532" s="203"/>
      <c r="P532" s="204" t="s">
        <v>676</v>
      </c>
      <c r="Q532" s="204"/>
      <c r="R532" s="155">
        <v>7</v>
      </c>
      <c r="S532" s="168"/>
      <c r="T532" s="168"/>
      <c r="U532" s="146"/>
      <c r="V532" s="146"/>
      <c r="W532" s="146"/>
      <c r="X532" s="156">
        <v>0</v>
      </c>
      <c r="Y532" s="156">
        <v>0</v>
      </c>
      <c r="Z532" s="157" t="s">
        <v>2160</v>
      </c>
      <c r="AA532" s="158">
        <v>2021</v>
      </c>
      <c r="AB532" s="158">
        <v>7</v>
      </c>
      <c r="AC532" s="158">
        <v>23</v>
      </c>
      <c r="AD532" s="122" t="b">
        <f>IF(ISBLANK(GroupMember[[#This Row],[1. Identifiant interne d’exploitation agricole*]]),"",IF(ISERROR(MATCH(GroupMember[[#This Row],[1. Identifiant interne d’exploitation agricole*]],CertifiedCrop[1. Identifiant interne d’exploitation agricole*],0)),FALSE,TRUE))</f>
        <v>1</v>
      </c>
      <c r="AE532" s="122" t="b">
        <f>IF(ISBLANK(GroupMember[[#This Row],[1. Identifiant interne d’exploitation agricole*]]),"",IF(ISERROR(MATCH(GroupMember[[#This Row],[1. Identifiant interne d’exploitation agricole*]],FarmUnit[1. Identifiant interne d’exploitation agricole*],0)),FALSE,TRUE))</f>
        <v>1</v>
      </c>
      <c r="AF532" s="9" t="str">
        <f t="shared" si="24"/>
        <v>SANGARE  ISSA 2</v>
      </c>
      <c r="AG532" s="243" t="str">
        <f t="shared" si="25"/>
        <v>23/7/2021</v>
      </c>
      <c r="AH532" s="51">
        <f>COUNTIFS(Z:Z,Z532,AG:AG,AG532)</f>
        <v>5</v>
      </c>
      <c r="AI532" s="49">
        <f t="shared" si="26"/>
        <v>0</v>
      </c>
    </row>
    <row r="533" spans="1:35" ht="15" x14ac:dyDescent="0.2">
      <c r="A533" s="193" t="s">
        <v>2220</v>
      </c>
      <c r="B533" s="146" t="s">
        <v>668</v>
      </c>
      <c r="C533" s="193" t="s">
        <v>2220</v>
      </c>
      <c r="D533" s="200" t="s">
        <v>2146</v>
      </c>
      <c r="E533" s="146" t="s">
        <v>670</v>
      </c>
      <c r="F533" s="146" t="s">
        <v>671</v>
      </c>
      <c r="G533" s="146" t="s">
        <v>672</v>
      </c>
      <c r="H533" s="148">
        <v>1.87</v>
      </c>
      <c r="I533" s="146" t="s">
        <v>673</v>
      </c>
      <c r="J533" s="149">
        <v>1</v>
      </c>
      <c r="K533" s="150">
        <v>2021</v>
      </c>
      <c r="L533" s="201" t="s">
        <v>1735</v>
      </c>
      <c r="M533" s="201" t="s">
        <v>2221</v>
      </c>
      <c r="N533" s="202"/>
      <c r="O533" s="203"/>
      <c r="P533" s="204" t="s">
        <v>676</v>
      </c>
      <c r="Q533" s="204"/>
      <c r="R533" s="155">
        <v>4</v>
      </c>
      <c r="S533" s="168"/>
      <c r="T533" s="168"/>
      <c r="U533" s="146"/>
      <c r="V533" s="146"/>
      <c r="W533" s="146"/>
      <c r="X533" s="156">
        <v>0</v>
      </c>
      <c r="Y533" s="156">
        <v>0</v>
      </c>
      <c r="Z533" s="157" t="s">
        <v>2160</v>
      </c>
      <c r="AA533" s="158">
        <v>2021</v>
      </c>
      <c r="AB533" s="158">
        <v>7</v>
      </c>
      <c r="AC533" s="158">
        <v>21</v>
      </c>
      <c r="AD533" s="122" t="b">
        <f>IF(ISBLANK(GroupMember[[#This Row],[1. Identifiant interne d’exploitation agricole*]]),"",IF(ISERROR(MATCH(GroupMember[[#This Row],[1. Identifiant interne d’exploitation agricole*]],CertifiedCrop[1. Identifiant interne d’exploitation agricole*],0)),FALSE,TRUE))</f>
        <v>1</v>
      </c>
      <c r="AE533" s="122" t="b">
        <f>IF(ISBLANK(GroupMember[[#This Row],[1. Identifiant interne d’exploitation agricole*]]),"",IF(ISERROR(MATCH(GroupMember[[#This Row],[1. Identifiant interne d’exploitation agricole*]],FarmUnit[1. Identifiant interne d’exploitation agricole*],0)),FALSE,TRUE))</f>
        <v>1</v>
      </c>
      <c r="AF533" s="9" t="str">
        <f t="shared" si="24"/>
        <v>DIABATE  MAMA</v>
      </c>
      <c r="AG533" s="243" t="str">
        <f t="shared" si="25"/>
        <v>21/7/2021</v>
      </c>
      <c r="AH533" s="51">
        <f>COUNTIFS(Z:Z,Z533,AG:AG,AG533)</f>
        <v>5</v>
      </c>
      <c r="AI533" s="49">
        <f t="shared" si="26"/>
        <v>0</v>
      </c>
    </row>
    <row r="534" spans="1:35" ht="15" x14ac:dyDescent="0.2">
      <c r="A534" s="193" t="s">
        <v>2222</v>
      </c>
      <c r="B534" s="146" t="s">
        <v>668</v>
      </c>
      <c r="C534" s="193" t="s">
        <v>2222</v>
      </c>
      <c r="D534" s="200" t="s">
        <v>2146</v>
      </c>
      <c r="E534" s="146" t="s">
        <v>670</v>
      </c>
      <c r="F534" s="146" t="s">
        <v>671</v>
      </c>
      <c r="G534" s="146" t="s">
        <v>672</v>
      </c>
      <c r="H534" s="148">
        <v>0.72</v>
      </c>
      <c r="I534" s="146" t="s">
        <v>673</v>
      </c>
      <c r="J534" s="149">
        <v>1</v>
      </c>
      <c r="K534" s="150">
        <v>2021</v>
      </c>
      <c r="L534" s="201" t="s">
        <v>2179</v>
      </c>
      <c r="M534" s="201" t="s">
        <v>1179</v>
      </c>
      <c r="N534" s="202">
        <v>747198491</v>
      </c>
      <c r="O534" s="203"/>
      <c r="P534" s="204" t="s">
        <v>676</v>
      </c>
      <c r="Q534" s="204"/>
      <c r="R534" s="155">
        <v>5</v>
      </c>
      <c r="S534" s="168"/>
      <c r="T534" s="168"/>
      <c r="U534" s="146"/>
      <c r="V534" s="146"/>
      <c r="W534" s="146"/>
      <c r="X534" s="156">
        <v>0</v>
      </c>
      <c r="Y534" s="156">
        <v>0</v>
      </c>
      <c r="Z534" s="157" t="s">
        <v>2160</v>
      </c>
      <c r="AA534" s="158">
        <v>2021</v>
      </c>
      <c r="AB534" s="158">
        <v>7</v>
      </c>
      <c r="AC534" s="158">
        <v>3</v>
      </c>
      <c r="AD534" s="122" t="b">
        <f>IF(ISBLANK(GroupMember[[#This Row],[1. Identifiant interne d’exploitation agricole*]]),"",IF(ISERROR(MATCH(GroupMember[[#This Row],[1. Identifiant interne d’exploitation agricole*]],CertifiedCrop[1. Identifiant interne d’exploitation agricole*],0)),FALSE,TRUE))</f>
        <v>1</v>
      </c>
      <c r="AE534" s="122" t="b">
        <f>IF(ISBLANK(GroupMember[[#This Row],[1. Identifiant interne d’exploitation agricole*]]),"",IF(ISERROR(MATCH(GroupMember[[#This Row],[1. Identifiant interne d’exploitation agricole*]],FarmUnit[1. Identifiant interne d’exploitation agricole*],0)),FALSE,TRUE))</f>
        <v>1</v>
      </c>
      <c r="AF534" s="9" t="str">
        <f t="shared" si="24"/>
        <v>DIALLO SIAKA</v>
      </c>
      <c r="AG534" s="243" t="str">
        <f t="shared" si="25"/>
        <v>3/7/2021</v>
      </c>
      <c r="AH534" s="51">
        <f>COUNTIFS(Z:Z,Z534,AG:AG,AG534)</f>
        <v>4</v>
      </c>
      <c r="AI534" s="49">
        <f t="shared" si="26"/>
        <v>0</v>
      </c>
    </row>
    <row r="535" spans="1:35" ht="15" x14ac:dyDescent="0.2">
      <c r="A535" s="193" t="s">
        <v>2223</v>
      </c>
      <c r="B535" s="146" t="s">
        <v>668</v>
      </c>
      <c r="C535" s="193" t="s">
        <v>2223</v>
      </c>
      <c r="D535" s="200" t="s">
        <v>2146</v>
      </c>
      <c r="E535" s="146" t="s">
        <v>670</v>
      </c>
      <c r="F535" s="146" t="s">
        <v>671</v>
      </c>
      <c r="G535" s="146" t="s">
        <v>672</v>
      </c>
      <c r="H535" s="148">
        <v>1.36</v>
      </c>
      <c r="I535" s="146" t="s">
        <v>673</v>
      </c>
      <c r="J535" s="149">
        <v>1</v>
      </c>
      <c r="K535" s="150">
        <v>2021</v>
      </c>
      <c r="L535" s="201" t="s">
        <v>1967</v>
      </c>
      <c r="M535" s="201" t="s">
        <v>2224</v>
      </c>
      <c r="N535" s="202"/>
      <c r="O535" s="203"/>
      <c r="P535" s="204" t="s">
        <v>676</v>
      </c>
      <c r="Q535" s="204"/>
      <c r="R535" s="155">
        <v>7</v>
      </c>
      <c r="S535" s="168"/>
      <c r="T535" s="168"/>
      <c r="U535" s="146"/>
      <c r="V535" s="146"/>
      <c r="W535" s="146"/>
      <c r="X535" s="156">
        <v>0</v>
      </c>
      <c r="Y535" s="156">
        <v>0</v>
      </c>
      <c r="Z535" s="157" t="s">
        <v>2160</v>
      </c>
      <c r="AA535" s="158">
        <v>2021</v>
      </c>
      <c r="AB535" s="158">
        <v>7</v>
      </c>
      <c r="AC535" s="158">
        <v>12</v>
      </c>
      <c r="AD535" s="122" t="b">
        <f>IF(ISBLANK(GroupMember[[#This Row],[1. Identifiant interne d’exploitation agricole*]]),"",IF(ISERROR(MATCH(GroupMember[[#This Row],[1. Identifiant interne d’exploitation agricole*]],CertifiedCrop[1. Identifiant interne d’exploitation agricole*],0)),FALSE,TRUE))</f>
        <v>1</v>
      </c>
      <c r="AE535" s="122" t="b">
        <f>IF(ISBLANK(GroupMember[[#This Row],[1. Identifiant interne d’exploitation agricole*]]),"",IF(ISERROR(MATCH(GroupMember[[#This Row],[1. Identifiant interne d’exploitation agricole*]],FarmUnit[1. Identifiant interne d’exploitation agricole*],0)),FALSE,TRUE))</f>
        <v>1</v>
      </c>
      <c r="AF535" s="9" t="str">
        <f t="shared" si="24"/>
        <v>OULAI DANIEL</v>
      </c>
      <c r="AG535" s="243" t="str">
        <f t="shared" si="25"/>
        <v>12/7/2021</v>
      </c>
      <c r="AH535" s="51">
        <f>COUNTIFS(Z:Z,Z535,AG:AG,AG535)</f>
        <v>3</v>
      </c>
      <c r="AI535" s="49">
        <f t="shared" si="26"/>
        <v>0</v>
      </c>
    </row>
    <row r="536" spans="1:35" ht="15" x14ac:dyDescent="0.2">
      <c r="A536" s="193" t="s">
        <v>2225</v>
      </c>
      <c r="B536" s="146" t="s">
        <v>668</v>
      </c>
      <c r="C536" s="193" t="s">
        <v>2225</v>
      </c>
      <c r="D536" s="200" t="s">
        <v>2146</v>
      </c>
      <c r="E536" s="146" t="s">
        <v>670</v>
      </c>
      <c r="F536" s="146" t="s">
        <v>671</v>
      </c>
      <c r="G536" s="146" t="s">
        <v>672</v>
      </c>
      <c r="H536" s="148">
        <v>1.86</v>
      </c>
      <c r="I536" s="146" t="s">
        <v>673</v>
      </c>
      <c r="J536" s="149">
        <v>1</v>
      </c>
      <c r="K536" s="150">
        <v>2021</v>
      </c>
      <c r="L536" s="201" t="s">
        <v>2226</v>
      </c>
      <c r="M536" s="201" t="s">
        <v>2227</v>
      </c>
      <c r="N536" s="202">
        <v>576604694</v>
      </c>
      <c r="O536" s="203"/>
      <c r="P536" s="204" t="s">
        <v>676</v>
      </c>
      <c r="Q536" s="204"/>
      <c r="R536" s="155">
        <v>5</v>
      </c>
      <c r="S536" s="168"/>
      <c r="T536" s="168"/>
      <c r="U536" s="146"/>
      <c r="V536" s="146"/>
      <c r="W536" s="146"/>
      <c r="X536" s="156">
        <v>0</v>
      </c>
      <c r="Y536" s="156">
        <v>0</v>
      </c>
      <c r="Z536" s="157" t="s">
        <v>2160</v>
      </c>
      <c r="AA536" s="158">
        <v>2021</v>
      </c>
      <c r="AB536" s="158">
        <v>7</v>
      </c>
      <c r="AC536" s="158">
        <v>22</v>
      </c>
      <c r="AD536" s="122" t="b">
        <f>IF(ISBLANK(GroupMember[[#This Row],[1. Identifiant interne d’exploitation agricole*]]),"",IF(ISERROR(MATCH(GroupMember[[#This Row],[1. Identifiant interne d’exploitation agricole*]],CertifiedCrop[1. Identifiant interne d’exploitation agricole*],0)),FALSE,TRUE))</f>
        <v>1</v>
      </c>
      <c r="AE536" s="122" t="b">
        <f>IF(ISBLANK(GroupMember[[#This Row],[1. Identifiant interne d’exploitation agricole*]]),"",IF(ISERROR(MATCH(GroupMember[[#This Row],[1. Identifiant interne d’exploitation agricole*]],FarmUnit[1. Identifiant interne d’exploitation agricole*],0)),FALSE,TRUE))</f>
        <v>1</v>
      </c>
      <c r="AF536" s="9" t="str">
        <f t="shared" si="24"/>
        <v>SEBAGO  LORA</v>
      </c>
      <c r="AG536" s="243" t="str">
        <f t="shared" si="25"/>
        <v>22/7/2021</v>
      </c>
      <c r="AH536" s="51">
        <f>COUNTIFS(Z:Z,Z536,AG:AG,AG536)</f>
        <v>3</v>
      </c>
      <c r="AI536" s="49">
        <f t="shared" si="26"/>
        <v>0</v>
      </c>
    </row>
    <row r="537" spans="1:35" ht="15" x14ac:dyDescent="0.2">
      <c r="A537" s="193" t="s">
        <v>2228</v>
      </c>
      <c r="B537" s="146" t="s">
        <v>668</v>
      </c>
      <c r="C537" s="193" t="s">
        <v>2228</v>
      </c>
      <c r="D537" s="200" t="s">
        <v>2146</v>
      </c>
      <c r="E537" s="146" t="s">
        <v>670</v>
      </c>
      <c r="F537" s="146" t="s">
        <v>671</v>
      </c>
      <c r="G537" s="146" t="s">
        <v>672</v>
      </c>
      <c r="H537" s="148">
        <v>8.4499999999999993</v>
      </c>
      <c r="I537" s="146" t="s">
        <v>673</v>
      </c>
      <c r="J537" s="149">
        <v>1</v>
      </c>
      <c r="K537" s="150">
        <v>2021</v>
      </c>
      <c r="L537" s="201" t="s">
        <v>2229</v>
      </c>
      <c r="M537" s="201" t="s">
        <v>1079</v>
      </c>
      <c r="N537" s="202"/>
      <c r="O537" s="203"/>
      <c r="P537" s="204" t="s">
        <v>676</v>
      </c>
      <c r="Q537" s="204"/>
      <c r="R537" s="155">
        <v>8</v>
      </c>
      <c r="S537" s="168"/>
      <c r="T537" s="168"/>
      <c r="U537" s="146"/>
      <c r="V537" s="146"/>
      <c r="W537" s="146"/>
      <c r="X537" s="156">
        <v>0</v>
      </c>
      <c r="Y537" s="156">
        <v>0</v>
      </c>
      <c r="Z537" s="157" t="s">
        <v>2160</v>
      </c>
      <c r="AA537" s="158">
        <v>2021</v>
      </c>
      <c r="AB537" s="158">
        <v>7</v>
      </c>
      <c r="AC537" s="158">
        <v>28</v>
      </c>
      <c r="AD537" s="122" t="b">
        <f>IF(ISBLANK(GroupMember[[#This Row],[1. Identifiant interne d’exploitation agricole*]]),"",IF(ISERROR(MATCH(GroupMember[[#This Row],[1. Identifiant interne d’exploitation agricole*]],CertifiedCrop[1. Identifiant interne d’exploitation agricole*],0)),FALSE,TRUE))</f>
        <v>1</v>
      </c>
      <c r="AE537" s="122" t="b">
        <f>IF(ISBLANK(GroupMember[[#This Row],[1. Identifiant interne d’exploitation agricole*]]),"",IF(ISERROR(MATCH(GroupMember[[#This Row],[1. Identifiant interne d’exploitation agricole*]],FarmUnit[1. Identifiant interne d’exploitation agricole*],0)),FALSE,TRUE))</f>
        <v>1</v>
      </c>
      <c r="AF537" s="9" t="str">
        <f t="shared" si="24"/>
        <v>KOUDOUGOU  SOULEYMANE</v>
      </c>
      <c r="AG537" s="243" t="str">
        <f t="shared" si="25"/>
        <v>28/7/2021</v>
      </c>
      <c r="AH537" s="51">
        <f>COUNTIFS(Z:Z,Z537,AG:AG,AG537)</f>
        <v>4</v>
      </c>
      <c r="AI537" s="49">
        <f t="shared" si="26"/>
        <v>0</v>
      </c>
    </row>
    <row r="538" spans="1:35" ht="15" x14ac:dyDescent="0.2">
      <c r="A538" s="193" t="s">
        <v>2230</v>
      </c>
      <c r="B538" s="146" t="s">
        <v>668</v>
      </c>
      <c r="C538" s="193" t="s">
        <v>2230</v>
      </c>
      <c r="D538" s="200" t="s">
        <v>2146</v>
      </c>
      <c r="E538" s="146" t="s">
        <v>670</v>
      </c>
      <c r="F538" s="146" t="s">
        <v>671</v>
      </c>
      <c r="G538" s="146" t="s">
        <v>672</v>
      </c>
      <c r="H538" s="148">
        <v>3.86</v>
      </c>
      <c r="I538" s="146" t="s">
        <v>673</v>
      </c>
      <c r="J538" s="149">
        <v>1</v>
      </c>
      <c r="K538" s="150">
        <v>2021</v>
      </c>
      <c r="L538" s="201" t="s">
        <v>939</v>
      </c>
      <c r="M538" s="201" t="s">
        <v>872</v>
      </c>
      <c r="N538" s="202">
        <v>709154740</v>
      </c>
      <c r="O538" s="203"/>
      <c r="P538" s="204" t="s">
        <v>676</v>
      </c>
      <c r="Q538" s="204"/>
      <c r="R538" s="155">
        <v>7</v>
      </c>
      <c r="S538" s="168"/>
      <c r="T538" s="168"/>
      <c r="U538" s="146"/>
      <c r="V538" s="146"/>
      <c r="W538" s="146"/>
      <c r="X538" s="156">
        <v>0</v>
      </c>
      <c r="Y538" s="156">
        <v>0</v>
      </c>
      <c r="Z538" s="157" t="s">
        <v>2160</v>
      </c>
      <c r="AA538" s="158">
        <v>2021</v>
      </c>
      <c r="AB538" s="158">
        <v>7</v>
      </c>
      <c r="AC538" s="158">
        <v>26</v>
      </c>
      <c r="AD538" s="122" t="b">
        <f>IF(ISBLANK(GroupMember[[#This Row],[1. Identifiant interne d’exploitation agricole*]]),"",IF(ISERROR(MATCH(GroupMember[[#This Row],[1. Identifiant interne d’exploitation agricole*]],CertifiedCrop[1. Identifiant interne d’exploitation agricole*],0)),FALSE,TRUE))</f>
        <v>1</v>
      </c>
      <c r="AE538" s="122" t="b">
        <f>IF(ISBLANK(GroupMember[[#This Row],[1. Identifiant interne d’exploitation agricole*]]),"",IF(ISERROR(MATCH(GroupMember[[#This Row],[1. Identifiant interne d’exploitation agricole*]],FarmUnit[1. Identifiant interne d’exploitation agricole*],0)),FALSE,TRUE))</f>
        <v>1</v>
      </c>
      <c r="AF538" s="9" t="str">
        <f t="shared" si="24"/>
        <v>SANOGO  ADAMA</v>
      </c>
      <c r="AG538" s="243" t="str">
        <f t="shared" si="25"/>
        <v>26/7/2021</v>
      </c>
      <c r="AH538" s="51">
        <f>COUNTIFS(Z:Z,Z538,AG:AG,AG538)</f>
        <v>4</v>
      </c>
      <c r="AI538" s="49">
        <f t="shared" si="26"/>
        <v>0</v>
      </c>
    </row>
    <row r="539" spans="1:35" ht="15" x14ac:dyDescent="0.2">
      <c r="A539" s="193" t="s">
        <v>2231</v>
      </c>
      <c r="B539" s="146" t="s">
        <v>668</v>
      </c>
      <c r="C539" s="193" t="s">
        <v>2231</v>
      </c>
      <c r="D539" s="200" t="s">
        <v>2146</v>
      </c>
      <c r="E539" s="146" t="s">
        <v>670</v>
      </c>
      <c r="F539" s="146" t="s">
        <v>671</v>
      </c>
      <c r="G539" s="146" t="s">
        <v>672</v>
      </c>
      <c r="H539" s="148">
        <v>4.1399999999999997</v>
      </c>
      <c r="I539" s="146" t="s">
        <v>673</v>
      </c>
      <c r="J539" s="149">
        <v>1</v>
      </c>
      <c r="K539" s="150">
        <v>2021</v>
      </c>
      <c r="L539" s="201" t="s">
        <v>1774</v>
      </c>
      <c r="M539" s="201" t="s">
        <v>1379</v>
      </c>
      <c r="N539" s="202">
        <v>747988920</v>
      </c>
      <c r="O539" s="203"/>
      <c r="P539" s="204" t="s">
        <v>676</v>
      </c>
      <c r="Q539" s="204"/>
      <c r="R539" s="155">
        <v>7</v>
      </c>
      <c r="S539" s="168"/>
      <c r="T539" s="168"/>
      <c r="U539" s="146"/>
      <c r="V539" s="146"/>
      <c r="W539" s="146"/>
      <c r="X539" s="156">
        <v>0</v>
      </c>
      <c r="Y539" s="156">
        <v>0</v>
      </c>
      <c r="Z539" s="157" t="s">
        <v>2160</v>
      </c>
      <c r="AA539" s="158">
        <v>2021</v>
      </c>
      <c r="AB539" s="158">
        <v>7</v>
      </c>
      <c r="AC539" s="158">
        <v>28</v>
      </c>
      <c r="AD539" s="122" t="b">
        <f>IF(ISBLANK(GroupMember[[#This Row],[1. Identifiant interne d’exploitation agricole*]]),"",IF(ISERROR(MATCH(GroupMember[[#This Row],[1. Identifiant interne d’exploitation agricole*]],CertifiedCrop[1. Identifiant interne d’exploitation agricole*],0)),FALSE,TRUE))</f>
        <v>1</v>
      </c>
      <c r="AE539" s="122" t="b">
        <f>IF(ISBLANK(GroupMember[[#This Row],[1. Identifiant interne d’exploitation agricole*]]),"",IF(ISERROR(MATCH(GroupMember[[#This Row],[1. Identifiant interne d’exploitation agricole*]],FarmUnit[1. Identifiant interne d’exploitation agricole*],0)),FALSE,TRUE))</f>
        <v>1</v>
      </c>
      <c r="AF539" s="9" t="str">
        <f t="shared" si="24"/>
        <v>COULIBALY  ALI</v>
      </c>
      <c r="AG539" s="243" t="str">
        <f t="shared" si="25"/>
        <v>28/7/2021</v>
      </c>
      <c r="AH539" s="51">
        <f>COUNTIFS(Z:Z,Z539,AG:AG,AG539)</f>
        <v>4</v>
      </c>
      <c r="AI539" s="49">
        <f t="shared" si="26"/>
        <v>0</v>
      </c>
    </row>
    <row r="540" spans="1:35" ht="15" x14ac:dyDescent="0.2">
      <c r="A540" s="193" t="s">
        <v>2232</v>
      </c>
      <c r="B540" s="146" t="s">
        <v>668</v>
      </c>
      <c r="C540" s="193" t="s">
        <v>2232</v>
      </c>
      <c r="D540" s="200" t="s">
        <v>2146</v>
      </c>
      <c r="E540" s="146" t="s">
        <v>670</v>
      </c>
      <c r="F540" s="146" t="s">
        <v>671</v>
      </c>
      <c r="G540" s="146" t="s">
        <v>672</v>
      </c>
      <c r="H540" s="148">
        <v>2.69</v>
      </c>
      <c r="I540" s="146" t="s">
        <v>673</v>
      </c>
      <c r="J540" s="149">
        <v>1</v>
      </c>
      <c r="K540" s="150">
        <v>2021</v>
      </c>
      <c r="L540" s="201" t="s">
        <v>2233</v>
      </c>
      <c r="M540" s="201" t="s">
        <v>1488</v>
      </c>
      <c r="N540" s="202"/>
      <c r="O540" s="203"/>
      <c r="P540" s="204" t="s">
        <v>676</v>
      </c>
      <c r="Q540" s="204"/>
      <c r="R540" s="155">
        <v>6</v>
      </c>
      <c r="S540" s="168"/>
      <c r="T540" s="168"/>
      <c r="U540" s="146"/>
      <c r="V540" s="146"/>
      <c r="W540" s="146"/>
      <c r="X540" s="156">
        <v>0</v>
      </c>
      <c r="Y540" s="156">
        <v>0</v>
      </c>
      <c r="Z540" s="157" t="s">
        <v>2160</v>
      </c>
      <c r="AA540" s="158">
        <v>2021</v>
      </c>
      <c r="AB540" s="158">
        <v>7</v>
      </c>
      <c r="AC540" s="158">
        <v>26</v>
      </c>
      <c r="AD540" s="122" t="b">
        <f>IF(ISBLANK(GroupMember[[#This Row],[1. Identifiant interne d’exploitation agricole*]]),"",IF(ISERROR(MATCH(GroupMember[[#This Row],[1. Identifiant interne d’exploitation agricole*]],CertifiedCrop[1. Identifiant interne d’exploitation agricole*],0)),FALSE,TRUE))</f>
        <v>1</v>
      </c>
      <c r="AE540" s="122" t="b">
        <f>IF(ISBLANK(GroupMember[[#This Row],[1. Identifiant interne d’exploitation agricole*]]),"",IF(ISERROR(MATCH(GroupMember[[#This Row],[1. Identifiant interne d’exploitation agricole*]],FarmUnit[1. Identifiant interne d’exploitation agricole*],0)),FALSE,TRUE))</f>
        <v>1</v>
      </c>
      <c r="AF540" s="9" t="str">
        <f t="shared" si="24"/>
        <v>ZOUNO  SAIDOU</v>
      </c>
      <c r="AG540" s="243" t="str">
        <f t="shared" si="25"/>
        <v>26/7/2021</v>
      </c>
      <c r="AH540" s="51">
        <f>COUNTIFS(Z:Z,Z540,AG:AG,AG540)</f>
        <v>4</v>
      </c>
      <c r="AI540" s="49">
        <f t="shared" si="26"/>
        <v>0</v>
      </c>
    </row>
    <row r="541" spans="1:35" ht="15" x14ac:dyDescent="0.2">
      <c r="A541" s="193" t="s">
        <v>2234</v>
      </c>
      <c r="B541" s="146" t="s">
        <v>668</v>
      </c>
      <c r="C541" s="193" t="s">
        <v>2234</v>
      </c>
      <c r="D541" s="200" t="s">
        <v>2146</v>
      </c>
      <c r="E541" s="146" t="s">
        <v>670</v>
      </c>
      <c r="F541" s="146" t="s">
        <v>671</v>
      </c>
      <c r="G541" s="146" t="s">
        <v>672</v>
      </c>
      <c r="H541" s="148">
        <v>5.82</v>
      </c>
      <c r="I541" s="146" t="s">
        <v>673</v>
      </c>
      <c r="J541" s="149">
        <v>1</v>
      </c>
      <c r="K541" s="150">
        <v>2021</v>
      </c>
      <c r="L541" s="201" t="s">
        <v>2235</v>
      </c>
      <c r="M541" s="201" t="s">
        <v>2236</v>
      </c>
      <c r="N541" s="202"/>
      <c r="O541" s="203"/>
      <c r="P541" s="204" t="s">
        <v>676</v>
      </c>
      <c r="Q541" s="204"/>
      <c r="R541" s="155">
        <v>5</v>
      </c>
      <c r="S541" s="168"/>
      <c r="T541" s="168"/>
      <c r="U541" s="146"/>
      <c r="V541" s="146"/>
      <c r="W541" s="146"/>
      <c r="X541" s="156">
        <v>0</v>
      </c>
      <c r="Y541" s="156">
        <v>0</v>
      </c>
      <c r="Z541" s="157" t="s">
        <v>2160</v>
      </c>
      <c r="AA541" s="158">
        <v>2021</v>
      </c>
      <c r="AB541" s="158">
        <v>7</v>
      </c>
      <c r="AC541" s="158">
        <v>2</v>
      </c>
      <c r="AD541" s="122" t="b">
        <f>IF(ISBLANK(GroupMember[[#This Row],[1. Identifiant interne d’exploitation agricole*]]),"",IF(ISERROR(MATCH(GroupMember[[#This Row],[1. Identifiant interne d’exploitation agricole*]],CertifiedCrop[1. Identifiant interne d’exploitation agricole*],0)),FALSE,TRUE))</f>
        <v>1</v>
      </c>
      <c r="AE541" s="122" t="b">
        <f>IF(ISBLANK(GroupMember[[#This Row],[1. Identifiant interne d’exploitation agricole*]]),"",IF(ISERROR(MATCH(GroupMember[[#This Row],[1. Identifiant interne d’exploitation agricole*]],FarmUnit[1. Identifiant interne d’exploitation agricole*],0)),FALSE,TRUE))</f>
        <v>1</v>
      </c>
      <c r="AF541" s="9" t="str">
        <f t="shared" si="24"/>
        <v>SARME BRAHIMA</v>
      </c>
      <c r="AG541" s="243" t="str">
        <f t="shared" si="25"/>
        <v>2/7/2021</v>
      </c>
      <c r="AH541" s="51">
        <f>COUNTIFS(Z:Z,Z541,AG:AG,AG541)</f>
        <v>4</v>
      </c>
      <c r="AI541" s="49">
        <f t="shared" si="26"/>
        <v>0</v>
      </c>
    </row>
    <row r="542" spans="1:35" ht="15" x14ac:dyDescent="0.2">
      <c r="A542" s="193" t="s">
        <v>2237</v>
      </c>
      <c r="B542" s="146" t="s">
        <v>668</v>
      </c>
      <c r="C542" s="193" t="s">
        <v>2237</v>
      </c>
      <c r="D542" s="200" t="s">
        <v>2146</v>
      </c>
      <c r="E542" s="146" t="s">
        <v>670</v>
      </c>
      <c r="F542" s="146" t="s">
        <v>671</v>
      </c>
      <c r="G542" s="146" t="s">
        <v>672</v>
      </c>
      <c r="H542" s="148">
        <v>3.13</v>
      </c>
      <c r="I542" s="146" t="s">
        <v>673</v>
      </c>
      <c r="J542" s="149">
        <v>1</v>
      </c>
      <c r="K542" s="150">
        <v>2021</v>
      </c>
      <c r="L542" s="201" t="s">
        <v>2238</v>
      </c>
      <c r="M542" s="201" t="s">
        <v>1129</v>
      </c>
      <c r="N542" s="202">
        <v>778036595</v>
      </c>
      <c r="O542" s="203"/>
      <c r="P542" s="204" t="s">
        <v>676</v>
      </c>
      <c r="Q542" s="204"/>
      <c r="R542" s="155">
        <v>8</v>
      </c>
      <c r="S542" s="168"/>
      <c r="T542" s="168"/>
      <c r="U542" s="146"/>
      <c r="V542" s="146"/>
      <c r="W542" s="146"/>
      <c r="X542" s="156">
        <v>0</v>
      </c>
      <c r="Y542" s="156">
        <v>0</v>
      </c>
      <c r="Z542" s="157" t="s">
        <v>2160</v>
      </c>
      <c r="AA542" s="158">
        <v>2021</v>
      </c>
      <c r="AB542" s="158">
        <v>7</v>
      </c>
      <c r="AC542" s="158">
        <v>23</v>
      </c>
      <c r="AD542" s="122" t="b">
        <f>IF(ISBLANK(GroupMember[[#This Row],[1. Identifiant interne d’exploitation agricole*]]),"",IF(ISERROR(MATCH(GroupMember[[#This Row],[1. Identifiant interne d’exploitation agricole*]],CertifiedCrop[1. Identifiant interne d’exploitation agricole*],0)),FALSE,TRUE))</f>
        <v>1</v>
      </c>
      <c r="AE542" s="122" t="b">
        <f>IF(ISBLANK(GroupMember[[#This Row],[1. Identifiant interne d’exploitation agricole*]]),"",IF(ISERROR(MATCH(GroupMember[[#This Row],[1. Identifiant interne d’exploitation agricole*]],FarmUnit[1. Identifiant interne d’exploitation agricole*],0)),FALSE,TRUE))</f>
        <v>1</v>
      </c>
      <c r="AF542" s="9" t="str">
        <f t="shared" si="24"/>
        <v>BATIN  OUSMANE</v>
      </c>
      <c r="AG542" s="243" t="str">
        <f t="shared" si="25"/>
        <v>23/7/2021</v>
      </c>
      <c r="AH542" s="51">
        <f>COUNTIFS(Z:Z,Z542,AG:AG,AG542)</f>
        <v>5</v>
      </c>
      <c r="AI542" s="49">
        <f t="shared" si="26"/>
        <v>0</v>
      </c>
    </row>
    <row r="543" spans="1:35" ht="15" x14ac:dyDescent="0.2">
      <c r="A543" s="193" t="s">
        <v>2239</v>
      </c>
      <c r="B543" s="146" t="s">
        <v>668</v>
      </c>
      <c r="C543" s="193" t="s">
        <v>2239</v>
      </c>
      <c r="D543" s="200" t="s">
        <v>2146</v>
      </c>
      <c r="E543" s="146" t="s">
        <v>670</v>
      </c>
      <c r="F543" s="146" t="s">
        <v>671</v>
      </c>
      <c r="G543" s="146" t="s">
        <v>672</v>
      </c>
      <c r="H543" s="148">
        <v>4.76</v>
      </c>
      <c r="I543" s="146" t="s">
        <v>673</v>
      </c>
      <c r="J543" s="149">
        <v>1</v>
      </c>
      <c r="K543" s="150">
        <v>2021</v>
      </c>
      <c r="L543" s="201" t="s">
        <v>948</v>
      </c>
      <c r="M543" s="201" t="s">
        <v>1075</v>
      </c>
      <c r="N543" s="202"/>
      <c r="O543" s="203"/>
      <c r="P543" s="204" t="s">
        <v>676</v>
      </c>
      <c r="Q543" s="204"/>
      <c r="R543" s="155">
        <v>4</v>
      </c>
      <c r="S543" s="168"/>
      <c r="T543" s="168"/>
      <c r="U543" s="146"/>
      <c r="V543" s="146"/>
      <c r="W543" s="146"/>
      <c r="X543" s="156">
        <v>0</v>
      </c>
      <c r="Y543" s="156">
        <v>0</v>
      </c>
      <c r="Z543" s="157" t="s">
        <v>2160</v>
      </c>
      <c r="AA543" s="158">
        <v>2021</v>
      </c>
      <c r="AB543" s="158">
        <v>7</v>
      </c>
      <c r="AC543" s="158">
        <v>13</v>
      </c>
      <c r="AD543" s="122" t="b">
        <f>IF(ISBLANK(GroupMember[[#This Row],[1. Identifiant interne d’exploitation agricole*]]),"",IF(ISERROR(MATCH(GroupMember[[#This Row],[1. Identifiant interne d’exploitation agricole*]],CertifiedCrop[1. Identifiant interne d’exploitation agricole*],0)),FALSE,TRUE))</f>
        <v>1</v>
      </c>
      <c r="AE543" s="122" t="b">
        <f>IF(ISBLANK(GroupMember[[#This Row],[1. Identifiant interne d’exploitation agricole*]]),"",IF(ISERROR(MATCH(GroupMember[[#This Row],[1. Identifiant interne d’exploitation agricole*]],FarmUnit[1. Identifiant interne d’exploitation agricole*],0)),FALSE,TRUE))</f>
        <v>1</v>
      </c>
      <c r="AF543" s="9" t="str">
        <f t="shared" si="24"/>
        <v>SAWADOGO  ISSOUF</v>
      </c>
      <c r="AG543" s="243" t="str">
        <f t="shared" si="25"/>
        <v>13/7/2021</v>
      </c>
      <c r="AH543" s="51">
        <f>COUNTIFS(Z:Z,Z543,AG:AG,AG543)</f>
        <v>4</v>
      </c>
      <c r="AI543" s="49">
        <f t="shared" si="26"/>
        <v>0</v>
      </c>
    </row>
    <row r="544" spans="1:35" ht="15" x14ac:dyDescent="0.2">
      <c r="A544" s="193" t="s">
        <v>2240</v>
      </c>
      <c r="B544" s="146" t="s">
        <v>668</v>
      </c>
      <c r="C544" s="193" t="s">
        <v>2240</v>
      </c>
      <c r="D544" s="200" t="s">
        <v>2146</v>
      </c>
      <c r="E544" s="146" t="s">
        <v>670</v>
      </c>
      <c r="F544" s="146" t="s">
        <v>671</v>
      </c>
      <c r="G544" s="146" t="s">
        <v>672</v>
      </c>
      <c r="H544" s="148">
        <v>3.04</v>
      </c>
      <c r="I544" s="146" t="s">
        <v>673</v>
      </c>
      <c r="J544" s="149">
        <v>1</v>
      </c>
      <c r="K544" s="150">
        <v>2021</v>
      </c>
      <c r="L544" s="201" t="s">
        <v>2241</v>
      </c>
      <c r="M544" s="201" t="s">
        <v>1105</v>
      </c>
      <c r="N544" s="202">
        <v>787829194</v>
      </c>
      <c r="O544" s="203"/>
      <c r="P544" s="204" t="s">
        <v>676</v>
      </c>
      <c r="Q544" s="204"/>
      <c r="R544" s="155">
        <v>6</v>
      </c>
      <c r="S544" s="168"/>
      <c r="T544" s="168"/>
      <c r="U544" s="146"/>
      <c r="V544" s="146"/>
      <c r="W544" s="146"/>
      <c r="X544" s="156">
        <v>0</v>
      </c>
      <c r="Y544" s="156">
        <v>0</v>
      </c>
      <c r="Z544" s="157" t="s">
        <v>2160</v>
      </c>
      <c r="AA544" s="158">
        <v>2021</v>
      </c>
      <c r="AB544" s="158">
        <v>7</v>
      </c>
      <c r="AC544" s="158">
        <v>28</v>
      </c>
      <c r="AD544" s="122" t="b">
        <f>IF(ISBLANK(GroupMember[[#This Row],[1. Identifiant interne d’exploitation agricole*]]),"",IF(ISERROR(MATCH(GroupMember[[#This Row],[1. Identifiant interne d’exploitation agricole*]],CertifiedCrop[1. Identifiant interne d’exploitation agricole*],0)),FALSE,TRUE))</f>
        <v>1</v>
      </c>
      <c r="AE544" s="122" t="b">
        <f>IF(ISBLANK(GroupMember[[#This Row],[1. Identifiant interne d’exploitation agricole*]]),"",IF(ISERROR(MATCH(GroupMember[[#This Row],[1. Identifiant interne d’exploitation agricole*]],FarmUnit[1. Identifiant interne d’exploitation agricole*],0)),FALSE,TRUE))</f>
        <v>1</v>
      </c>
      <c r="AF544" s="9" t="str">
        <f t="shared" si="24"/>
        <v>BAZIE  AROUNA</v>
      </c>
      <c r="AG544" s="243" t="str">
        <f t="shared" si="25"/>
        <v>28/7/2021</v>
      </c>
      <c r="AH544" s="51">
        <f>COUNTIFS(Z:Z,Z544,AG:AG,AG544)</f>
        <v>4</v>
      </c>
      <c r="AI544" s="49">
        <f t="shared" si="26"/>
        <v>0</v>
      </c>
    </row>
    <row r="545" spans="1:35" ht="15" x14ac:dyDescent="0.2">
      <c r="A545" s="193" t="s">
        <v>2242</v>
      </c>
      <c r="B545" s="146" t="s">
        <v>668</v>
      </c>
      <c r="C545" s="193" t="s">
        <v>2242</v>
      </c>
      <c r="D545" s="200" t="s">
        <v>2146</v>
      </c>
      <c r="E545" s="146" t="s">
        <v>670</v>
      </c>
      <c r="F545" s="146" t="s">
        <v>671</v>
      </c>
      <c r="G545" s="146" t="s">
        <v>672</v>
      </c>
      <c r="H545" s="148">
        <v>4.46</v>
      </c>
      <c r="I545" s="146" t="s">
        <v>673</v>
      </c>
      <c r="J545" s="149">
        <v>1</v>
      </c>
      <c r="K545" s="150">
        <v>2021</v>
      </c>
      <c r="L545" s="201" t="s">
        <v>707</v>
      </c>
      <c r="M545" s="201" t="s">
        <v>2147</v>
      </c>
      <c r="N545" s="202">
        <v>709389675</v>
      </c>
      <c r="O545" s="203"/>
      <c r="P545" s="204" t="s">
        <v>676</v>
      </c>
      <c r="Q545" s="204"/>
      <c r="R545" s="155">
        <v>7</v>
      </c>
      <c r="S545" s="168"/>
      <c r="T545" s="168"/>
      <c r="U545" s="146"/>
      <c r="V545" s="146"/>
      <c r="W545" s="146"/>
      <c r="X545" s="156">
        <v>0</v>
      </c>
      <c r="Y545" s="156">
        <v>0</v>
      </c>
      <c r="Z545" s="157" t="s">
        <v>2160</v>
      </c>
      <c r="AA545" s="158">
        <v>2021</v>
      </c>
      <c r="AB545" s="158">
        <v>7</v>
      </c>
      <c r="AC545" s="158">
        <v>26</v>
      </c>
      <c r="AD545" s="122" t="b">
        <f>IF(ISBLANK(GroupMember[[#This Row],[1. Identifiant interne d’exploitation agricole*]]),"",IF(ISERROR(MATCH(GroupMember[[#This Row],[1. Identifiant interne d’exploitation agricole*]],CertifiedCrop[1. Identifiant interne d’exploitation agricole*],0)),FALSE,TRUE))</f>
        <v>1</v>
      </c>
      <c r="AE545" s="122" t="b">
        <f>IF(ISBLANK(GroupMember[[#This Row],[1. Identifiant interne d’exploitation agricole*]]),"",IF(ISERROR(MATCH(GroupMember[[#This Row],[1. Identifiant interne d’exploitation agricole*]],FarmUnit[1. Identifiant interne d’exploitation agricole*],0)),FALSE,TRUE))</f>
        <v>1</v>
      </c>
      <c r="AF545" s="9" t="str">
        <f t="shared" si="24"/>
        <v>OUEDRAOGO  MADY</v>
      </c>
      <c r="AG545" s="243" t="str">
        <f t="shared" si="25"/>
        <v>26/7/2021</v>
      </c>
      <c r="AH545" s="51">
        <f>COUNTIFS(Z:Z,Z545,AG:AG,AG545)</f>
        <v>4</v>
      </c>
      <c r="AI545" s="49">
        <f t="shared" si="26"/>
        <v>0</v>
      </c>
    </row>
    <row r="546" spans="1:35" ht="15" x14ac:dyDescent="0.2">
      <c r="A546" s="193" t="s">
        <v>2243</v>
      </c>
      <c r="B546" s="146" t="s">
        <v>668</v>
      </c>
      <c r="C546" s="193" t="s">
        <v>2243</v>
      </c>
      <c r="D546" s="200" t="s">
        <v>2146</v>
      </c>
      <c r="E546" s="146" t="s">
        <v>670</v>
      </c>
      <c r="F546" s="146" t="s">
        <v>671</v>
      </c>
      <c r="G546" s="146" t="s">
        <v>672</v>
      </c>
      <c r="H546" s="148">
        <v>1.18</v>
      </c>
      <c r="I546" s="146" t="s">
        <v>673</v>
      </c>
      <c r="J546" s="149">
        <v>1</v>
      </c>
      <c r="K546" s="150">
        <v>2021</v>
      </c>
      <c r="L546" s="201" t="s">
        <v>2244</v>
      </c>
      <c r="M546" s="201"/>
      <c r="N546" s="202"/>
      <c r="O546" s="203"/>
      <c r="P546" s="204" t="s">
        <v>676</v>
      </c>
      <c r="Q546" s="204"/>
      <c r="R546" s="155">
        <v>8</v>
      </c>
      <c r="S546" s="168"/>
      <c r="T546" s="168"/>
      <c r="U546" s="146"/>
      <c r="V546" s="146"/>
      <c r="W546" s="146"/>
      <c r="X546" s="156">
        <v>0</v>
      </c>
      <c r="Y546" s="156">
        <v>0</v>
      </c>
      <c r="Z546" s="157" t="s">
        <v>2160</v>
      </c>
      <c r="AA546" s="158">
        <v>2021</v>
      </c>
      <c r="AB546" s="158">
        <v>7</v>
      </c>
      <c r="AC546" s="158">
        <v>30</v>
      </c>
      <c r="AD546" s="122" t="b">
        <f>IF(ISBLANK(GroupMember[[#This Row],[1. Identifiant interne d’exploitation agricole*]]),"",IF(ISERROR(MATCH(GroupMember[[#This Row],[1. Identifiant interne d’exploitation agricole*]],CertifiedCrop[1. Identifiant interne d’exploitation agricole*],0)),FALSE,TRUE))</f>
        <v>1</v>
      </c>
      <c r="AE546" s="122" t="b">
        <f>IF(ISBLANK(GroupMember[[#This Row],[1. Identifiant interne d’exploitation agricole*]]),"",IF(ISERROR(MATCH(GroupMember[[#This Row],[1. Identifiant interne d’exploitation agricole*]],FarmUnit[1. Identifiant interne d’exploitation agricole*],0)),FALSE,TRUE))</f>
        <v>1</v>
      </c>
      <c r="AF546" s="9" t="str">
        <f t="shared" si="24"/>
        <v xml:space="preserve">DJIBRILE </v>
      </c>
      <c r="AG546" s="243" t="str">
        <f t="shared" si="25"/>
        <v>30/7/2021</v>
      </c>
      <c r="AH546" s="51">
        <f>COUNTIFS(Z:Z,Z546,AG:AG,AG546)</f>
        <v>4</v>
      </c>
      <c r="AI546" s="49">
        <f t="shared" si="26"/>
        <v>0</v>
      </c>
    </row>
    <row r="547" spans="1:35" ht="15" x14ac:dyDescent="0.2">
      <c r="A547" s="193" t="s">
        <v>2245</v>
      </c>
      <c r="B547" s="146" t="s">
        <v>668</v>
      </c>
      <c r="C547" s="193" t="s">
        <v>2245</v>
      </c>
      <c r="D547" s="200" t="s">
        <v>2146</v>
      </c>
      <c r="E547" s="146" t="s">
        <v>670</v>
      </c>
      <c r="F547" s="146" t="s">
        <v>671</v>
      </c>
      <c r="G547" s="146" t="s">
        <v>672</v>
      </c>
      <c r="H547" s="148">
        <v>2.35</v>
      </c>
      <c r="I547" s="146" t="s">
        <v>673</v>
      </c>
      <c r="J547" s="149">
        <v>1</v>
      </c>
      <c r="K547" s="150">
        <v>2021</v>
      </c>
      <c r="L547" s="201" t="s">
        <v>2246</v>
      </c>
      <c r="M547" s="201" t="s">
        <v>1811</v>
      </c>
      <c r="N547" s="202">
        <v>709962160</v>
      </c>
      <c r="O547" s="203"/>
      <c r="P547" s="204" t="s">
        <v>676</v>
      </c>
      <c r="Q547" s="204"/>
      <c r="R547" s="155">
        <v>5</v>
      </c>
      <c r="S547" s="168"/>
      <c r="T547" s="168"/>
      <c r="U547" s="146"/>
      <c r="V547" s="146"/>
      <c r="W547" s="146"/>
      <c r="X547" s="156">
        <v>0</v>
      </c>
      <c r="Y547" s="156">
        <v>0</v>
      </c>
      <c r="Z547" s="157" t="s">
        <v>2160</v>
      </c>
      <c r="AA547" s="158">
        <v>2021</v>
      </c>
      <c r="AB547" s="158">
        <v>8</v>
      </c>
      <c r="AC547" s="158">
        <v>3</v>
      </c>
      <c r="AD547" s="122" t="b">
        <f>IF(ISBLANK(GroupMember[[#This Row],[1. Identifiant interne d’exploitation agricole*]]),"",IF(ISERROR(MATCH(GroupMember[[#This Row],[1. Identifiant interne d’exploitation agricole*]],CertifiedCrop[1. Identifiant interne d’exploitation agricole*],0)),FALSE,TRUE))</f>
        <v>1</v>
      </c>
      <c r="AE547" s="122" t="b">
        <f>IF(ISBLANK(GroupMember[[#This Row],[1. Identifiant interne d’exploitation agricole*]]),"",IF(ISERROR(MATCH(GroupMember[[#This Row],[1. Identifiant interne d’exploitation agricole*]],FarmUnit[1. Identifiant interne d’exploitation agricole*],0)),FALSE,TRUE))</f>
        <v>1</v>
      </c>
      <c r="AF547" s="9" t="str">
        <f t="shared" si="24"/>
        <v>BAMOGO SEYDOU</v>
      </c>
      <c r="AG547" s="243" t="str">
        <f t="shared" si="25"/>
        <v>3/8/2021</v>
      </c>
      <c r="AH547" s="51">
        <f>COUNTIFS(Z:Z,Z547,AG:AG,AG547)</f>
        <v>4</v>
      </c>
      <c r="AI547" s="49">
        <f t="shared" si="26"/>
        <v>0</v>
      </c>
    </row>
    <row r="548" spans="1:35" ht="15" x14ac:dyDescent="0.2">
      <c r="A548" s="193" t="s">
        <v>2247</v>
      </c>
      <c r="B548" s="146" t="s">
        <v>668</v>
      </c>
      <c r="C548" s="193" t="s">
        <v>2247</v>
      </c>
      <c r="D548" s="200" t="s">
        <v>2146</v>
      </c>
      <c r="E548" s="146" t="s">
        <v>670</v>
      </c>
      <c r="F548" s="146" t="s">
        <v>671</v>
      </c>
      <c r="G548" s="146" t="s">
        <v>672</v>
      </c>
      <c r="H548" s="148">
        <v>3.52</v>
      </c>
      <c r="I548" s="146" t="s">
        <v>673</v>
      </c>
      <c r="J548" s="149">
        <v>1</v>
      </c>
      <c r="K548" s="150">
        <v>2021</v>
      </c>
      <c r="L548" s="201" t="s">
        <v>2248</v>
      </c>
      <c r="M548" s="201" t="s">
        <v>2249</v>
      </c>
      <c r="N548" s="202">
        <v>747588484</v>
      </c>
      <c r="O548" s="203"/>
      <c r="P548" s="204" t="s">
        <v>676</v>
      </c>
      <c r="Q548" s="204"/>
      <c r="R548" s="155">
        <v>4</v>
      </c>
      <c r="S548" s="168"/>
      <c r="T548" s="168"/>
      <c r="U548" s="146"/>
      <c r="V548" s="146"/>
      <c r="W548" s="146"/>
      <c r="X548" s="156">
        <v>0</v>
      </c>
      <c r="Y548" s="156">
        <v>0</v>
      </c>
      <c r="Z548" s="157" t="s">
        <v>2160</v>
      </c>
      <c r="AA548" s="158">
        <v>2021</v>
      </c>
      <c r="AB548" s="158">
        <v>7</v>
      </c>
      <c r="AC548" s="158">
        <v>30</v>
      </c>
      <c r="AD548" s="122" t="b">
        <f>IF(ISBLANK(GroupMember[[#This Row],[1. Identifiant interne d’exploitation agricole*]]),"",IF(ISERROR(MATCH(GroupMember[[#This Row],[1. Identifiant interne d’exploitation agricole*]],CertifiedCrop[1. Identifiant interne d’exploitation agricole*],0)),FALSE,TRUE))</f>
        <v>1</v>
      </c>
      <c r="AE548" s="122" t="b">
        <f>IF(ISBLANK(GroupMember[[#This Row],[1. Identifiant interne d’exploitation agricole*]]),"",IF(ISERROR(MATCH(GroupMember[[#This Row],[1. Identifiant interne d’exploitation agricole*]],FarmUnit[1. Identifiant interne d’exploitation agricole*],0)),FALSE,TRUE))</f>
        <v>1</v>
      </c>
      <c r="AF548" s="9" t="str">
        <f t="shared" si="24"/>
        <v>NIKIEMAN LOUIS</v>
      </c>
      <c r="AG548" s="243" t="str">
        <f t="shared" si="25"/>
        <v>30/7/2021</v>
      </c>
      <c r="AH548" s="51">
        <f>COUNTIFS(Z:Z,Z548,AG:AG,AG548)</f>
        <v>4</v>
      </c>
      <c r="AI548" s="49">
        <f t="shared" si="26"/>
        <v>0</v>
      </c>
    </row>
    <row r="549" spans="1:35" ht="15" x14ac:dyDescent="0.2">
      <c r="A549" s="193" t="s">
        <v>2250</v>
      </c>
      <c r="B549" s="146" t="s">
        <v>668</v>
      </c>
      <c r="C549" s="193" t="s">
        <v>2250</v>
      </c>
      <c r="D549" s="200" t="s">
        <v>2146</v>
      </c>
      <c r="E549" s="146" t="s">
        <v>670</v>
      </c>
      <c r="F549" s="146" t="s">
        <v>671</v>
      </c>
      <c r="G549" s="146" t="s">
        <v>672</v>
      </c>
      <c r="H549" s="148">
        <v>3.22</v>
      </c>
      <c r="I549" s="146" t="s">
        <v>673</v>
      </c>
      <c r="J549" s="149">
        <v>1</v>
      </c>
      <c r="K549" s="150">
        <v>2021</v>
      </c>
      <c r="L549" s="201" t="s">
        <v>948</v>
      </c>
      <c r="M549" s="201" t="s">
        <v>1331</v>
      </c>
      <c r="N549" s="202">
        <v>748883515</v>
      </c>
      <c r="O549" s="203"/>
      <c r="P549" s="204" t="s">
        <v>676</v>
      </c>
      <c r="Q549" s="204"/>
      <c r="R549" s="155">
        <v>7</v>
      </c>
      <c r="S549" s="168"/>
      <c r="T549" s="168"/>
      <c r="U549" s="146"/>
      <c r="V549" s="146"/>
      <c r="W549" s="146"/>
      <c r="X549" s="156">
        <v>0</v>
      </c>
      <c r="Y549" s="156">
        <v>0</v>
      </c>
      <c r="Z549" s="157" t="s">
        <v>2160</v>
      </c>
      <c r="AA549" s="158">
        <v>2021</v>
      </c>
      <c r="AB549" s="158">
        <v>7</v>
      </c>
      <c r="AC549" s="158">
        <v>28</v>
      </c>
      <c r="AD549" s="122" t="b">
        <f>IF(ISBLANK(GroupMember[[#This Row],[1. Identifiant interne d’exploitation agricole*]]),"",IF(ISERROR(MATCH(GroupMember[[#This Row],[1. Identifiant interne d’exploitation agricole*]],CertifiedCrop[1. Identifiant interne d’exploitation agricole*],0)),FALSE,TRUE))</f>
        <v>1</v>
      </c>
      <c r="AE549" s="122" t="b">
        <f>IF(ISBLANK(GroupMember[[#This Row],[1. Identifiant interne d’exploitation agricole*]]),"",IF(ISERROR(MATCH(GroupMember[[#This Row],[1. Identifiant interne d’exploitation agricole*]],FarmUnit[1. Identifiant interne d’exploitation agricole*],0)),FALSE,TRUE))</f>
        <v>1</v>
      </c>
      <c r="AF549" s="9" t="str">
        <f t="shared" si="24"/>
        <v>SAWADOGO  KARIM</v>
      </c>
      <c r="AG549" s="243" t="str">
        <f t="shared" si="25"/>
        <v>28/7/2021</v>
      </c>
      <c r="AH549" s="51">
        <f>COUNTIFS(Z:Z,Z549,AG:AG,AG549)</f>
        <v>4</v>
      </c>
      <c r="AI549" s="49">
        <f t="shared" si="26"/>
        <v>0</v>
      </c>
    </row>
    <row r="550" spans="1:35" ht="15" x14ac:dyDescent="0.2">
      <c r="A550" s="193" t="s">
        <v>2251</v>
      </c>
      <c r="B550" s="146" t="s">
        <v>668</v>
      </c>
      <c r="C550" s="193" t="s">
        <v>2251</v>
      </c>
      <c r="D550" s="200" t="s">
        <v>2146</v>
      </c>
      <c r="E550" s="146" t="s">
        <v>670</v>
      </c>
      <c r="F550" s="146" t="s">
        <v>671</v>
      </c>
      <c r="G550" s="146" t="s">
        <v>672</v>
      </c>
      <c r="H550" s="148">
        <v>0.57999999999999996</v>
      </c>
      <c r="I550" s="146" t="s">
        <v>673</v>
      </c>
      <c r="J550" s="149">
        <v>1</v>
      </c>
      <c r="K550" s="150">
        <v>2021</v>
      </c>
      <c r="L550" s="201" t="s">
        <v>1774</v>
      </c>
      <c r="M550" s="201" t="s">
        <v>2252</v>
      </c>
      <c r="N550" s="202"/>
      <c r="O550" s="203"/>
      <c r="P550" s="204" t="s">
        <v>676</v>
      </c>
      <c r="Q550" s="204"/>
      <c r="R550" s="155">
        <v>5</v>
      </c>
      <c r="S550" s="168"/>
      <c r="T550" s="168"/>
      <c r="U550" s="146"/>
      <c r="V550" s="146"/>
      <c r="W550" s="146"/>
      <c r="X550" s="156">
        <v>0</v>
      </c>
      <c r="Y550" s="156">
        <v>0</v>
      </c>
      <c r="Z550" s="157" t="s">
        <v>2160</v>
      </c>
      <c r="AA550" s="158">
        <v>2021</v>
      </c>
      <c r="AB550" s="158">
        <v>7</v>
      </c>
      <c r="AC550" s="158">
        <v>6</v>
      </c>
      <c r="AD550" s="122" t="b">
        <f>IF(ISBLANK(GroupMember[[#This Row],[1. Identifiant interne d’exploitation agricole*]]),"",IF(ISERROR(MATCH(GroupMember[[#This Row],[1. Identifiant interne d’exploitation agricole*]],CertifiedCrop[1. Identifiant interne d’exploitation agricole*],0)),FALSE,TRUE))</f>
        <v>1</v>
      </c>
      <c r="AE550" s="122" t="b">
        <f>IF(ISBLANK(GroupMember[[#This Row],[1. Identifiant interne d’exploitation agricole*]]),"",IF(ISERROR(MATCH(GroupMember[[#This Row],[1. Identifiant interne d’exploitation agricole*]],FarmUnit[1. Identifiant interne d’exploitation agricole*],0)),FALSE,TRUE))</f>
        <v>1</v>
      </c>
      <c r="AF550" s="9" t="str">
        <f t="shared" si="24"/>
        <v>COULIBALY  YACOU</v>
      </c>
      <c r="AG550" s="243" t="str">
        <f t="shared" si="25"/>
        <v>6/7/2021</v>
      </c>
      <c r="AH550" s="51">
        <f>COUNTIFS(Z:Z,Z550,AG:AG,AG550)</f>
        <v>4</v>
      </c>
      <c r="AI550" s="49">
        <f t="shared" si="26"/>
        <v>0</v>
      </c>
    </row>
    <row r="551" spans="1:35" ht="15" x14ac:dyDescent="0.2">
      <c r="A551" s="193" t="s">
        <v>2253</v>
      </c>
      <c r="B551" s="146" t="s">
        <v>668</v>
      </c>
      <c r="C551" s="193" t="s">
        <v>2253</v>
      </c>
      <c r="D551" s="200" t="s">
        <v>2146</v>
      </c>
      <c r="E551" s="146" t="s">
        <v>670</v>
      </c>
      <c r="F551" s="146" t="s">
        <v>671</v>
      </c>
      <c r="G551" s="146" t="s">
        <v>672</v>
      </c>
      <c r="H551" s="148">
        <v>4.7300000000000004</v>
      </c>
      <c r="I551" s="146" t="s">
        <v>673</v>
      </c>
      <c r="J551" s="149">
        <v>1</v>
      </c>
      <c r="K551" s="150">
        <v>2021</v>
      </c>
      <c r="L551" s="201" t="s">
        <v>2179</v>
      </c>
      <c r="M551" s="201" t="s">
        <v>1003</v>
      </c>
      <c r="N551" s="202">
        <v>747530982</v>
      </c>
      <c r="O551" s="203"/>
      <c r="P551" s="204" t="s">
        <v>676</v>
      </c>
      <c r="Q551" s="204"/>
      <c r="R551" s="155">
        <v>4</v>
      </c>
      <c r="S551" s="168"/>
      <c r="T551" s="168"/>
      <c r="U551" s="146"/>
      <c r="V551" s="146"/>
      <c r="W551" s="146"/>
      <c r="X551" s="156">
        <v>0</v>
      </c>
      <c r="Y551" s="156">
        <v>0</v>
      </c>
      <c r="Z551" s="157" t="s">
        <v>2160</v>
      </c>
      <c r="AA551" s="158">
        <v>2021</v>
      </c>
      <c r="AB551" s="158">
        <v>7</v>
      </c>
      <c r="AC551" s="158">
        <v>13</v>
      </c>
      <c r="AD551" s="122" t="b">
        <f>IF(ISBLANK(GroupMember[[#This Row],[1. Identifiant interne d’exploitation agricole*]]),"",IF(ISERROR(MATCH(GroupMember[[#This Row],[1. Identifiant interne d’exploitation agricole*]],CertifiedCrop[1. Identifiant interne d’exploitation agricole*],0)),FALSE,TRUE))</f>
        <v>1</v>
      </c>
      <c r="AE551" s="122" t="b">
        <f>IF(ISBLANK(GroupMember[[#This Row],[1. Identifiant interne d’exploitation agricole*]]),"",IF(ISERROR(MATCH(GroupMember[[#This Row],[1. Identifiant interne d’exploitation agricole*]],FarmUnit[1. Identifiant interne d’exploitation agricole*],0)),FALSE,TRUE))</f>
        <v>1</v>
      </c>
      <c r="AF551" s="9" t="str">
        <f t="shared" si="24"/>
        <v>DIALLO  ISSIAKA</v>
      </c>
      <c r="AG551" s="243" t="str">
        <f t="shared" si="25"/>
        <v>13/7/2021</v>
      </c>
      <c r="AH551" s="51">
        <f>COUNTIFS(Z:Z,Z551,AG:AG,AG551)</f>
        <v>4</v>
      </c>
      <c r="AI551" s="49">
        <f t="shared" si="26"/>
        <v>0</v>
      </c>
    </row>
    <row r="552" spans="1:35" ht="15" x14ac:dyDescent="0.2">
      <c r="A552" s="193" t="s">
        <v>2254</v>
      </c>
      <c r="B552" s="146" t="s">
        <v>668</v>
      </c>
      <c r="C552" s="193" t="s">
        <v>2254</v>
      </c>
      <c r="D552" s="200" t="s">
        <v>2146</v>
      </c>
      <c r="E552" s="146" t="s">
        <v>670</v>
      </c>
      <c r="F552" s="146" t="s">
        <v>671</v>
      </c>
      <c r="G552" s="146" t="s">
        <v>672</v>
      </c>
      <c r="H552" s="148">
        <v>1.45</v>
      </c>
      <c r="I552" s="146" t="s">
        <v>673</v>
      </c>
      <c r="J552" s="149">
        <v>1</v>
      </c>
      <c r="K552" s="150">
        <v>2021</v>
      </c>
      <c r="L552" s="201" t="s">
        <v>948</v>
      </c>
      <c r="M552" s="201" t="s">
        <v>2255</v>
      </c>
      <c r="N552" s="202">
        <v>747272580</v>
      </c>
      <c r="O552" s="203"/>
      <c r="P552" s="204" t="s">
        <v>676</v>
      </c>
      <c r="Q552" s="204"/>
      <c r="R552" s="155">
        <v>6</v>
      </c>
      <c r="S552" s="168"/>
      <c r="T552" s="168"/>
      <c r="U552" s="146"/>
      <c r="V552" s="146"/>
      <c r="W552" s="146"/>
      <c r="X552" s="156">
        <v>0</v>
      </c>
      <c r="Y552" s="156">
        <v>0</v>
      </c>
      <c r="Z552" s="157" t="s">
        <v>2160</v>
      </c>
      <c r="AA552" s="158">
        <v>2021</v>
      </c>
      <c r="AB552" s="158">
        <v>7</v>
      </c>
      <c r="AC552" s="158">
        <v>27</v>
      </c>
      <c r="AD552" s="122" t="b">
        <f>IF(ISBLANK(GroupMember[[#This Row],[1. Identifiant interne d’exploitation agricole*]]),"",IF(ISERROR(MATCH(GroupMember[[#This Row],[1. Identifiant interne d’exploitation agricole*]],CertifiedCrop[1. Identifiant interne d’exploitation agricole*],0)),FALSE,TRUE))</f>
        <v>1</v>
      </c>
      <c r="AE552" s="122" t="b">
        <f>IF(ISBLANK(GroupMember[[#This Row],[1. Identifiant interne d’exploitation agricole*]]),"",IF(ISERROR(MATCH(GroupMember[[#This Row],[1. Identifiant interne d’exploitation agricole*]],FarmUnit[1. Identifiant interne d’exploitation agricole*],0)),FALSE,TRUE))</f>
        <v>1</v>
      </c>
      <c r="AF552" s="9" t="str">
        <f t="shared" si="24"/>
        <v>SAWADOGO  POGSADA</v>
      </c>
      <c r="AG552" s="243" t="str">
        <f t="shared" si="25"/>
        <v>27/7/2021</v>
      </c>
      <c r="AH552" s="51">
        <f>COUNTIFS(Z:Z,Z552,AG:AG,AG552)</f>
        <v>5</v>
      </c>
      <c r="AI552" s="49">
        <f t="shared" si="26"/>
        <v>0</v>
      </c>
    </row>
    <row r="553" spans="1:35" ht="15" x14ac:dyDescent="0.2">
      <c r="A553" s="193" t="s">
        <v>2256</v>
      </c>
      <c r="B553" s="146" t="s">
        <v>668</v>
      </c>
      <c r="C553" s="193" t="s">
        <v>2256</v>
      </c>
      <c r="D553" s="200" t="s">
        <v>2146</v>
      </c>
      <c r="E553" s="146" t="s">
        <v>670</v>
      </c>
      <c r="F553" s="146" t="s">
        <v>671</v>
      </c>
      <c r="G553" s="146" t="s">
        <v>672</v>
      </c>
      <c r="H553" s="148">
        <v>1.81</v>
      </c>
      <c r="I553" s="146" t="s">
        <v>673</v>
      </c>
      <c r="J553" s="149">
        <v>1</v>
      </c>
      <c r="K553" s="150">
        <v>2021</v>
      </c>
      <c r="L553" s="201" t="s">
        <v>1774</v>
      </c>
      <c r="M553" s="201" t="s">
        <v>2257</v>
      </c>
      <c r="N553" s="202"/>
      <c r="O553" s="203"/>
      <c r="P553" s="204" t="s">
        <v>676</v>
      </c>
      <c r="Q553" s="204"/>
      <c r="R553" s="155">
        <v>6</v>
      </c>
      <c r="S553" s="168"/>
      <c r="T553" s="168"/>
      <c r="U553" s="146"/>
      <c r="V553" s="146"/>
      <c r="W553" s="146"/>
      <c r="X553" s="156">
        <v>0</v>
      </c>
      <c r="Y553" s="156">
        <v>0</v>
      </c>
      <c r="Z553" s="157" t="s">
        <v>2160</v>
      </c>
      <c r="AA553" s="158">
        <v>2021</v>
      </c>
      <c r="AB553" s="158">
        <v>7</v>
      </c>
      <c r="AC553" s="158">
        <v>30</v>
      </c>
      <c r="AD553" s="122" t="b">
        <f>IF(ISBLANK(GroupMember[[#This Row],[1. Identifiant interne d’exploitation agricole*]]),"",IF(ISERROR(MATCH(GroupMember[[#This Row],[1. Identifiant interne d’exploitation agricole*]],CertifiedCrop[1. Identifiant interne d’exploitation agricole*],0)),FALSE,TRUE))</f>
        <v>1</v>
      </c>
      <c r="AE553" s="122" t="b">
        <f>IF(ISBLANK(GroupMember[[#This Row],[1. Identifiant interne d’exploitation agricole*]]),"",IF(ISERROR(MATCH(GroupMember[[#This Row],[1. Identifiant interne d’exploitation agricole*]],FarmUnit[1. Identifiant interne d’exploitation agricole*],0)),FALSE,TRUE))</f>
        <v>1</v>
      </c>
      <c r="AF553" s="9" t="str">
        <f t="shared" si="24"/>
        <v>COULIBALY LASSO</v>
      </c>
      <c r="AG553" s="243" t="str">
        <f t="shared" si="25"/>
        <v>30/7/2021</v>
      </c>
      <c r="AH553" s="51">
        <f>COUNTIFS(Z:Z,Z553,AG:AG,AG553)</f>
        <v>4</v>
      </c>
      <c r="AI553" s="49">
        <f t="shared" si="26"/>
        <v>0</v>
      </c>
    </row>
    <row r="554" spans="1:35" ht="15" x14ac:dyDescent="0.2">
      <c r="A554" s="193" t="s">
        <v>2258</v>
      </c>
      <c r="B554" s="146" t="s">
        <v>668</v>
      </c>
      <c r="C554" s="193" t="s">
        <v>2258</v>
      </c>
      <c r="D554" s="200" t="s">
        <v>2146</v>
      </c>
      <c r="E554" s="146" t="s">
        <v>670</v>
      </c>
      <c r="F554" s="146" t="s">
        <v>671</v>
      </c>
      <c r="G554" s="146" t="s">
        <v>672</v>
      </c>
      <c r="H554" s="148">
        <v>1.3</v>
      </c>
      <c r="I554" s="146" t="s">
        <v>673</v>
      </c>
      <c r="J554" s="149">
        <v>1</v>
      </c>
      <c r="K554" s="150">
        <v>2021</v>
      </c>
      <c r="L554" s="201" t="s">
        <v>707</v>
      </c>
      <c r="M554" s="201" t="s">
        <v>2259</v>
      </c>
      <c r="N554" s="202">
        <v>546719139</v>
      </c>
      <c r="O554" s="203"/>
      <c r="P554" s="204" t="s">
        <v>676</v>
      </c>
      <c r="Q554" s="204"/>
      <c r="R554" s="155">
        <v>6</v>
      </c>
      <c r="S554" s="168"/>
      <c r="T554" s="168"/>
      <c r="U554" s="146"/>
      <c r="V554" s="146"/>
      <c r="W554" s="146"/>
      <c r="X554" s="156">
        <v>0</v>
      </c>
      <c r="Y554" s="156">
        <v>0</v>
      </c>
      <c r="Z554" s="157" t="s">
        <v>2160</v>
      </c>
      <c r="AA554" s="158">
        <v>2021</v>
      </c>
      <c r="AB554" s="158">
        <v>7</v>
      </c>
      <c r="AC554" s="158">
        <v>27</v>
      </c>
      <c r="AD554" s="122" t="b">
        <f>IF(ISBLANK(GroupMember[[#This Row],[1. Identifiant interne d’exploitation agricole*]]),"",IF(ISERROR(MATCH(GroupMember[[#This Row],[1. Identifiant interne d’exploitation agricole*]],CertifiedCrop[1. Identifiant interne d’exploitation agricole*],0)),FALSE,TRUE))</f>
        <v>1</v>
      </c>
      <c r="AE554" s="122" t="b">
        <f>IF(ISBLANK(GroupMember[[#This Row],[1. Identifiant interne d’exploitation agricole*]]),"",IF(ISERROR(MATCH(GroupMember[[#This Row],[1. Identifiant interne d’exploitation agricole*]],FarmUnit[1. Identifiant interne d’exploitation agricole*],0)),FALSE,TRUE))</f>
        <v>1</v>
      </c>
      <c r="AF554" s="9" t="str">
        <f t="shared" si="24"/>
        <v>OUEDRAOGO  HAMED</v>
      </c>
      <c r="AG554" s="243" t="str">
        <f t="shared" si="25"/>
        <v>27/7/2021</v>
      </c>
      <c r="AH554" s="51">
        <f>COUNTIFS(Z:Z,Z554,AG:AG,AG554)</f>
        <v>5</v>
      </c>
      <c r="AI554" s="49">
        <f t="shared" si="26"/>
        <v>0</v>
      </c>
    </row>
    <row r="555" spans="1:35" ht="15" x14ac:dyDescent="0.2">
      <c r="A555" s="193" t="s">
        <v>2260</v>
      </c>
      <c r="B555" s="146" t="s">
        <v>668</v>
      </c>
      <c r="C555" s="193" t="s">
        <v>2260</v>
      </c>
      <c r="D555" s="200" t="s">
        <v>2146</v>
      </c>
      <c r="E555" s="146" t="s">
        <v>670</v>
      </c>
      <c r="F555" s="146" t="s">
        <v>671</v>
      </c>
      <c r="G555" s="146" t="s">
        <v>672</v>
      </c>
      <c r="H555" s="148">
        <v>6.16</v>
      </c>
      <c r="I555" s="146" t="s">
        <v>673</v>
      </c>
      <c r="J555" s="149">
        <v>2</v>
      </c>
      <c r="K555" s="150">
        <v>2021</v>
      </c>
      <c r="L555" s="201" t="s">
        <v>939</v>
      </c>
      <c r="M555" s="201" t="s">
        <v>2261</v>
      </c>
      <c r="N555" s="207"/>
      <c r="O555" s="203"/>
      <c r="P555" s="204" t="s">
        <v>676</v>
      </c>
      <c r="Q555" s="204"/>
      <c r="R555" s="155">
        <v>4</v>
      </c>
      <c r="S555" s="168"/>
      <c r="T555" s="168"/>
      <c r="U555" s="146"/>
      <c r="V555" s="146"/>
      <c r="W555" s="146"/>
      <c r="X555" s="156">
        <v>0</v>
      </c>
      <c r="Y555" s="156">
        <v>0</v>
      </c>
      <c r="Z555" s="157" t="s">
        <v>2160</v>
      </c>
      <c r="AA555" s="158">
        <v>2021</v>
      </c>
      <c r="AB555" s="158">
        <v>7</v>
      </c>
      <c r="AC555" s="158">
        <v>13</v>
      </c>
      <c r="AD555" s="122" t="b">
        <f>IF(ISBLANK(GroupMember[[#This Row],[1. Identifiant interne d’exploitation agricole*]]),"",IF(ISERROR(MATCH(GroupMember[[#This Row],[1. Identifiant interne d’exploitation agricole*]],CertifiedCrop[1. Identifiant interne d’exploitation agricole*],0)),FALSE,TRUE))</f>
        <v>1</v>
      </c>
      <c r="AE555" s="122" t="b">
        <f>IF(ISBLANK(GroupMember[[#This Row],[1. Identifiant interne d’exploitation agricole*]]),"",IF(ISERROR(MATCH(GroupMember[[#This Row],[1. Identifiant interne d’exploitation agricole*]],FarmUnit[1. Identifiant interne d’exploitation agricole*],0)),FALSE,TRUE))</f>
        <v>1</v>
      </c>
      <c r="AF555" s="9" t="str">
        <f t="shared" si="24"/>
        <v>SANOGO SEKOU</v>
      </c>
      <c r="AG555" s="243" t="str">
        <f t="shared" si="25"/>
        <v>13/7/2021</v>
      </c>
      <c r="AH555" s="51">
        <f>COUNTIFS(Z:Z,Z555,AG:AG,AG555)</f>
        <v>4</v>
      </c>
      <c r="AI555" s="49">
        <f t="shared" si="26"/>
        <v>0</v>
      </c>
    </row>
    <row r="556" spans="1:35" ht="15" x14ac:dyDescent="0.2">
      <c r="A556" s="193" t="s">
        <v>2262</v>
      </c>
      <c r="B556" s="146" t="s">
        <v>668</v>
      </c>
      <c r="C556" s="193" t="s">
        <v>2262</v>
      </c>
      <c r="D556" s="200" t="s">
        <v>2146</v>
      </c>
      <c r="E556" s="146" t="s">
        <v>670</v>
      </c>
      <c r="F556" s="146" t="s">
        <v>671</v>
      </c>
      <c r="G556" s="146" t="s">
        <v>672</v>
      </c>
      <c r="H556" s="148">
        <v>2.54</v>
      </c>
      <c r="I556" s="146" t="s">
        <v>673</v>
      </c>
      <c r="J556" s="149">
        <v>1</v>
      </c>
      <c r="K556" s="150">
        <v>2021</v>
      </c>
      <c r="L556" s="201" t="s">
        <v>2263</v>
      </c>
      <c r="M556" s="201" t="s">
        <v>2264</v>
      </c>
      <c r="N556" s="202"/>
      <c r="O556" s="203"/>
      <c r="P556" s="204" t="s">
        <v>676</v>
      </c>
      <c r="Q556" s="204"/>
      <c r="R556" s="155">
        <v>5</v>
      </c>
      <c r="S556" s="168"/>
      <c r="T556" s="168"/>
      <c r="U556" s="146"/>
      <c r="V556" s="146"/>
      <c r="W556" s="146"/>
      <c r="X556" s="156">
        <v>0</v>
      </c>
      <c r="Y556" s="156">
        <v>0</v>
      </c>
      <c r="Z556" s="157" t="s">
        <v>2160</v>
      </c>
      <c r="AA556" s="158">
        <v>2021</v>
      </c>
      <c r="AB556" s="158">
        <v>7</v>
      </c>
      <c r="AC556" s="158">
        <v>3</v>
      </c>
      <c r="AD556" s="122" t="b">
        <f>IF(ISBLANK(GroupMember[[#This Row],[1. Identifiant interne d’exploitation agricole*]]),"",IF(ISERROR(MATCH(GroupMember[[#This Row],[1. Identifiant interne d’exploitation agricole*]],CertifiedCrop[1. Identifiant interne d’exploitation agricole*],0)),FALSE,TRUE))</f>
        <v>1</v>
      </c>
      <c r="AE556" s="122" t="b">
        <f>IF(ISBLANK(GroupMember[[#This Row],[1. Identifiant interne d’exploitation agricole*]]),"",IF(ISERROR(MATCH(GroupMember[[#This Row],[1. Identifiant interne d’exploitation agricole*]],FarmUnit[1. Identifiant interne d’exploitation agricole*],0)),FALSE,TRUE))</f>
        <v>1</v>
      </c>
      <c r="AF556" s="9" t="str">
        <f t="shared" si="24"/>
        <v>BALO ABDOULAYE</v>
      </c>
      <c r="AG556" s="243" t="str">
        <f t="shared" si="25"/>
        <v>3/7/2021</v>
      </c>
      <c r="AH556" s="51">
        <f>COUNTIFS(Z:Z,Z556,AG:AG,AG556)</f>
        <v>4</v>
      </c>
      <c r="AI556" s="49">
        <f t="shared" si="26"/>
        <v>0</v>
      </c>
    </row>
    <row r="557" spans="1:35" ht="15" x14ac:dyDescent="0.2">
      <c r="A557" s="193" t="s">
        <v>2265</v>
      </c>
      <c r="B557" s="146" t="s">
        <v>668</v>
      </c>
      <c r="C557" s="193" t="s">
        <v>2265</v>
      </c>
      <c r="D557" s="200" t="s">
        <v>2146</v>
      </c>
      <c r="E557" s="146" t="s">
        <v>670</v>
      </c>
      <c r="F557" s="146" t="s">
        <v>671</v>
      </c>
      <c r="G557" s="146" t="s">
        <v>672</v>
      </c>
      <c r="H557" s="148">
        <v>2.25</v>
      </c>
      <c r="I557" s="146" t="s">
        <v>673</v>
      </c>
      <c r="J557" s="149">
        <v>1</v>
      </c>
      <c r="K557" s="150">
        <v>2021</v>
      </c>
      <c r="L557" s="201" t="s">
        <v>2236</v>
      </c>
      <c r="M557" s="201" t="s">
        <v>2266</v>
      </c>
      <c r="N557" s="202"/>
      <c r="O557" s="203"/>
      <c r="P557" s="204" t="s">
        <v>676</v>
      </c>
      <c r="Q557" s="204"/>
      <c r="R557" s="155">
        <v>7</v>
      </c>
      <c r="S557" s="168"/>
      <c r="T557" s="168"/>
      <c r="U557" s="146"/>
      <c r="V557" s="146"/>
      <c r="W557" s="146"/>
      <c r="X557" s="156">
        <v>0</v>
      </c>
      <c r="Y557" s="156">
        <v>0</v>
      </c>
      <c r="Z557" s="157" t="s">
        <v>2160</v>
      </c>
      <c r="AA557" s="158">
        <v>2021</v>
      </c>
      <c r="AB557" s="158">
        <v>7</v>
      </c>
      <c r="AC557" s="158">
        <v>27</v>
      </c>
      <c r="AD557" s="122" t="b">
        <f>IF(ISBLANK(GroupMember[[#This Row],[1. Identifiant interne d’exploitation agricole*]]),"",IF(ISERROR(MATCH(GroupMember[[#This Row],[1. Identifiant interne d’exploitation agricole*]],CertifiedCrop[1. Identifiant interne d’exploitation agricole*],0)),FALSE,TRUE))</f>
        <v>1</v>
      </c>
      <c r="AE557" s="122" t="b">
        <f>IF(ISBLANK(GroupMember[[#This Row],[1. Identifiant interne d’exploitation agricole*]]),"",IF(ISERROR(MATCH(GroupMember[[#This Row],[1. Identifiant interne d’exploitation agricole*]],FarmUnit[1. Identifiant interne d’exploitation agricole*],0)),FALSE,TRUE))</f>
        <v>1</v>
      </c>
      <c r="AF557" s="9" t="str">
        <f t="shared" si="24"/>
        <v>BRAHIMA  SANGARE</v>
      </c>
      <c r="AG557" s="243" t="str">
        <f t="shared" si="25"/>
        <v>27/7/2021</v>
      </c>
      <c r="AH557" s="51">
        <f>COUNTIFS(Z:Z,Z557,AG:AG,AG557)</f>
        <v>5</v>
      </c>
      <c r="AI557" s="49">
        <f t="shared" si="26"/>
        <v>0</v>
      </c>
    </row>
    <row r="558" spans="1:35" ht="15" x14ac:dyDescent="0.2">
      <c r="A558" s="193" t="s">
        <v>2267</v>
      </c>
      <c r="B558" s="146" t="s">
        <v>668</v>
      </c>
      <c r="C558" s="193" t="s">
        <v>2267</v>
      </c>
      <c r="D558" s="200" t="s">
        <v>2146</v>
      </c>
      <c r="E558" s="146" t="s">
        <v>670</v>
      </c>
      <c r="F558" s="146" t="s">
        <v>671</v>
      </c>
      <c r="G558" s="146" t="s">
        <v>672</v>
      </c>
      <c r="H558" s="148">
        <v>2.52</v>
      </c>
      <c r="I558" s="146" t="s">
        <v>673</v>
      </c>
      <c r="J558" s="149">
        <v>1</v>
      </c>
      <c r="K558" s="150">
        <v>2021</v>
      </c>
      <c r="L558" s="201" t="s">
        <v>2236</v>
      </c>
      <c r="M558" s="201" t="s">
        <v>2151</v>
      </c>
      <c r="N558" s="202"/>
      <c r="O558" s="203"/>
      <c r="P558" s="204" t="s">
        <v>676</v>
      </c>
      <c r="Q558" s="204"/>
      <c r="R558" s="155">
        <v>7</v>
      </c>
      <c r="S558" s="168"/>
      <c r="T558" s="168"/>
      <c r="U558" s="146"/>
      <c r="V558" s="146"/>
      <c r="W558" s="146"/>
      <c r="X558" s="156">
        <v>0</v>
      </c>
      <c r="Y558" s="156">
        <v>0</v>
      </c>
      <c r="Z558" s="157" t="s">
        <v>2160</v>
      </c>
      <c r="AA558" s="158">
        <v>2021</v>
      </c>
      <c r="AB558" s="158">
        <v>7</v>
      </c>
      <c r="AC558" s="158">
        <v>6</v>
      </c>
      <c r="AD558" s="122" t="b">
        <f>IF(ISBLANK(GroupMember[[#This Row],[1. Identifiant interne d’exploitation agricole*]]),"",IF(ISERROR(MATCH(GroupMember[[#This Row],[1. Identifiant interne d’exploitation agricole*]],CertifiedCrop[1. Identifiant interne d’exploitation agricole*],0)),FALSE,TRUE))</f>
        <v>1</v>
      </c>
      <c r="AE558" s="122" t="b">
        <f>IF(ISBLANK(GroupMember[[#This Row],[1. Identifiant interne d’exploitation agricole*]]),"",IF(ISERROR(MATCH(GroupMember[[#This Row],[1. Identifiant interne d’exploitation agricole*]],FarmUnit[1. Identifiant interne d’exploitation agricole*],0)),FALSE,TRUE))</f>
        <v>1</v>
      </c>
      <c r="AF558" s="9" t="str">
        <f t="shared" si="24"/>
        <v>BRAHIMA DIARRA</v>
      </c>
      <c r="AG558" s="243" t="str">
        <f t="shared" si="25"/>
        <v>6/7/2021</v>
      </c>
      <c r="AH558" s="51">
        <f>COUNTIFS(Z:Z,Z558,AG:AG,AG558)</f>
        <v>4</v>
      </c>
      <c r="AI558" s="49">
        <f t="shared" si="26"/>
        <v>0</v>
      </c>
    </row>
    <row r="559" spans="1:35" ht="15" x14ac:dyDescent="0.2">
      <c r="A559" s="193" t="s">
        <v>2268</v>
      </c>
      <c r="B559" s="146" t="s">
        <v>668</v>
      </c>
      <c r="C559" s="193" t="s">
        <v>2268</v>
      </c>
      <c r="D559" s="200" t="s">
        <v>2146</v>
      </c>
      <c r="E559" s="146" t="s">
        <v>670</v>
      </c>
      <c r="F559" s="146" t="s">
        <v>671</v>
      </c>
      <c r="G559" s="146" t="s">
        <v>672</v>
      </c>
      <c r="H559" s="148">
        <v>2.58</v>
      </c>
      <c r="I559" s="146" t="s">
        <v>673</v>
      </c>
      <c r="J559" s="149">
        <v>1</v>
      </c>
      <c r="K559" s="150">
        <v>2021</v>
      </c>
      <c r="L559" s="201" t="s">
        <v>2269</v>
      </c>
      <c r="M559" s="201" t="s">
        <v>2151</v>
      </c>
      <c r="N559" s="202"/>
      <c r="O559" s="203"/>
      <c r="P559" s="204" t="s">
        <v>676</v>
      </c>
      <c r="Q559" s="204"/>
      <c r="R559" s="155">
        <v>7</v>
      </c>
      <c r="S559" s="168"/>
      <c r="T559" s="168"/>
      <c r="U559" s="146"/>
      <c r="V559" s="146"/>
      <c r="W559" s="146"/>
      <c r="X559" s="156">
        <v>0</v>
      </c>
      <c r="Y559" s="156">
        <v>0</v>
      </c>
      <c r="Z559" s="157" t="s">
        <v>2160</v>
      </c>
      <c r="AA559" s="158">
        <v>2021</v>
      </c>
      <c r="AB559" s="158">
        <v>7</v>
      </c>
      <c r="AC559" s="158">
        <v>27</v>
      </c>
      <c r="AD559" s="122" t="b">
        <f>IF(ISBLANK(GroupMember[[#This Row],[1. Identifiant interne d’exploitation agricole*]]),"",IF(ISERROR(MATCH(GroupMember[[#This Row],[1. Identifiant interne d’exploitation agricole*]],CertifiedCrop[1. Identifiant interne d’exploitation agricole*],0)),FALSE,TRUE))</f>
        <v>1</v>
      </c>
      <c r="AE559" s="122" t="b">
        <f>IF(ISBLANK(GroupMember[[#This Row],[1. Identifiant interne d’exploitation agricole*]]),"",IF(ISERROR(MATCH(GroupMember[[#This Row],[1. Identifiant interne d’exploitation agricole*]],FarmUnit[1. Identifiant interne d’exploitation agricole*],0)),FALSE,TRUE))</f>
        <v>1</v>
      </c>
      <c r="AF559" s="9" t="str">
        <f t="shared" si="24"/>
        <v>SALIA DIARRA</v>
      </c>
      <c r="AG559" s="243" t="str">
        <f t="shared" si="25"/>
        <v>27/7/2021</v>
      </c>
      <c r="AH559" s="51">
        <f>COUNTIFS(Z:Z,Z559,AG:AG,AG559)</f>
        <v>5</v>
      </c>
      <c r="AI559" s="49">
        <f t="shared" si="26"/>
        <v>0</v>
      </c>
    </row>
    <row r="560" spans="1:35" ht="15" x14ac:dyDescent="0.2">
      <c r="A560" s="193" t="s">
        <v>2270</v>
      </c>
      <c r="B560" s="146" t="s">
        <v>668</v>
      </c>
      <c r="C560" s="193" t="s">
        <v>2270</v>
      </c>
      <c r="D560" s="200" t="s">
        <v>2146</v>
      </c>
      <c r="E560" s="146" t="s">
        <v>670</v>
      </c>
      <c r="F560" s="146" t="s">
        <v>671</v>
      </c>
      <c r="G560" s="146" t="s">
        <v>672</v>
      </c>
      <c r="H560" s="148">
        <v>1.77</v>
      </c>
      <c r="I560" s="146" t="s">
        <v>673</v>
      </c>
      <c r="J560" s="149">
        <v>1</v>
      </c>
      <c r="K560" s="150">
        <v>2021</v>
      </c>
      <c r="L560" s="201" t="s">
        <v>1774</v>
      </c>
      <c r="M560" s="201" t="s">
        <v>2202</v>
      </c>
      <c r="N560" s="202"/>
      <c r="O560" s="203"/>
      <c r="P560" s="204" t="s">
        <v>676</v>
      </c>
      <c r="Q560" s="204"/>
      <c r="R560" s="155">
        <v>6</v>
      </c>
      <c r="S560" s="168"/>
      <c r="T560" s="168"/>
      <c r="U560" s="146"/>
      <c r="V560" s="146"/>
      <c r="W560" s="146"/>
      <c r="X560" s="156">
        <v>0</v>
      </c>
      <c r="Y560" s="156">
        <v>0</v>
      </c>
      <c r="Z560" s="157" t="s">
        <v>2160</v>
      </c>
      <c r="AA560" s="158">
        <v>2021</v>
      </c>
      <c r="AB560" s="158">
        <v>7</v>
      </c>
      <c r="AC560" s="158">
        <v>30</v>
      </c>
      <c r="AD560" s="122" t="b">
        <f>IF(ISBLANK(GroupMember[[#This Row],[1. Identifiant interne d’exploitation agricole*]]),"",IF(ISERROR(MATCH(GroupMember[[#This Row],[1. Identifiant interne d’exploitation agricole*]],CertifiedCrop[1. Identifiant interne d’exploitation agricole*],0)),FALSE,TRUE))</f>
        <v>1</v>
      </c>
      <c r="AE560" s="122" t="b">
        <f>IF(ISBLANK(GroupMember[[#This Row],[1. Identifiant interne d’exploitation agricole*]]),"",IF(ISERROR(MATCH(GroupMember[[#This Row],[1. Identifiant interne d’exploitation agricole*]],FarmUnit[1. Identifiant interne d’exploitation agricole*],0)),FALSE,TRUE))</f>
        <v>1</v>
      </c>
      <c r="AF560" s="9" t="str">
        <f t="shared" si="24"/>
        <v>COULIBALY DRAMANE</v>
      </c>
      <c r="AG560" s="243" t="str">
        <f t="shared" si="25"/>
        <v>30/7/2021</v>
      </c>
      <c r="AH560" s="51">
        <f>COUNTIFS(Z:Z,Z560,AG:AG,AG560)</f>
        <v>4</v>
      </c>
      <c r="AI560" s="49">
        <f t="shared" si="26"/>
        <v>0</v>
      </c>
    </row>
    <row r="561" spans="1:35" ht="15" x14ac:dyDescent="0.2">
      <c r="A561" s="193" t="s">
        <v>2271</v>
      </c>
      <c r="B561" s="146" t="s">
        <v>668</v>
      </c>
      <c r="C561" s="193" t="s">
        <v>2271</v>
      </c>
      <c r="D561" s="200" t="s">
        <v>2146</v>
      </c>
      <c r="E561" s="146" t="s">
        <v>670</v>
      </c>
      <c r="F561" s="146" t="s">
        <v>671</v>
      </c>
      <c r="G561" s="146" t="s">
        <v>672</v>
      </c>
      <c r="H561" s="148">
        <v>1.79</v>
      </c>
      <c r="I561" s="146" t="s">
        <v>673</v>
      </c>
      <c r="J561" s="149">
        <v>1</v>
      </c>
      <c r="K561" s="150">
        <v>2021</v>
      </c>
      <c r="L561" s="201" t="s">
        <v>2272</v>
      </c>
      <c r="M561" s="201" t="s">
        <v>939</v>
      </c>
      <c r="N561" s="202"/>
      <c r="O561" s="203"/>
      <c r="P561" s="204" t="s">
        <v>676</v>
      </c>
      <c r="Q561" s="204"/>
      <c r="R561" s="155">
        <v>5</v>
      </c>
      <c r="S561" s="168"/>
      <c r="T561" s="168"/>
      <c r="U561" s="146"/>
      <c r="V561" s="146"/>
      <c r="W561" s="146"/>
      <c r="X561" s="156">
        <v>0</v>
      </c>
      <c r="Y561" s="156">
        <v>0</v>
      </c>
      <c r="Z561" s="157" t="s">
        <v>2160</v>
      </c>
      <c r="AA561" s="158">
        <v>2021</v>
      </c>
      <c r="AB561" s="158">
        <v>7</v>
      </c>
      <c r="AC561" s="158">
        <v>13</v>
      </c>
      <c r="AD561" s="122" t="b">
        <f>IF(ISBLANK(GroupMember[[#This Row],[1. Identifiant interne d’exploitation agricole*]]),"",IF(ISERROR(MATCH(GroupMember[[#This Row],[1. Identifiant interne d’exploitation agricole*]],CertifiedCrop[1. Identifiant interne d’exploitation agricole*],0)),FALSE,TRUE))</f>
        <v>1</v>
      </c>
      <c r="AE561" s="122" t="b">
        <f>IF(ISBLANK(GroupMember[[#This Row],[1. Identifiant interne d’exploitation agricole*]]),"",IF(ISERROR(MATCH(GroupMember[[#This Row],[1. Identifiant interne d’exploitation agricole*]],FarmUnit[1. Identifiant interne d’exploitation agricole*],0)),FALSE,TRUE))</f>
        <v>1</v>
      </c>
      <c r="AF561" s="9" t="str">
        <f t="shared" si="24"/>
        <v>KALIFA SANOGO</v>
      </c>
      <c r="AG561" s="243" t="str">
        <f t="shared" si="25"/>
        <v>13/7/2021</v>
      </c>
      <c r="AH561" s="51">
        <f>COUNTIFS(Z:Z,Z561,AG:AG,AG561)</f>
        <v>4</v>
      </c>
      <c r="AI561" s="49">
        <f t="shared" si="26"/>
        <v>0</v>
      </c>
    </row>
    <row r="562" spans="1:35" ht="15" x14ac:dyDescent="0.2">
      <c r="A562" s="193" t="s">
        <v>2273</v>
      </c>
      <c r="B562" s="146" t="s">
        <v>668</v>
      </c>
      <c r="C562" s="193" t="s">
        <v>2273</v>
      </c>
      <c r="D562" s="200" t="s">
        <v>2146</v>
      </c>
      <c r="E562" s="146" t="s">
        <v>670</v>
      </c>
      <c r="F562" s="146" t="s">
        <v>671</v>
      </c>
      <c r="G562" s="146" t="s">
        <v>672</v>
      </c>
      <c r="H562" s="148">
        <v>2.21</v>
      </c>
      <c r="I562" s="146" t="s">
        <v>673</v>
      </c>
      <c r="J562" s="149">
        <v>1</v>
      </c>
      <c r="K562" s="150">
        <v>2021</v>
      </c>
      <c r="L562" s="201" t="s">
        <v>1774</v>
      </c>
      <c r="M562" s="201" t="s">
        <v>1732</v>
      </c>
      <c r="N562" s="202">
        <v>576569950</v>
      </c>
      <c r="O562" s="203"/>
      <c r="P562" s="204" t="s">
        <v>676</v>
      </c>
      <c r="Q562" s="204"/>
      <c r="R562" s="155">
        <v>6</v>
      </c>
      <c r="S562" s="168"/>
      <c r="T562" s="168"/>
      <c r="U562" s="146"/>
      <c r="V562" s="146"/>
      <c r="W562" s="146"/>
      <c r="X562" s="156">
        <v>0</v>
      </c>
      <c r="Y562" s="156">
        <v>0</v>
      </c>
      <c r="Z562" s="157" t="s">
        <v>2160</v>
      </c>
      <c r="AA562" s="158">
        <v>2021</v>
      </c>
      <c r="AB562" s="158">
        <v>7</v>
      </c>
      <c r="AC562" s="158">
        <v>7</v>
      </c>
      <c r="AD562" s="122" t="b">
        <f>IF(ISBLANK(GroupMember[[#This Row],[1. Identifiant interne d’exploitation agricole*]]),"",IF(ISERROR(MATCH(GroupMember[[#This Row],[1. Identifiant interne d’exploitation agricole*]],CertifiedCrop[1. Identifiant interne d’exploitation agricole*],0)),FALSE,TRUE))</f>
        <v>1</v>
      </c>
      <c r="AE562" s="122" t="b">
        <f>IF(ISBLANK(GroupMember[[#This Row],[1. Identifiant interne d’exploitation agricole*]]),"",IF(ISERROR(MATCH(GroupMember[[#This Row],[1. Identifiant interne d’exploitation agricole*]],FarmUnit[1. Identifiant interne d’exploitation agricole*],0)),FALSE,TRUE))</f>
        <v>1</v>
      </c>
      <c r="AF562" s="9" t="str">
        <f t="shared" si="24"/>
        <v>COULIBALY  YAYA</v>
      </c>
      <c r="AG562" s="243" t="str">
        <f t="shared" si="25"/>
        <v>7/7/2021</v>
      </c>
      <c r="AH562" s="51">
        <f>COUNTIFS(Z:Z,Z562,AG:AG,AG562)</f>
        <v>4</v>
      </c>
      <c r="AI562" s="49">
        <f t="shared" si="26"/>
        <v>0</v>
      </c>
    </row>
    <row r="563" spans="1:35" ht="15" x14ac:dyDescent="0.2">
      <c r="A563" s="193" t="s">
        <v>2274</v>
      </c>
      <c r="B563" s="146" t="s">
        <v>668</v>
      </c>
      <c r="C563" s="193" t="s">
        <v>2274</v>
      </c>
      <c r="D563" s="200" t="s">
        <v>2146</v>
      </c>
      <c r="E563" s="146" t="s">
        <v>670</v>
      </c>
      <c r="F563" s="146" t="s">
        <v>671</v>
      </c>
      <c r="G563" s="146" t="s">
        <v>672</v>
      </c>
      <c r="H563" s="148">
        <v>1.75</v>
      </c>
      <c r="I563" s="146" t="s">
        <v>673</v>
      </c>
      <c r="J563" s="149">
        <v>1</v>
      </c>
      <c r="K563" s="150">
        <v>2021</v>
      </c>
      <c r="L563" s="201" t="s">
        <v>2275</v>
      </c>
      <c r="M563" s="201" t="s">
        <v>1831</v>
      </c>
      <c r="N563" s="202">
        <v>788947929</v>
      </c>
      <c r="O563" s="203"/>
      <c r="P563" s="204" t="s">
        <v>676</v>
      </c>
      <c r="Q563" s="204"/>
      <c r="R563" s="155">
        <v>7</v>
      </c>
      <c r="S563" s="168"/>
      <c r="T563" s="168"/>
      <c r="U563" s="146"/>
      <c r="V563" s="146"/>
      <c r="W563" s="146"/>
      <c r="X563" s="156">
        <v>0</v>
      </c>
      <c r="Y563" s="156">
        <v>0</v>
      </c>
      <c r="Z563" s="157" t="s">
        <v>2160</v>
      </c>
      <c r="AA563" s="158">
        <v>2021</v>
      </c>
      <c r="AB563" s="158">
        <v>7</v>
      </c>
      <c r="AC563" s="158">
        <v>5</v>
      </c>
      <c r="AD563" s="122" t="b">
        <f>IF(ISBLANK(GroupMember[[#This Row],[1. Identifiant interne d’exploitation agricole*]]),"",IF(ISERROR(MATCH(GroupMember[[#This Row],[1. Identifiant interne d’exploitation agricole*]],CertifiedCrop[1. Identifiant interne d’exploitation agricole*],0)),FALSE,TRUE))</f>
        <v>1</v>
      </c>
      <c r="AE563" s="122" t="b">
        <f>IF(ISBLANK(GroupMember[[#This Row],[1. Identifiant interne d’exploitation agricole*]]),"",IF(ISERROR(MATCH(GroupMember[[#This Row],[1. Identifiant interne d’exploitation agricole*]],FarmUnit[1. Identifiant interne d’exploitation agricole*],0)),FALSE,TRUE))</f>
        <v>1</v>
      </c>
      <c r="AF563" s="9" t="str">
        <f t="shared" ref="AF563:AF626" si="27">IFERROR(CONCATENATE(L563," ",M563),"")</f>
        <v>OUMAR  TRAORE</v>
      </c>
      <c r="AG563" s="243" t="str">
        <f t="shared" ref="AG563:AG626" si="28">CONCATENATE(AC563,"/",AB563,"/",AA563)</f>
        <v>5/7/2021</v>
      </c>
      <c r="AH563" s="51">
        <f>COUNTIFS(Z:Z,Z563,AG:AG,AG563)</f>
        <v>4</v>
      </c>
      <c r="AI563" s="49">
        <f t="shared" ref="AI563:AI626" si="29">IF((X563+Y563/12)&lt;0,"",(X563+Y563/12))</f>
        <v>0</v>
      </c>
    </row>
    <row r="564" spans="1:35" ht="15" x14ac:dyDescent="0.2">
      <c r="A564" s="193" t="s">
        <v>2276</v>
      </c>
      <c r="B564" s="146" t="s">
        <v>668</v>
      </c>
      <c r="C564" s="193" t="s">
        <v>2276</v>
      </c>
      <c r="D564" s="200" t="s">
        <v>2146</v>
      </c>
      <c r="E564" s="146" t="s">
        <v>670</v>
      </c>
      <c r="F564" s="146" t="s">
        <v>671</v>
      </c>
      <c r="G564" s="146" t="s">
        <v>672</v>
      </c>
      <c r="H564" s="148">
        <v>5.0199999999999996</v>
      </c>
      <c r="I564" s="146" t="s">
        <v>673</v>
      </c>
      <c r="J564" s="149">
        <v>2</v>
      </c>
      <c r="K564" s="150">
        <v>2021</v>
      </c>
      <c r="L564" s="201" t="s">
        <v>1915</v>
      </c>
      <c r="M564" s="201" t="s">
        <v>2277</v>
      </c>
      <c r="N564" s="207"/>
      <c r="O564" s="203"/>
      <c r="P564" s="204" t="s">
        <v>676</v>
      </c>
      <c r="Q564" s="204"/>
      <c r="R564" s="155">
        <v>5</v>
      </c>
      <c r="S564" s="168"/>
      <c r="T564" s="168"/>
      <c r="U564" s="146"/>
      <c r="V564" s="146"/>
      <c r="W564" s="146"/>
      <c r="X564" s="156">
        <v>0</v>
      </c>
      <c r="Y564" s="156">
        <v>0</v>
      </c>
      <c r="Z564" s="157" t="s">
        <v>2160</v>
      </c>
      <c r="AA564" s="158">
        <v>2021</v>
      </c>
      <c r="AB564" s="158">
        <v>7</v>
      </c>
      <c r="AC564" s="158">
        <v>2</v>
      </c>
      <c r="AD564" s="122" t="b">
        <f>IF(ISBLANK(GroupMember[[#This Row],[1. Identifiant interne d’exploitation agricole*]]),"",IF(ISERROR(MATCH(GroupMember[[#This Row],[1. Identifiant interne d’exploitation agricole*]],CertifiedCrop[1. Identifiant interne d’exploitation agricole*],0)),FALSE,TRUE))</f>
        <v>1</v>
      </c>
      <c r="AE564" s="122" t="b">
        <f>IF(ISBLANK(GroupMember[[#This Row],[1. Identifiant interne d’exploitation agricole*]]),"",IF(ISERROR(MATCH(GroupMember[[#This Row],[1. Identifiant interne d’exploitation agricole*]],FarmUnit[1. Identifiant interne d’exploitation agricole*],0)),FALSE,TRUE))</f>
        <v>1</v>
      </c>
      <c r="AF564" s="9" t="str">
        <f t="shared" si="27"/>
        <v>DEMBELE SOUNKALO</v>
      </c>
      <c r="AG564" s="243" t="str">
        <f t="shared" si="28"/>
        <v>2/7/2021</v>
      </c>
      <c r="AH564" s="51">
        <f>COUNTIFS(Z:Z,Z564,AG:AG,AG564)</f>
        <v>4</v>
      </c>
      <c r="AI564" s="49">
        <f t="shared" si="29"/>
        <v>0</v>
      </c>
    </row>
    <row r="565" spans="1:35" ht="15" x14ac:dyDescent="0.2">
      <c r="A565" s="193" t="s">
        <v>2278</v>
      </c>
      <c r="B565" s="146" t="s">
        <v>668</v>
      </c>
      <c r="C565" s="193" t="s">
        <v>2278</v>
      </c>
      <c r="D565" s="200" t="s">
        <v>2146</v>
      </c>
      <c r="E565" s="146" t="s">
        <v>670</v>
      </c>
      <c r="F565" s="146" t="s">
        <v>671</v>
      </c>
      <c r="G565" s="146" t="s">
        <v>672</v>
      </c>
      <c r="H565" s="148">
        <v>4.03</v>
      </c>
      <c r="I565" s="146" t="s">
        <v>673</v>
      </c>
      <c r="J565" s="149">
        <v>2</v>
      </c>
      <c r="K565" s="150">
        <v>2021</v>
      </c>
      <c r="L565" s="201" t="s">
        <v>2279</v>
      </c>
      <c r="M565" s="201" t="s">
        <v>2280</v>
      </c>
      <c r="N565" s="202">
        <v>747956847</v>
      </c>
      <c r="O565" s="203"/>
      <c r="P565" s="204" t="s">
        <v>676</v>
      </c>
      <c r="Q565" s="204"/>
      <c r="R565" s="155">
        <v>6</v>
      </c>
      <c r="S565" s="168"/>
      <c r="T565" s="168"/>
      <c r="U565" s="146"/>
      <c r="V565" s="146"/>
      <c r="W565" s="146"/>
      <c r="X565" s="156">
        <v>0</v>
      </c>
      <c r="Y565" s="156">
        <v>0</v>
      </c>
      <c r="Z565" s="157" t="s">
        <v>2160</v>
      </c>
      <c r="AA565" s="158">
        <v>2021</v>
      </c>
      <c r="AB565" s="158">
        <v>7</v>
      </c>
      <c r="AC565" s="158">
        <v>14</v>
      </c>
      <c r="AD565" s="122" t="b">
        <f>IF(ISBLANK(GroupMember[[#This Row],[1. Identifiant interne d’exploitation agricole*]]),"",IF(ISERROR(MATCH(GroupMember[[#This Row],[1. Identifiant interne d’exploitation agricole*]],CertifiedCrop[1. Identifiant interne d’exploitation agricole*],0)),FALSE,TRUE))</f>
        <v>1</v>
      </c>
      <c r="AE565" s="122" t="b">
        <f>IF(ISBLANK(GroupMember[[#This Row],[1. Identifiant interne d’exploitation agricole*]]),"",IF(ISERROR(MATCH(GroupMember[[#This Row],[1. Identifiant interne d’exploitation agricole*]],FarmUnit[1. Identifiant interne d’exploitation agricole*],0)),FALSE,TRUE))</f>
        <v>1</v>
      </c>
      <c r="AF565" s="9" t="str">
        <f t="shared" si="27"/>
        <v>ZERBO MOUMOUNI</v>
      </c>
      <c r="AG565" s="243" t="str">
        <f t="shared" si="28"/>
        <v>14/7/2021</v>
      </c>
      <c r="AH565" s="51">
        <f>COUNTIFS(Z:Z,Z565,AG:AG,AG565)</f>
        <v>3</v>
      </c>
      <c r="AI565" s="49">
        <f t="shared" si="29"/>
        <v>0</v>
      </c>
    </row>
    <row r="566" spans="1:35" ht="15" x14ac:dyDescent="0.2">
      <c r="A566" s="193" t="s">
        <v>2281</v>
      </c>
      <c r="B566" s="146" t="s">
        <v>668</v>
      </c>
      <c r="C566" s="193" t="s">
        <v>2281</v>
      </c>
      <c r="D566" s="200" t="s">
        <v>2146</v>
      </c>
      <c r="E566" s="146" t="s">
        <v>670</v>
      </c>
      <c r="F566" s="146" t="s">
        <v>671</v>
      </c>
      <c r="G566" s="146" t="s">
        <v>672</v>
      </c>
      <c r="H566" s="148">
        <v>2.12</v>
      </c>
      <c r="I566" s="146" t="s">
        <v>673</v>
      </c>
      <c r="J566" s="149">
        <v>1</v>
      </c>
      <c r="K566" s="150">
        <v>2021</v>
      </c>
      <c r="L566" s="201" t="s">
        <v>701</v>
      </c>
      <c r="M566" s="201" t="s">
        <v>1618</v>
      </c>
      <c r="N566" s="202">
        <v>747246757</v>
      </c>
      <c r="O566" s="203"/>
      <c r="P566" s="204" t="s">
        <v>676</v>
      </c>
      <c r="Q566" s="204"/>
      <c r="R566" s="171">
        <v>8</v>
      </c>
      <c r="S566" s="168"/>
      <c r="T566" s="168"/>
      <c r="U566" s="146"/>
      <c r="V566" s="146"/>
      <c r="W566" s="146"/>
      <c r="X566" s="156">
        <v>0</v>
      </c>
      <c r="Y566" s="156">
        <v>0</v>
      </c>
      <c r="Z566" s="157" t="s">
        <v>2160</v>
      </c>
      <c r="AA566" s="158">
        <v>2021</v>
      </c>
      <c r="AB566" s="158">
        <v>7</v>
      </c>
      <c r="AC566" s="158">
        <v>27</v>
      </c>
      <c r="AD566" s="122" t="b">
        <f>IF(ISBLANK(GroupMember[[#This Row],[1. Identifiant interne d’exploitation agricole*]]),"",IF(ISERROR(MATCH(GroupMember[[#This Row],[1. Identifiant interne d’exploitation agricole*]],CertifiedCrop[1. Identifiant interne d’exploitation agricole*],0)),FALSE,TRUE))</f>
        <v>1</v>
      </c>
      <c r="AE566" s="122" t="b">
        <f>IF(ISBLANK(GroupMember[[#This Row],[1. Identifiant interne d’exploitation agricole*]]),"",IF(ISERROR(MATCH(GroupMember[[#This Row],[1. Identifiant interne d’exploitation agricole*]],FarmUnit[1. Identifiant interne d’exploitation agricole*],0)),FALSE,TRUE))</f>
        <v>1</v>
      </c>
      <c r="AF566" s="9" t="str">
        <f t="shared" si="27"/>
        <v>OUATTARA  SOUMAILA</v>
      </c>
      <c r="AG566" s="243" t="str">
        <f t="shared" si="28"/>
        <v>27/7/2021</v>
      </c>
      <c r="AH566" s="51">
        <f>COUNTIFS(Z:Z,Z566,AG:AG,AG566)</f>
        <v>5</v>
      </c>
      <c r="AI566" s="49">
        <f t="shared" si="29"/>
        <v>0</v>
      </c>
    </row>
    <row r="567" spans="1:35" ht="15" x14ac:dyDescent="0.2">
      <c r="A567" s="193" t="s">
        <v>2282</v>
      </c>
      <c r="B567" s="146" t="s">
        <v>668</v>
      </c>
      <c r="C567" s="193" t="s">
        <v>2282</v>
      </c>
      <c r="D567" s="200" t="s">
        <v>2146</v>
      </c>
      <c r="E567" s="146" t="s">
        <v>670</v>
      </c>
      <c r="F567" s="146" t="s">
        <v>671</v>
      </c>
      <c r="G567" s="146" t="s">
        <v>672</v>
      </c>
      <c r="H567" s="148">
        <v>3.21</v>
      </c>
      <c r="I567" s="146" t="s">
        <v>673</v>
      </c>
      <c r="J567" s="149">
        <v>1</v>
      </c>
      <c r="K567" s="150">
        <v>2021</v>
      </c>
      <c r="L567" s="201" t="s">
        <v>765</v>
      </c>
      <c r="M567" s="201" t="s">
        <v>2283</v>
      </c>
      <c r="N567" s="202">
        <v>556452498</v>
      </c>
      <c r="O567" s="203"/>
      <c r="P567" s="204" t="s">
        <v>676</v>
      </c>
      <c r="Q567" s="204"/>
      <c r="R567" s="155">
        <v>5</v>
      </c>
      <c r="S567" s="168"/>
      <c r="T567" s="168"/>
      <c r="U567" s="146"/>
      <c r="V567" s="146"/>
      <c r="W567" s="146"/>
      <c r="X567" s="156">
        <v>0</v>
      </c>
      <c r="Y567" s="156">
        <v>0</v>
      </c>
      <c r="Z567" s="157" t="s">
        <v>2160</v>
      </c>
      <c r="AA567" s="158">
        <v>2021</v>
      </c>
      <c r="AB567" s="158">
        <v>7</v>
      </c>
      <c r="AC567" s="158">
        <v>29</v>
      </c>
      <c r="AD567" s="122" t="b">
        <f>IF(ISBLANK(GroupMember[[#This Row],[1. Identifiant interne d’exploitation agricole*]]),"",IF(ISERROR(MATCH(GroupMember[[#This Row],[1. Identifiant interne d’exploitation agricole*]],CertifiedCrop[1. Identifiant interne d’exploitation agricole*],0)),FALSE,TRUE))</f>
        <v>1</v>
      </c>
      <c r="AE567" s="122" t="b">
        <f>IF(ISBLANK(GroupMember[[#This Row],[1. Identifiant interne d’exploitation agricole*]]),"",IF(ISERROR(MATCH(GroupMember[[#This Row],[1. Identifiant interne d’exploitation agricole*]],FarmUnit[1. Identifiant interne d’exploitation agricole*],0)),FALSE,TRUE))</f>
        <v>1</v>
      </c>
      <c r="AF567" s="9" t="str">
        <f t="shared" si="27"/>
        <v>KONE MOUSSA 1</v>
      </c>
      <c r="AG567" s="243" t="str">
        <f t="shared" si="28"/>
        <v>29/7/2021</v>
      </c>
      <c r="AH567" s="51">
        <f>COUNTIFS(Z:Z,Z567,AG:AG,AG567)</f>
        <v>2</v>
      </c>
      <c r="AI567" s="49">
        <f t="shared" si="29"/>
        <v>0</v>
      </c>
    </row>
    <row r="568" spans="1:35" ht="15" x14ac:dyDescent="0.2">
      <c r="A568" s="193" t="s">
        <v>2284</v>
      </c>
      <c r="B568" s="146" t="s">
        <v>668</v>
      </c>
      <c r="C568" s="193" t="s">
        <v>2284</v>
      </c>
      <c r="D568" s="200" t="s">
        <v>2146</v>
      </c>
      <c r="E568" s="146" t="s">
        <v>670</v>
      </c>
      <c r="F568" s="146" t="s">
        <v>671</v>
      </c>
      <c r="G568" s="146" t="s">
        <v>672</v>
      </c>
      <c r="H568" s="148">
        <v>2.78</v>
      </c>
      <c r="I568" s="146" t="s">
        <v>673</v>
      </c>
      <c r="J568" s="149">
        <v>1</v>
      </c>
      <c r="K568" s="150">
        <v>2021</v>
      </c>
      <c r="L568" s="201" t="s">
        <v>1765</v>
      </c>
      <c r="M568" s="201" t="s">
        <v>2285</v>
      </c>
      <c r="N568" s="202">
        <v>566563060</v>
      </c>
      <c r="O568" s="203"/>
      <c r="P568" s="204" t="s">
        <v>676</v>
      </c>
      <c r="Q568" s="204"/>
      <c r="R568" s="155">
        <v>8</v>
      </c>
      <c r="S568" s="168"/>
      <c r="T568" s="168"/>
      <c r="U568" s="146"/>
      <c r="V568" s="146"/>
      <c r="W568" s="146"/>
      <c r="X568" s="156">
        <v>0</v>
      </c>
      <c r="Y568" s="156">
        <v>0</v>
      </c>
      <c r="Z568" s="157" t="s">
        <v>2160</v>
      </c>
      <c r="AA568" s="158">
        <v>2021</v>
      </c>
      <c r="AB568" s="158">
        <v>8</v>
      </c>
      <c r="AC568" s="158">
        <v>3</v>
      </c>
      <c r="AD568" s="122" t="b">
        <f>IF(ISBLANK(GroupMember[[#This Row],[1. Identifiant interne d’exploitation agricole*]]),"",IF(ISERROR(MATCH(GroupMember[[#This Row],[1. Identifiant interne d’exploitation agricole*]],CertifiedCrop[1. Identifiant interne d’exploitation agricole*],0)),FALSE,TRUE))</f>
        <v>1</v>
      </c>
      <c r="AE568" s="122" t="b">
        <f>IF(ISBLANK(GroupMember[[#This Row],[1. Identifiant interne d’exploitation agricole*]]),"",IF(ISERROR(MATCH(GroupMember[[#This Row],[1. Identifiant interne d’exploitation agricole*]],FarmUnit[1. Identifiant interne d’exploitation agricole*],0)),FALSE,TRUE))</f>
        <v>1</v>
      </c>
      <c r="AF568" s="9" t="str">
        <f t="shared" si="27"/>
        <v>TOURE  ABOULAYE</v>
      </c>
      <c r="AG568" s="243" t="str">
        <f t="shared" si="28"/>
        <v>3/8/2021</v>
      </c>
      <c r="AH568" s="51">
        <f>COUNTIFS(Z:Z,Z568,AG:AG,AG568)</f>
        <v>4</v>
      </c>
      <c r="AI568" s="49">
        <f t="shared" si="29"/>
        <v>0</v>
      </c>
    </row>
    <row r="569" spans="1:35" ht="15" x14ac:dyDescent="0.2">
      <c r="A569" s="193" t="s">
        <v>2286</v>
      </c>
      <c r="B569" s="146" t="s">
        <v>668</v>
      </c>
      <c r="C569" s="193" t="s">
        <v>2286</v>
      </c>
      <c r="D569" s="200" t="s">
        <v>2146</v>
      </c>
      <c r="E569" s="146" t="s">
        <v>670</v>
      </c>
      <c r="F569" s="146" t="s">
        <v>671</v>
      </c>
      <c r="G569" s="146" t="s">
        <v>672</v>
      </c>
      <c r="H569" s="148">
        <v>7.1</v>
      </c>
      <c r="I569" s="146" t="s">
        <v>673</v>
      </c>
      <c r="J569" s="149">
        <v>1</v>
      </c>
      <c r="K569" s="150">
        <v>2021</v>
      </c>
      <c r="L569" s="201" t="s">
        <v>765</v>
      </c>
      <c r="M569" s="201" t="s">
        <v>2287</v>
      </c>
      <c r="N569" s="202">
        <v>707161517</v>
      </c>
      <c r="O569" s="203"/>
      <c r="P569" s="204" t="s">
        <v>676</v>
      </c>
      <c r="Q569" s="204"/>
      <c r="R569" s="155">
        <v>4</v>
      </c>
      <c r="S569" s="168"/>
      <c r="T569" s="168"/>
      <c r="U569" s="146"/>
      <c r="V569" s="146"/>
      <c r="W569" s="146"/>
      <c r="X569" s="156">
        <v>0</v>
      </c>
      <c r="Y569" s="156">
        <v>0</v>
      </c>
      <c r="Z569" s="157" t="s">
        <v>2160</v>
      </c>
      <c r="AA569" s="158">
        <v>2021</v>
      </c>
      <c r="AB569" s="158">
        <v>8</v>
      </c>
      <c r="AC569" s="158">
        <v>3</v>
      </c>
      <c r="AD569" s="122" t="b">
        <f>IF(ISBLANK(GroupMember[[#This Row],[1. Identifiant interne d’exploitation agricole*]]),"",IF(ISERROR(MATCH(GroupMember[[#This Row],[1. Identifiant interne d’exploitation agricole*]],CertifiedCrop[1. Identifiant interne d’exploitation agricole*],0)),FALSE,TRUE))</f>
        <v>1</v>
      </c>
      <c r="AE569" s="122" t="b">
        <f>IF(ISBLANK(GroupMember[[#This Row],[1. Identifiant interne d’exploitation agricole*]]),"",IF(ISERROR(MATCH(GroupMember[[#This Row],[1. Identifiant interne d’exploitation agricole*]],FarmUnit[1. Identifiant interne d’exploitation agricole*],0)),FALSE,TRUE))</f>
        <v>1</v>
      </c>
      <c r="AF569" s="9" t="str">
        <f t="shared" si="27"/>
        <v xml:space="preserve">KONE  DRISSA </v>
      </c>
      <c r="AG569" s="243" t="str">
        <f t="shared" si="28"/>
        <v>3/8/2021</v>
      </c>
      <c r="AH569" s="51">
        <f>COUNTIFS(Z:Z,Z569,AG:AG,AG569)</f>
        <v>4</v>
      </c>
      <c r="AI569" s="49">
        <f t="shared" si="29"/>
        <v>0</v>
      </c>
    </row>
    <row r="570" spans="1:35" ht="15" x14ac:dyDescent="0.2">
      <c r="A570" s="193" t="s">
        <v>2288</v>
      </c>
      <c r="B570" s="146" t="s">
        <v>668</v>
      </c>
      <c r="C570" s="193" t="s">
        <v>2288</v>
      </c>
      <c r="D570" s="200" t="s">
        <v>2146</v>
      </c>
      <c r="E570" s="146" t="s">
        <v>670</v>
      </c>
      <c r="F570" s="146" t="s">
        <v>671</v>
      </c>
      <c r="G570" s="146" t="s">
        <v>672</v>
      </c>
      <c r="H570" s="148">
        <v>2.11</v>
      </c>
      <c r="I570" s="146" t="s">
        <v>673</v>
      </c>
      <c r="J570" s="149">
        <v>1</v>
      </c>
      <c r="K570" s="150">
        <v>2021</v>
      </c>
      <c r="L570" s="201" t="s">
        <v>828</v>
      </c>
      <c r="M570" s="201" t="s">
        <v>2289</v>
      </c>
      <c r="N570" s="202">
        <v>769654492</v>
      </c>
      <c r="O570" s="203"/>
      <c r="P570" s="204" t="s">
        <v>676</v>
      </c>
      <c r="Q570" s="204"/>
      <c r="R570" s="155">
        <v>7</v>
      </c>
      <c r="S570" s="168"/>
      <c r="T570" s="168"/>
      <c r="U570" s="146"/>
      <c r="V570" s="146"/>
      <c r="W570" s="146"/>
      <c r="X570" s="156">
        <v>0</v>
      </c>
      <c r="Y570" s="156">
        <v>0</v>
      </c>
      <c r="Z570" s="157" t="s">
        <v>2160</v>
      </c>
      <c r="AA570" s="158">
        <v>2021</v>
      </c>
      <c r="AB570" s="158">
        <v>7</v>
      </c>
      <c r="AC570" s="158">
        <v>29</v>
      </c>
      <c r="AD570" s="122" t="b">
        <f>IF(ISBLANK(GroupMember[[#This Row],[1. Identifiant interne d’exploitation agricole*]]),"",IF(ISERROR(MATCH(GroupMember[[#This Row],[1. Identifiant interne d’exploitation agricole*]],CertifiedCrop[1. Identifiant interne d’exploitation agricole*],0)),FALSE,TRUE))</f>
        <v>1</v>
      </c>
      <c r="AE570" s="122" t="b">
        <f>IF(ISBLANK(GroupMember[[#This Row],[1. Identifiant interne d’exploitation agricole*]]),"",IF(ISERROR(MATCH(GroupMember[[#This Row],[1. Identifiant interne d’exploitation agricole*]],FarmUnit[1. Identifiant interne d’exploitation agricole*],0)),FALSE,TRUE))</f>
        <v>1</v>
      </c>
      <c r="AF570" s="9" t="str">
        <f t="shared" si="27"/>
        <v>KONATE  LAMINE</v>
      </c>
      <c r="AG570" s="243" t="str">
        <f t="shared" si="28"/>
        <v>29/7/2021</v>
      </c>
      <c r="AH570" s="51">
        <f>COUNTIFS(Z:Z,Z570,AG:AG,AG570)</f>
        <v>2</v>
      </c>
      <c r="AI570" s="49">
        <f t="shared" si="29"/>
        <v>0</v>
      </c>
    </row>
    <row r="571" spans="1:35" ht="15" x14ac:dyDescent="0.2">
      <c r="A571" s="193" t="s">
        <v>2290</v>
      </c>
      <c r="B571" s="146" t="s">
        <v>668</v>
      </c>
      <c r="C571" s="193" t="s">
        <v>2290</v>
      </c>
      <c r="D571" s="200" t="s">
        <v>2146</v>
      </c>
      <c r="E571" s="146" t="s">
        <v>670</v>
      </c>
      <c r="F571" s="146" t="s">
        <v>671</v>
      </c>
      <c r="G571" s="146" t="s">
        <v>672</v>
      </c>
      <c r="H571" s="148">
        <v>2.6</v>
      </c>
      <c r="I571" s="146" t="s">
        <v>673</v>
      </c>
      <c r="J571" s="149">
        <v>1</v>
      </c>
      <c r="K571" s="150">
        <v>2021</v>
      </c>
      <c r="L571" s="201" t="s">
        <v>765</v>
      </c>
      <c r="M571" s="201" t="s">
        <v>2291</v>
      </c>
      <c r="N571" s="202"/>
      <c r="O571" s="203"/>
      <c r="P571" s="204" t="s">
        <v>676</v>
      </c>
      <c r="Q571" s="204"/>
      <c r="R571" s="155">
        <v>5</v>
      </c>
      <c r="S571" s="168"/>
      <c r="T571" s="168"/>
      <c r="U571" s="146"/>
      <c r="V571" s="146"/>
      <c r="W571" s="146"/>
      <c r="X571" s="156">
        <v>0</v>
      </c>
      <c r="Y571" s="156">
        <v>0</v>
      </c>
      <c r="Z571" s="157" t="s">
        <v>2160</v>
      </c>
      <c r="AA571" s="158">
        <v>2021</v>
      </c>
      <c r="AB571" s="158">
        <v>7</v>
      </c>
      <c r="AC571" s="158">
        <v>14</v>
      </c>
      <c r="AD571" s="122" t="b">
        <f>IF(ISBLANK(GroupMember[[#This Row],[1. Identifiant interne d’exploitation agricole*]]),"",IF(ISERROR(MATCH(GroupMember[[#This Row],[1. Identifiant interne d’exploitation agricole*]],CertifiedCrop[1. Identifiant interne d’exploitation agricole*],0)),FALSE,TRUE))</f>
        <v>1</v>
      </c>
      <c r="AE571" s="122" t="b">
        <f>IF(ISBLANK(GroupMember[[#This Row],[1. Identifiant interne d’exploitation agricole*]]),"",IF(ISERROR(MATCH(GroupMember[[#This Row],[1. Identifiant interne d’exploitation agricole*]],FarmUnit[1. Identifiant interne d’exploitation agricole*],0)),FALSE,TRUE))</f>
        <v>1</v>
      </c>
      <c r="AF571" s="9" t="str">
        <f t="shared" si="27"/>
        <v>KONE ABOU</v>
      </c>
      <c r="AG571" s="243" t="str">
        <f t="shared" si="28"/>
        <v>14/7/2021</v>
      </c>
      <c r="AH571" s="51">
        <f>COUNTIFS(Z:Z,Z571,AG:AG,AG571)</f>
        <v>3</v>
      </c>
      <c r="AI571" s="49">
        <f t="shared" si="29"/>
        <v>0</v>
      </c>
    </row>
    <row r="572" spans="1:35" ht="15" x14ac:dyDescent="0.2">
      <c r="A572" s="193" t="s">
        <v>2292</v>
      </c>
      <c r="B572" s="146" t="s">
        <v>668</v>
      </c>
      <c r="C572" s="193" t="s">
        <v>2292</v>
      </c>
      <c r="D572" s="200" t="s">
        <v>2146</v>
      </c>
      <c r="E572" s="146" t="s">
        <v>670</v>
      </c>
      <c r="F572" s="146" t="s">
        <v>671</v>
      </c>
      <c r="G572" s="146" t="s">
        <v>672</v>
      </c>
      <c r="H572" s="148">
        <v>1.39</v>
      </c>
      <c r="I572" s="146" t="s">
        <v>673</v>
      </c>
      <c r="J572" s="149">
        <v>1</v>
      </c>
      <c r="K572" s="150">
        <v>2021</v>
      </c>
      <c r="L572" s="201" t="s">
        <v>2293</v>
      </c>
      <c r="M572" s="201" t="s">
        <v>2294</v>
      </c>
      <c r="N572" s="202"/>
      <c r="O572" s="203"/>
      <c r="P572" s="204" t="s">
        <v>676</v>
      </c>
      <c r="Q572" s="204"/>
      <c r="R572" s="155">
        <v>7</v>
      </c>
      <c r="S572" s="168"/>
      <c r="T572" s="168"/>
      <c r="U572" s="146"/>
      <c r="V572" s="146"/>
      <c r="W572" s="146"/>
      <c r="X572" s="156">
        <v>0</v>
      </c>
      <c r="Y572" s="156">
        <v>0</v>
      </c>
      <c r="Z572" s="157" t="s">
        <v>2160</v>
      </c>
      <c r="AA572" s="158">
        <v>2021</v>
      </c>
      <c r="AB572" s="158">
        <v>8</v>
      </c>
      <c r="AC572" s="158">
        <v>3</v>
      </c>
      <c r="AD572" s="122" t="b">
        <f>IF(ISBLANK(GroupMember[[#This Row],[1. Identifiant interne d’exploitation agricole*]]),"",IF(ISERROR(MATCH(GroupMember[[#This Row],[1. Identifiant interne d’exploitation agricole*]],CertifiedCrop[1. Identifiant interne d’exploitation agricole*],0)),FALSE,TRUE))</f>
        <v>1</v>
      </c>
      <c r="AE572" s="122" t="b">
        <f>IF(ISBLANK(GroupMember[[#This Row],[1. Identifiant interne d’exploitation agricole*]]),"",IF(ISERROR(MATCH(GroupMember[[#This Row],[1. Identifiant interne d’exploitation agricole*]],FarmUnit[1. Identifiant interne d’exploitation agricole*],0)),FALSE,TRUE))</f>
        <v>1</v>
      </c>
      <c r="AF572" s="9" t="str">
        <f t="shared" si="27"/>
        <v>SONNEYO  MARIUS</v>
      </c>
      <c r="AG572" s="243" t="str">
        <f t="shared" si="28"/>
        <v>3/8/2021</v>
      </c>
      <c r="AH572" s="51">
        <f>COUNTIFS(Z:Z,Z572,AG:AG,AG572)</f>
        <v>4</v>
      </c>
      <c r="AI572" s="49">
        <f t="shared" si="29"/>
        <v>0</v>
      </c>
    </row>
    <row r="573" spans="1:35" ht="15" x14ac:dyDescent="0.2">
      <c r="A573" s="193" t="s">
        <v>2295</v>
      </c>
      <c r="B573" s="146" t="s">
        <v>668</v>
      </c>
      <c r="C573" s="193" t="s">
        <v>2295</v>
      </c>
      <c r="D573" s="200" t="s">
        <v>2146</v>
      </c>
      <c r="E573" s="146" t="s">
        <v>670</v>
      </c>
      <c r="F573" s="146" t="s">
        <v>671</v>
      </c>
      <c r="G573" s="146" t="s">
        <v>672</v>
      </c>
      <c r="H573" s="148">
        <v>1.62</v>
      </c>
      <c r="I573" s="146" t="s">
        <v>673</v>
      </c>
      <c r="J573" s="149">
        <v>1</v>
      </c>
      <c r="K573" s="150">
        <v>2021</v>
      </c>
      <c r="L573" s="201" t="s">
        <v>1081</v>
      </c>
      <c r="M573" s="201" t="s">
        <v>1789</v>
      </c>
      <c r="N573" s="202">
        <v>777261559</v>
      </c>
      <c r="O573" s="203"/>
      <c r="P573" s="204" t="s">
        <v>676</v>
      </c>
      <c r="Q573" s="204"/>
      <c r="R573" s="155">
        <v>10</v>
      </c>
      <c r="S573" s="168"/>
      <c r="T573" s="168"/>
      <c r="U573" s="146"/>
      <c r="V573" s="146"/>
      <c r="W573" s="146"/>
      <c r="X573" s="156">
        <v>0</v>
      </c>
      <c r="Y573" s="156">
        <v>0</v>
      </c>
      <c r="Z573" s="157" t="s">
        <v>2160</v>
      </c>
      <c r="AA573" s="158">
        <v>2021</v>
      </c>
      <c r="AB573" s="158">
        <v>7</v>
      </c>
      <c r="AC573" s="158">
        <v>31</v>
      </c>
      <c r="AD573" s="122" t="b">
        <f>IF(ISBLANK(GroupMember[[#This Row],[1. Identifiant interne d’exploitation agricole*]]),"",IF(ISERROR(MATCH(GroupMember[[#This Row],[1. Identifiant interne d’exploitation agricole*]],CertifiedCrop[1. Identifiant interne d’exploitation agricole*],0)),FALSE,TRUE))</f>
        <v>1</v>
      </c>
      <c r="AE573" s="122" t="b">
        <f>IF(ISBLANK(GroupMember[[#This Row],[1. Identifiant interne d’exploitation agricole*]]),"",IF(ISERROR(MATCH(GroupMember[[#This Row],[1. Identifiant interne d’exploitation agricole*]],FarmUnit[1. Identifiant interne d’exploitation agricole*],0)),FALSE,TRUE))</f>
        <v>1</v>
      </c>
      <c r="AF573" s="9" t="str">
        <f t="shared" si="27"/>
        <v>KABORE IBRAHIM</v>
      </c>
      <c r="AG573" s="243" t="str">
        <f t="shared" si="28"/>
        <v>31/7/2021</v>
      </c>
      <c r="AH573" s="51">
        <f>COUNTIFS(Z:Z,Z573,AG:AG,AG573)</f>
        <v>5</v>
      </c>
      <c r="AI573" s="49">
        <f t="shared" si="29"/>
        <v>0</v>
      </c>
    </row>
    <row r="574" spans="1:35" ht="15" x14ac:dyDescent="0.2">
      <c r="A574" s="193" t="s">
        <v>2296</v>
      </c>
      <c r="B574" s="146" t="s">
        <v>668</v>
      </c>
      <c r="C574" s="193" t="s">
        <v>2296</v>
      </c>
      <c r="D574" s="200" t="s">
        <v>2146</v>
      </c>
      <c r="E574" s="146" t="s">
        <v>670</v>
      </c>
      <c r="F574" s="146" t="s">
        <v>671</v>
      </c>
      <c r="G574" s="146" t="s">
        <v>672</v>
      </c>
      <c r="H574" s="148">
        <v>2.14</v>
      </c>
      <c r="I574" s="146" t="s">
        <v>673</v>
      </c>
      <c r="J574" s="149">
        <v>1</v>
      </c>
      <c r="K574" s="150">
        <v>2021</v>
      </c>
      <c r="L574" s="201" t="s">
        <v>2297</v>
      </c>
      <c r="M574" s="201" t="s">
        <v>2298</v>
      </c>
      <c r="N574" s="202">
        <v>749291975</v>
      </c>
      <c r="O574" s="203"/>
      <c r="P574" s="204" t="s">
        <v>676</v>
      </c>
      <c r="Q574" s="204"/>
      <c r="R574" s="171">
        <v>7</v>
      </c>
      <c r="S574" s="168"/>
      <c r="T574" s="168"/>
      <c r="U574" s="146"/>
      <c r="V574" s="146"/>
      <c r="W574" s="146"/>
      <c r="X574" s="156">
        <v>0</v>
      </c>
      <c r="Y574" s="156">
        <v>0</v>
      </c>
      <c r="Z574" s="157" t="s">
        <v>2160</v>
      </c>
      <c r="AA574" s="158">
        <v>2021</v>
      </c>
      <c r="AB574" s="158">
        <v>8</v>
      </c>
      <c r="AC574" s="158">
        <v>4</v>
      </c>
      <c r="AD574" s="122" t="b">
        <f>IF(ISBLANK(GroupMember[[#This Row],[1. Identifiant interne d’exploitation agricole*]]),"",IF(ISERROR(MATCH(GroupMember[[#This Row],[1. Identifiant interne d’exploitation agricole*]],CertifiedCrop[1. Identifiant interne d’exploitation agricole*],0)),FALSE,TRUE))</f>
        <v>1</v>
      </c>
      <c r="AE574" s="122" t="b">
        <f>IF(ISBLANK(GroupMember[[#This Row],[1. Identifiant interne d’exploitation agricole*]]),"",IF(ISERROR(MATCH(GroupMember[[#This Row],[1. Identifiant interne d’exploitation agricole*]],FarmUnit[1. Identifiant interne d’exploitation agricole*],0)),FALSE,TRUE))</f>
        <v>1</v>
      </c>
      <c r="AF574" s="9" t="str">
        <f t="shared" si="27"/>
        <v>KONAN  KOUASSI BENJAMIN</v>
      </c>
      <c r="AG574" s="243" t="str">
        <f t="shared" si="28"/>
        <v>4/8/2021</v>
      </c>
      <c r="AH574" s="51">
        <f>COUNTIFS(Z:Z,Z574,AG:AG,AG574)</f>
        <v>4</v>
      </c>
      <c r="AI574" s="49">
        <f t="shared" si="29"/>
        <v>0</v>
      </c>
    </row>
    <row r="575" spans="1:35" ht="15" x14ac:dyDescent="0.2">
      <c r="A575" s="193" t="s">
        <v>2299</v>
      </c>
      <c r="B575" s="146" t="s">
        <v>668</v>
      </c>
      <c r="C575" s="193" t="s">
        <v>2299</v>
      </c>
      <c r="D575" s="200" t="s">
        <v>2146</v>
      </c>
      <c r="E575" s="146" t="s">
        <v>670</v>
      </c>
      <c r="F575" s="146" t="s">
        <v>671</v>
      </c>
      <c r="G575" s="146" t="s">
        <v>672</v>
      </c>
      <c r="H575" s="148">
        <v>3.84</v>
      </c>
      <c r="I575" s="146" t="s">
        <v>673</v>
      </c>
      <c r="J575" s="149">
        <v>1</v>
      </c>
      <c r="K575" s="150">
        <v>2021</v>
      </c>
      <c r="L575" s="201" t="s">
        <v>715</v>
      </c>
      <c r="M575" s="201" t="s">
        <v>2300</v>
      </c>
      <c r="N575" s="202">
        <v>707239650</v>
      </c>
      <c r="O575" s="203"/>
      <c r="P575" s="204" t="s">
        <v>676</v>
      </c>
      <c r="Q575" s="204"/>
      <c r="R575" s="155">
        <v>5</v>
      </c>
      <c r="S575" s="168"/>
      <c r="T575" s="168"/>
      <c r="U575" s="146"/>
      <c r="V575" s="146"/>
      <c r="W575" s="146"/>
      <c r="X575" s="156">
        <v>0</v>
      </c>
      <c r="Y575" s="156">
        <v>0</v>
      </c>
      <c r="Z575" s="157" t="s">
        <v>2160</v>
      </c>
      <c r="AA575" s="158">
        <v>2021</v>
      </c>
      <c r="AB575" s="158">
        <v>8</v>
      </c>
      <c r="AC575" s="158">
        <v>4</v>
      </c>
      <c r="AD575" s="122" t="b">
        <f>IF(ISBLANK(GroupMember[[#This Row],[1. Identifiant interne d’exploitation agricole*]]),"",IF(ISERROR(MATCH(GroupMember[[#This Row],[1. Identifiant interne d’exploitation agricole*]],CertifiedCrop[1. Identifiant interne d’exploitation agricole*],0)),FALSE,TRUE))</f>
        <v>1</v>
      </c>
      <c r="AE575" s="122" t="b">
        <f>IF(ISBLANK(GroupMember[[#This Row],[1. Identifiant interne d’exploitation agricole*]]),"",IF(ISERROR(MATCH(GroupMember[[#This Row],[1. Identifiant interne d’exploitation agricole*]],FarmUnit[1. Identifiant interne d’exploitation agricole*],0)),FALSE,TRUE))</f>
        <v>1</v>
      </c>
      <c r="AF575" s="9" t="str">
        <f t="shared" si="27"/>
        <v>TRAORE SALIME</v>
      </c>
      <c r="AG575" s="243" t="str">
        <f t="shared" si="28"/>
        <v>4/8/2021</v>
      </c>
      <c r="AH575" s="51">
        <f>COUNTIFS(Z:Z,Z575,AG:AG,AG575)</f>
        <v>4</v>
      </c>
      <c r="AI575" s="49">
        <f t="shared" si="29"/>
        <v>0</v>
      </c>
    </row>
    <row r="576" spans="1:35" ht="15" x14ac:dyDescent="0.2">
      <c r="A576" s="193" t="s">
        <v>2301</v>
      </c>
      <c r="B576" s="146" t="s">
        <v>668</v>
      </c>
      <c r="C576" s="193" t="s">
        <v>2301</v>
      </c>
      <c r="D576" s="200" t="s">
        <v>2146</v>
      </c>
      <c r="E576" s="146" t="s">
        <v>670</v>
      </c>
      <c r="F576" s="146" t="s">
        <v>671</v>
      </c>
      <c r="G576" s="146" t="s">
        <v>672</v>
      </c>
      <c r="H576" s="148">
        <v>4.03</v>
      </c>
      <c r="I576" s="146" t="s">
        <v>673</v>
      </c>
      <c r="J576" s="149">
        <v>1</v>
      </c>
      <c r="K576" s="150">
        <v>2021</v>
      </c>
      <c r="L576" s="201" t="s">
        <v>2302</v>
      </c>
      <c r="M576" s="201" t="s">
        <v>2303</v>
      </c>
      <c r="N576" s="202">
        <v>777455090</v>
      </c>
      <c r="O576" s="203"/>
      <c r="P576" s="204" t="s">
        <v>676</v>
      </c>
      <c r="Q576" s="204"/>
      <c r="R576" s="155">
        <v>6</v>
      </c>
      <c r="S576" s="168"/>
      <c r="T576" s="168"/>
      <c r="U576" s="146"/>
      <c r="V576" s="146"/>
      <c r="W576" s="146"/>
      <c r="X576" s="156">
        <v>0</v>
      </c>
      <c r="Y576" s="156">
        <v>0</v>
      </c>
      <c r="Z576" s="157" t="s">
        <v>2160</v>
      </c>
      <c r="AA576" s="158">
        <v>2021</v>
      </c>
      <c r="AB576" s="158">
        <v>7</v>
      </c>
      <c r="AC576" s="158">
        <v>31</v>
      </c>
      <c r="AD576" s="122" t="b">
        <f>IF(ISBLANK(GroupMember[[#This Row],[1. Identifiant interne d’exploitation agricole*]]),"",IF(ISERROR(MATCH(GroupMember[[#This Row],[1. Identifiant interne d’exploitation agricole*]],CertifiedCrop[1. Identifiant interne d’exploitation agricole*],0)),FALSE,TRUE))</f>
        <v>1</v>
      </c>
      <c r="AE576" s="122" t="b">
        <f>IF(ISBLANK(GroupMember[[#This Row],[1. Identifiant interne d’exploitation agricole*]]),"",IF(ISERROR(MATCH(GroupMember[[#This Row],[1. Identifiant interne d’exploitation agricole*]],FarmUnit[1. Identifiant interne d’exploitation agricole*],0)),FALSE,TRUE))</f>
        <v>1</v>
      </c>
      <c r="AF576" s="9" t="str">
        <f t="shared" si="27"/>
        <v>DAH  ZERMITE</v>
      </c>
      <c r="AG576" s="243" t="str">
        <f t="shared" si="28"/>
        <v>31/7/2021</v>
      </c>
      <c r="AH576" s="51">
        <f>COUNTIFS(Z:Z,Z576,AG:AG,AG576)</f>
        <v>5</v>
      </c>
      <c r="AI576" s="49">
        <f t="shared" si="29"/>
        <v>0</v>
      </c>
    </row>
    <row r="577" spans="1:35" ht="15" x14ac:dyDescent="0.2">
      <c r="A577" s="193" t="s">
        <v>2304</v>
      </c>
      <c r="B577" s="146" t="s">
        <v>668</v>
      </c>
      <c r="C577" s="193" t="s">
        <v>2304</v>
      </c>
      <c r="D577" s="200" t="s">
        <v>2146</v>
      </c>
      <c r="E577" s="146" t="s">
        <v>670</v>
      </c>
      <c r="F577" s="146" t="s">
        <v>671</v>
      </c>
      <c r="G577" s="146" t="s">
        <v>672</v>
      </c>
      <c r="H577" s="148">
        <v>1.79</v>
      </c>
      <c r="I577" s="146" t="s">
        <v>673</v>
      </c>
      <c r="J577" s="149">
        <v>1</v>
      </c>
      <c r="K577" s="150">
        <v>2021</v>
      </c>
      <c r="L577" s="201" t="s">
        <v>707</v>
      </c>
      <c r="M577" s="201" t="s">
        <v>1029</v>
      </c>
      <c r="N577" s="202">
        <v>777775026</v>
      </c>
      <c r="O577" s="203"/>
      <c r="P577" s="204" t="s">
        <v>676</v>
      </c>
      <c r="Q577" s="204"/>
      <c r="R577" s="155">
        <v>8</v>
      </c>
      <c r="S577" s="168"/>
      <c r="T577" s="168"/>
      <c r="U577" s="146"/>
      <c r="V577" s="146"/>
      <c r="W577" s="146"/>
      <c r="X577" s="156">
        <v>0</v>
      </c>
      <c r="Y577" s="156">
        <v>0</v>
      </c>
      <c r="Z577" s="157" t="s">
        <v>2160</v>
      </c>
      <c r="AA577" s="158">
        <v>2021</v>
      </c>
      <c r="AB577" s="158">
        <v>7</v>
      </c>
      <c r="AC577" s="158">
        <v>14</v>
      </c>
      <c r="AD577" s="122" t="b">
        <f>IF(ISBLANK(GroupMember[[#This Row],[1. Identifiant interne d’exploitation agricole*]]),"",IF(ISERROR(MATCH(GroupMember[[#This Row],[1. Identifiant interne d’exploitation agricole*]],CertifiedCrop[1. Identifiant interne d’exploitation agricole*],0)),FALSE,TRUE))</f>
        <v>1</v>
      </c>
      <c r="AE577" s="122" t="b">
        <f>IF(ISBLANK(GroupMember[[#This Row],[1. Identifiant interne d’exploitation agricole*]]),"",IF(ISERROR(MATCH(GroupMember[[#This Row],[1. Identifiant interne d’exploitation agricole*]],FarmUnit[1. Identifiant interne d’exploitation agricole*],0)),FALSE,TRUE))</f>
        <v>1</v>
      </c>
      <c r="AF577" s="9" t="str">
        <f t="shared" si="27"/>
        <v>OUEDRAOGO  MATHIEU</v>
      </c>
      <c r="AG577" s="243" t="str">
        <f t="shared" si="28"/>
        <v>14/7/2021</v>
      </c>
      <c r="AH577" s="51">
        <f>COUNTIFS(Z:Z,Z577,AG:AG,AG577)</f>
        <v>3</v>
      </c>
      <c r="AI577" s="49">
        <f t="shared" si="29"/>
        <v>0</v>
      </c>
    </row>
    <row r="578" spans="1:35" ht="15" x14ac:dyDescent="0.2">
      <c r="A578" s="193" t="s">
        <v>2305</v>
      </c>
      <c r="B578" s="146" t="s">
        <v>668</v>
      </c>
      <c r="C578" s="193" t="s">
        <v>2305</v>
      </c>
      <c r="D578" s="200" t="s">
        <v>2146</v>
      </c>
      <c r="E578" s="146" t="s">
        <v>670</v>
      </c>
      <c r="F578" s="146" t="s">
        <v>671</v>
      </c>
      <c r="G578" s="146" t="s">
        <v>672</v>
      </c>
      <c r="H578" s="148">
        <v>3.14</v>
      </c>
      <c r="I578" s="146" t="s">
        <v>673</v>
      </c>
      <c r="J578" s="149">
        <v>1</v>
      </c>
      <c r="K578" s="150">
        <v>2021</v>
      </c>
      <c r="L578" s="201" t="s">
        <v>2306</v>
      </c>
      <c r="M578" s="201" t="s">
        <v>1079</v>
      </c>
      <c r="N578" s="202">
        <v>779988473</v>
      </c>
      <c r="O578" s="203"/>
      <c r="P578" s="204" t="s">
        <v>676</v>
      </c>
      <c r="Q578" s="204"/>
      <c r="R578" s="155">
        <v>10</v>
      </c>
      <c r="S578" s="168"/>
      <c r="T578" s="168"/>
      <c r="U578" s="146"/>
      <c r="V578" s="146"/>
      <c r="W578" s="146"/>
      <c r="X578" s="156">
        <v>0</v>
      </c>
      <c r="Y578" s="156">
        <v>0</v>
      </c>
      <c r="Z578" s="157" t="s">
        <v>2160</v>
      </c>
      <c r="AA578" s="158">
        <v>2021</v>
      </c>
      <c r="AB578" s="158">
        <v>7</v>
      </c>
      <c r="AC578" s="158">
        <v>24</v>
      </c>
      <c r="AD578" s="122" t="b">
        <f>IF(ISBLANK(GroupMember[[#This Row],[1. Identifiant interne d’exploitation agricole*]]),"",IF(ISERROR(MATCH(GroupMember[[#This Row],[1. Identifiant interne d’exploitation agricole*]],CertifiedCrop[1. Identifiant interne d’exploitation agricole*],0)),FALSE,TRUE))</f>
        <v>1</v>
      </c>
      <c r="AE578" s="122" t="b">
        <f>IF(ISBLANK(GroupMember[[#This Row],[1. Identifiant interne d’exploitation agricole*]]),"",IF(ISERROR(MATCH(GroupMember[[#This Row],[1. Identifiant interne d’exploitation agricole*]],FarmUnit[1. Identifiant interne d’exploitation agricole*],0)),FALSE,TRUE))</f>
        <v>1</v>
      </c>
      <c r="AF578" s="9" t="str">
        <f t="shared" si="27"/>
        <v>WIPIKA  SOULEYMANE</v>
      </c>
      <c r="AG578" s="243" t="str">
        <f t="shared" si="28"/>
        <v>24/7/2021</v>
      </c>
      <c r="AH578" s="51">
        <f>COUNTIFS(Z:Z,Z578,AG:AG,AG578)</f>
        <v>4</v>
      </c>
      <c r="AI578" s="49">
        <f t="shared" si="29"/>
        <v>0</v>
      </c>
    </row>
    <row r="579" spans="1:35" ht="15" x14ac:dyDescent="0.2">
      <c r="A579" s="193" t="s">
        <v>2307</v>
      </c>
      <c r="B579" s="146" t="s">
        <v>668</v>
      </c>
      <c r="C579" s="193" t="s">
        <v>2307</v>
      </c>
      <c r="D579" s="200" t="s">
        <v>2146</v>
      </c>
      <c r="E579" s="146" t="s">
        <v>670</v>
      </c>
      <c r="F579" s="146" t="s">
        <v>671</v>
      </c>
      <c r="G579" s="146" t="s">
        <v>672</v>
      </c>
      <c r="H579" s="148">
        <v>4.04</v>
      </c>
      <c r="I579" s="146" t="s">
        <v>673</v>
      </c>
      <c r="J579" s="149">
        <v>1</v>
      </c>
      <c r="K579" s="150">
        <v>2021</v>
      </c>
      <c r="L579" s="201" t="s">
        <v>2308</v>
      </c>
      <c r="M579" s="201" t="s">
        <v>2264</v>
      </c>
      <c r="N579" s="202">
        <v>778071735</v>
      </c>
      <c r="O579" s="203"/>
      <c r="P579" s="204" t="s">
        <v>676</v>
      </c>
      <c r="Q579" s="204"/>
      <c r="R579" s="155">
        <v>4</v>
      </c>
      <c r="S579" s="168"/>
      <c r="T579" s="168"/>
      <c r="U579" s="146"/>
      <c r="V579" s="146"/>
      <c r="W579" s="146"/>
      <c r="X579" s="156">
        <v>0</v>
      </c>
      <c r="Y579" s="156">
        <v>0</v>
      </c>
      <c r="Z579" s="157" t="s">
        <v>2160</v>
      </c>
      <c r="AA579" s="158">
        <v>2021</v>
      </c>
      <c r="AB579" s="158">
        <v>7</v>
      </c>
      <c r="AC579" s="158">
        <v>5</v>
      </c>
      <c r="AD579" s="122" t="b">
        <f>IF(ISBLANK(GroupMember[[#This Row],[1. Identifiant interne d’exploitation agricole*]]),"",IF(ISERROR(MATCH(GroupMember[[#This Row],[1. Identifiant interne d’exploitation agricole*]],CertifiedCrop[1. Identifiant interne d’exploitation agricole*],0)),FALSE,TRUE))</f>
        <v>1</v>
      </c>
      <c r="AE579" s="122" t="b">
        <f>IF(ISBLANK(GroupMember[[#This Row],[1. Identifiant interne d’exploitation agricole*]]),"",IF(ISERROR(MATCH(GroupMember[[#This Row],[1. Identifiant interne d’exploitation agricole*]],FarmUnit[1. Identifiant interne d’exploitation agricole*],0)),FALSE,TRUE))</f>
        <v>1</v>
      </c>
      <c r="AF579" s="9" t="str">
        <f t="shared" si="27"/>
        <v>SOGODOGO ABDOULAYE</v>
      </c>
      <c r="AG579" s="243" t="str">
        <f t="shared" si="28"/>
        <v>5/7/2021</v>
      </c>
      <c r="AH579" s="51">
        <f>COUNTIFS(Z:Z,Z579,AG:AG,AG579)</f>
        <v>4</v>
      </c>
      <c r="AI579" s="49">
        <f t="shared" si="29"/>
        <v>0</v>
      </c>
    </row>
    <row r="580" spans="1:35" ht="15" x14ac:dyDescent="0.2">
      <c r="A580" s="193" t="s">
        <v>2309</v>
      </c>
      <c r="B580" s="146" t="s">
        <v>668</v>
      </c>
      <c r="C580" s="193" t="s">
        <v>2309</v>
      </c>
      <c r="D580" s="200" t="s">
        <v>2146</v>
      </c>
      <c r="E580" s="146" t="s">
        <v>670</v>
      </c>
      <c r="F580" s="146" t="s">
        <v>671</v>
      </c>
      <c r="G580" s="146" t="s">
        <v>672</v>
      </c>
      <c r="H580" s="148">
        <v>2.74</v>
      </c>
      <c r="I580" s="146" t="s">
        <v>673</v>
      </c>
      <c r="J580" s="149">
        <v>1</v>
      </c>
      <c r="K580" s="150">
        <v>2021</v>
      </c>
      <c r="L580" s="201" t="s">
        <v>682</v>
      </c>
      <c r="M580" s="201" t="s">
        <v>2310</v>
      </c>
      <c r="N580" s="202">
        <v>748282429</v>
      </c>
      <c r="O580" s="203"/>
      <c r="P580" s="204" t="s">
        <v>676</v>
      </c>
      <c r="Q580" s="204"/>
      <c r="R580" s="155">
        <v>6</v>
      </c>
      <c r="S580" s="168"/>
      <c r="T580" s="168"/>
      <c r="U580" s="146"/>
      <c r="V580" s="146"/>
      <c r="W580" s="146"/>
      <c r="X580" s="156">
        <v>0</v>
      </c>
      <c r="Y580" s="156">
        <v>0</v>
      </c>
      <c r="Z580" s="157" t="s">
        <v>2160</v>
      </c>
      <c r="AA580" s="158">
        <v>2021</v>
      </c>
      <c r="AB580" s="158">
        <v>7</v>
      </c>
      <c r="AC580" s="158">
        <v>31</v>
      </c>
      <c r="AD580" s="122" t="b">
        <f>IF(ISBLANK(GroupMember[[#This Row],[1. Identifiant interne d’exploitation agricole*]]),"",IF(ISERROR(MATCH(GroupMember[[#This Row],[1. Identifiant interne d’exploitation agricole*]],CertifiedCrop[1. Identifiant interne d’exploitation agricole*],0)),FALSE,TRUE))</f>
        <v>1</v>
      </c>
      <c r="AE580" s="122" t="b">
        <f>IF(ISBLANK(GroupMember[[#This Row],[1. Identifiant interne d’exploitation agricole*]]),"",IF(ISERROR(MATCH(GroupMember[[#This Row],[1. Identifiant interne d’exploitation agricole*]],FarmUnit[1. Identifiant interne d’exploitation agricole*],0)),FALSE,TRUE))</f>
        <v>1</v>
      </c>
      <c r="AF580" s="9" t="str">
        <f t="shared" si="27"/>
        <v>SANGARE  ZOUMANA</v>
      </c>
      <c r="AG580" s="243" t="str">
        <f t="shared" si="28"/>
        <v>31/7/2021</v>
      </c>
      <c r="AH580" s="51">
        <f>COUNTIFS(Z:Z,Z580,AG:AG,AG580)</f>
        <v>5</v>
      </c>
      <c r="AI580" s="49">
        <f t="shared" si="29"/>
        <v>0</v>
      </c>
    </row>
    <row r="581" spans="1:35" ht="15" x14ac:dyDescent="0.2">
      <c r="A581" s="193" t="s">
        <v>2311</v>
      </c>
      <c r="B581" s="146" t="s">
        <v>668</v>
      </c>
      <c r="C581" s="193" t="s">
        <v>2311</v>
      </c>
      <c r="D581" s="200" t="s">
        <v>2146</v>
      </c>
      <c r="E581" s="146" t="s">
        <v>670</v>
      </c>
      <c r="F581" s="146" t="s">
        <v>671</v>
      </c>
      <c r="G581" s="146" t="s">
        <v>672</v>
      </c>
      <c r="H581" s="148">
        <v>0.95</v>
      </c>
      <c r="I581" s="146" t="s">
        <v>673</v>
      </c>
      <c r="J581" s="149">
        <v>1</v>
      </c>
      <c r="K581" s="150">
        <v>2021</v>
      </c>
      <c r="L581" s="201" t="s">
        <v>682</v>
      </c>
      <c r="M581" s="201" t="s">
        <v>1379</v>
      </c>
      <c r="N581" s="202"/>
      <c r="O581" s="203"/>
      <c r="P581" s="204" t="s">
        <v>676</v>
      </c>
      <c r="Q581" s="204"/>
      <c r="R581" s="155">
        <v>6</v>
      </c>
      <c r="S581" s="168"/>
      <c r="T581" s="168"/>
      <c r="U581" s="146"/>
      <c r="V581" s="146"/>
      <c r="W581" s="146"/>
      <c r="X581" s="156">
        <v>0</v>
      </c>
      <c r="Y581" s="156">
        <v>0</v>
      </c>
      <c r="Z581" s="157" t="s">
        <v>2160</v>
      </c>
      <c r="AA581" s="158">
        <v>2021</v>
      </c>
      <c r="AB581" s="158">
        <v>8</v>
      </c>
      <c r="AC581" s="158">
        <v>4</v>
      </c>
      <c r="AD581" s="122" t="b">
        <f>IF(ISBLANK(GroupMember[[#This Row],[1. Identifiant interne d’exploitation agricole*]]),"",IF(ISERROR(MATCH(GroupMember[[#This Row],[1. Identifiant interne d’exploitation agricole*]],CertifiedCrop[1. Identifiant interne d’exploitation agricole*],0)),FALSE,TRUE))</f>
        <v>1</v>
      </c>
      <c r="AE581" s="122" t="b">
        <f>IF(ISBLANK(GroupMember[[#This Row],[1. Identifiant interne d’exploitation agricole*]]),"",IF(ISERROR(MATCH(GroupMember[[#This Row],[1. Identifiant interne d’exploitation agricole*]],FarmUnit[1. Identifiant interne d’exploitation agricole*],0)),FALSE,TRUE))</f>
        <v>1</v>
      </c>
      <c r="AF581" s="9" t="str">
        <f t="shared" si="27"/>
        <v>SANGARE  ALI</v>
      </c>
      <c r="AG581" s="243" t="str">
        <f t="shared" si="28"/>
        <v>4/8/2021</v>
      </c>
      <c r="AH581" s="51">
        <f>COUNTIFS(Z:Z,Z581,AG:AG,AG581)</f>
        <v>4</v>
      </c>
      <c r="AI581" s="49">
        <f t="shared" si="29"/>
        <v>0</v>
      </c>
    </row>
    <row r="582" spans="1:35" ht="15" x14ac:dyDescent="0.2">
      <c r="A582" s="193" t="s">
        <v>2312</v>
      </c>
      <c r="B582" s="146" t="s">
        <v>668</v>
      </c>
      <c r="C582" s="193" t="s">
        <v>2312</v>
      </c>
      <c r="D582" s="200" t="s">
        <v>2146</v>
      </c>
      <c r="E582" s="146" t="s">
        <v>670</v>
      </c>
      <c r="F582" s="146" t="s">
        <v>671</v>
      </c>
      <c r="G582" s="146" t="s">
        <v>672</v>
      </c>
      <c r="H582" s="148">
        <v>0.59</v>
      </c>
      <c r="I582" s="146" t="s">
        <v>673</v>
      </c>
      <c r="J582" s="149">
        <v>1</v>
      </c>
      <c r="K582" s="150">
        <v>2021</v>
      </c>
      <c r="L582" s="201" t="s">
        <v>2313</v>
      </c>
      <c r="M582" s="201" t="s">
        <v>2314</v>
      </c>
      <c r="N582" s="202"/>
      <c r="O582" s="203"/>
      <c r="P582" s="204" t="s">
        <v>676</v>
      </c>
      <c r="Q582" s="204"/>
      <c r="R582" s="155">
        <v>8</v>
      </c>
      <c r="S582" s="168"/>
      <c r="T582" s="168"/>
      <c r="U582" s="146"/>
      <c r="V582" s="146"/>
      <c r="W582" s="146"/>
      <c r="X582" s="156">
        <v>0</v>
      </c>
      <c r="Y582" s="156">
        <v>0</v>
      </c>
      <c r="Z582" s="157" t="s">
        <v>2160</v>
      </c>
      <c r="AA582" s="158">
        <v>2021</v>
      </c>
      <c r="AB582" s="158">
        <v>8</v>
      </c>
      <c r="AC582" s="158">
        <v>6</v>
      </c>
      <c r="AD582" s="122" t="b">
        <f>IF(ISBLANK(GroupMember[[#This Row],[1. Identifiant interne d’exploitation agricole*]]),"",IF(ISERROR(MATCH(GroupMember[[#This Row],[1. Identifiant interne d’exploitation agricole*]],CertifiedCrop[1. Identifiant interne d’exploitation agricole*],0)),FALSE,TRUE))</f>
        <v>1</v>
      </c>
      <c r="AE582" s="122" t="b">
        <f>IF(ISBLANK(GroupMember[[#This Row],[1. Identifiant interne d’exploitation agricole*]]),"",IF(ISERROR(MATCH(GroupMember[[#This Row],[1. Identifiant interne d’exploitation agricole*]],FarmUnit[1. Identifiant interne d’exploitation agricole*],0)),FALSE,TRUE))</f>
        <v>1</v>
      </c>
      <c r="AF582" s="9" t="str">
        <f t="shared" si="27"/>
        <v>SISSO  BAH EMMA</v>
      </c>
      <c r="AG582" s="243" t="str">
        <f t="shared" si="28"/>
        <v>6/8/2021</v>
      </c>
      <c r="AH582" s="51">
        <f>COUNTIFS(Z:Z,Z582,AG:AG,AG582)</f>
        <v>4</v>
      </c>
      <c r="AI582" s="49">
        <f t="shared" si="29"/>
        <v>0</v>
      </c>
    </row>
    <row r="583" spans="1:35" ht="15" x14ac:dyDescent="0.2">
      <c r="A583" s="193" t="s">
        <v>2315</v>
      </c>
      <c r="B583" s="146" t="s">
        <v>668</v>
      </c>
      <c r="C583" s="193" t="s">
        <v>2315</v>
      </c>
      <c r="D583" s="200" t="s">
        <v>2146</v>
      </c>
      <c r="E583" s="146" t="s">
        <v>670</v>
      </c>
      <c r="F583" s="146" t="s">
        <v>671</v>
      </c>
      <c r="G583" s="146" t="s">
        <v>672</v>
      </c>
      <c r="H583" s="148">
        <v>1.1299999999999999</v>
      </c>
      <c r="I583" s="146" t="s">
        <v>673</v>
      </c>
      <c r="J583" s="149">
        <v>1</v>
      </c>
      <c r="K583" s="150">
        <v>2021</v>
      </c>
      <c r="L583" s="201" t="s">
        <v>1358</v>
      </c>
      <c r="M583" s="201" t="s">
        <v>956</v>
      </c>
      <c r="N583" s="202">
        <v>747342285</v>
      </c>
      <c r="O583" s="203"/>
      <c r="P583" s="204" t="s">
        <v>676</v>
      </c>
      <c r="Q583" s="204"/>
      <c r="R583" s="155">
        <v>6</v>
      </c>
      <c r="S583" s="168"/>
      <c r="T583" s="168"/>
      <c r="U583" s="146"/>
      <c r="V583" s="146"/>
      <c r="W583" s="146"/>
      <c r="X583" s="156">
        <v>0</v>
      </c>
      <c r="Y583" s="156">
        <v>0</v>
      </c>
      <c r="Z583" s="157" t="s">
        <v>2160</v>
      </c>
      <c r="AA583" s="158">
        <v>2021</v>
      </c>
      <c r="AB583" s="158">
        <v>7</v>
      </c>
      <c r="AC583" s="158">
        <v>31</v>
      </c>
      <c r="AD583" s="122" t="b">
        <f>IF(ISBLANK(GroupMember[[#This Row],[1. Identifiant interne d’exploitation agricole*]]),"",IF(ISERROR(MATCH(GroupMember[[#This Row],[1. Identifiant interne d’exploitation agricole*]],CertifiedCrop[1. Identifiant interne d’exploitation agricole*],0)),FALSE,TRUE))</f>
        <v>1</v>
      </c>
      <c r="AE583" s="122" t="b">
        <f>IF(ISBLANK(GroupMember[[#This Row],[1. Identifiant interne d’exploitation agricole*]]),"",IF(ISERROR(MATCH(GroupMember[[#This Row],[1. Identifiant interne d’exploitation agricole*]],FarmUnit[1. Identifiant interne d’exploitation agricole*],0)),FALSE,TRUE))</f>
        <v>1</v>
      </c>
      <c r="AF583" s="9" t="str">
        <f t="shared" si="27"/>
        <v>SIDIBE  SEYDOU</v>
      </c>
      <c r="AG583" s="243" t="str">
        <f t="shared" si="28"/>
        <v>31/7/2021</v>
      </c>
      <c r="AH583" s="51">
        <f>COUNTIFS(Z:Z,Z583,AG:AG,AG583)</f>
        <v>5</v>
      </c>
      <c r="AI583" s="49">
        <f t="shared" si="29"/>
        <v>0</v>
      </c>
    </row>
    <row r="584" spans="1:35" ht="15" x14ac:dyDescent="0.2">
      <c r="A584" s="193" t="s">
        <v>2316</v>
      </c>
      <c r="B584" s="146" t="s">
        <v>668</v>
      </c>
      <c r="C584" s="193" t="s">
        <v>2316</v>
      </c>
      <c r="D584" s="200" t="s">
        <v>2146</v>
      </c>
      <c r="E584" s="146" t="s">
        <v>670</v>
      </c>
      <c r="F584" s="146" t="s">
        <v>671</v>
      </c>
      <c r="G584" s="146" t="s">
        <v>672</v>
      </c>
      <c r="H584" s="148">
        <v>0.85</v>
      </c>
      <c r="I584" s="146" t="s">
        <v>673</v>
      </c>
      <c r="J584" s="149">
        <v>1</v>
      </c>
      <c r="K584" s="150">
        <v>2021</v>
      </c>
      <c r="L584" s="201" t="s">
        <v>2317</v>
      </c>
      <c r="M584" s="201" t="s">
        <v>1436</v>
      </c>
      <c r="N584" s="202">
        <v>504188460</v>
      </c>
      <c r="O584" s="203"/>
      <c r="P584" s="204" t="s">
        <v>676</v>
      </c>
      <c r="Q584" s="204"/>
      <c r="R584" s="155">
        <v>6</v>
      </c>
      <c r="S584" s="168"/>
      <c r="T584" s="168"/>
      <c r="U584" s="146"/>
      <c r="V584" s="146"/>
      <c r="W584" s="146"/>
      <c r="X584" s="156">
        <v>0</v>
      </c>
      <c r="Y584" s="156">
        <v>0</v>
      </c>
      <c r="Z584" s="157" t="s">
        <v>2160</v>
      </c>
      <c r="AA584" s="158">
        <v>2021</v>
      </c>
      <c r="AB584" s="158">
        <v>8</v>
      </c>
      <c r="AC584" s="158">
        <v>4</v>
      </c>
      <c r="AD584" s="122" t="b">
        <f>IF(ISBLANK(GroupMember[[#This Row],[1. Identifiant interne d’exploitation agricole*]]),"",IF(ISERROR(MATCH(GroupMember[[#This Row],[1. Identifiant interne d’exploitation agricole*]],CertifiedCrop[1. Identifiant interne d’exploitation agricole*],0)),FALSE,TRUE))</f>
        <v>1</v>
      </c>
      <c r="AE584" s="122" t="b">
        <f>IF(ISBLANK(GroupMember[[#This Row],[1. Identifiant interne d’exploitation agricole*]]),"",IF(ISERROR(MATCH(GroupMember[[#This Row],[1. Identifiant interne d’exploitation agricole*]],FarmUnit[1. Identifiant interne d’exploitation agricole*],0)),FALSE,TRUE))</f>
        <v>1</v>
      </c>
      <c r="AF584" s="9" t="str">
        <f t="shared" si="27"/>
        <v>TAO CHARLES</v>
      </c>
      <c r="AG584" s="243" t="str">
        <f t="shared" si="28"/>
        <v>4/8/2021</v>
      </c>
      <c r="AH584" s="51">
        <f>COUNTIFS(Z:Z,Z584,AG:AG,AG584)</f>
        <v>4</v>
      </c>
      <c r="AI584" s="49">
        <f t="shared" si="29"/>
        <v>0</v>
      </c>
    </row>
    <row r="585" spans="1:35" ht="15" x14ac:dyDescent="0.2">
      <c r="A585" s="193" t="s">
        <v>2318</v>
      </c>
      <c r="B585" s="146" t="s">
        <v>668</v>
      </c>
      <c r="C585" s="193" t="s">
        <v>2318</v>
      </c>
      <c r="D585" s="200" t="s">
        <v>2146</v>
      </c>
      <c r="E585" s="146" t="s">
        <v>670</v>
      </c>
      <c r="F585" s="146" t="s">
        <v>671</v>
      </c>
      <c r="G585" s="146" t="s">
        <v>672</v>
      </c>
      <c r="H585" s="148">
        <v>4.22</v>
      </c>
      <c r="I585" s="146" t="s">
        <v>673</v>
      </c>
      <c r="J585" s="149">
        <v>2</v>
      </c>
      <c r="K585" s="150">
        <v>2021</v>
      </c>
      <c r="L585" s="201" t="s">
        <v>765</v>
      </c>
      <c r="M585" s="201" t="s">
        <v>2319</v>
      </c>
      <c r="N585" s="202">
        <v>768624630</v>
      </c>
      <c r="O585" s="203"/>
      <c r="P585" s="204" t="s">
        <v>676</v>
      </c>
      <c r="Q585" s="204"/>
      <c r="R585" s="155">
        <v>5</v>
      </c>
      <c r="S585" s="168"/>
      <c r="T585" s="168"/>
      <c r="U585" s="146"/>
      <c r="V585" s="146"/>
      <c r="W585" s="146"/>
      <c r="X585" s="156">
        <v>0</v>
      </c>
      <c r="Y585" s="156">
        <v>0</v>
      </c>
      <c r="Z585" s="157" t="s">
        <v>2160</v>
      </c>
      <c r="AA585" s="158">
        <v>2021</v>
      </c>
      <c r="AB585" s="158">
        <v>8</v>
      </c>
      <c r="AC585" s="158">
        <v>6</v>
      </c>
      <c r="AD585" s="122" t="b">
        <f>IF(ISBLANK(GroupMember[[#This Row],[1. Identifiant interne d’exploitation agricole*]]),"",IF(ISERROR(MATCH(GroupMember[[#This Row],[1. Identifiant interne d’exploitation agricole*]],CertifiedCrop[1. Identifiant interne d’exploitation agricole*],0)),FALSE,TRUE))</f>
        <v>1</v>
      </c>
      <c r="AE585" s="122" t="b">
        <f>IF(ISBLANK(GroupMember[[#This Row],[1. Identifiant interne d’exploitation agricole*]]),"",IF(ISERROR(MATCH(GroupMember[[#This Row],[1. Identifiant interne d’exploitation agricole*]],FarmUnit[1. Identifiant interne d’exploitation agricole*],0)),FALSE,TRUE))</f>
        <v>1</v>
      </c>
      <c r="AF585" s="9" t="str">
        <f t="shared" si="27"/>
        <v xml:space="preserve">KONE  SIAKA </v>
      </c>
      <c r="AG585" s="243" t="str">
        <f t="shared" si="28"/>
        <v>6/8/2021</v>
      </c>
      <c r="AH585" s="51">
        <f>COUNTIFS(Z:Z,Z585,AG:AG,AG585)</f>
        <v>4</v>
      </c>
      <c r="AI585" s="49">
        <f t="shared" si="29"/>
        <v>0</v>
      </c>
    </row>
    <row r="586" spans="1:35" ht="15" x14ac:dyDescent="0.2">
      <c r="A586" s="193" t="s">
        <v>2320</v>
      </c>
      <c r="B586" s="146" t="s">
        <v>668</v>
      </c>
      <c r="C586" s="193" t="s">
        <v>2320</v>
      </c>
      <c r="D586" s="200" t="s">
        <v>2146</v>
      </c>
      <c r="E586" s="146" t="s">
        <v>670</v>
      </c>
      <c r="F586" s="146" t="s">
        <v>671</v>
      </c>
      <c r="G586" s="146" t="s">
        <v>672</v>
      </c>
      <c r="H586" s="148">
        <v>2.6</v>
      </c>
      <c r="I586" s="146" t="s">
        <v>673</v>
      </c>
      <c r="J586" s="149">
        <v>1</v>
      </c>
      <c r="K586" s="150">
        <v>2021</v>
      </c>
      <c r="L586" s="201" t="s">
        <v>765</v>
      </c>
      <c r="M586" s="201" t="s">
        <v>2321</v>
      </c>
      <c r="N586" s="202">
        <v>747575981</v>
      </c>
      <c r="O586" s="203"/>
      <c r="P586" s="204" t="s">
        <v>676</v>
      </c>
      <c r="Q586" s="204"/>
      <c r="R586" s="155">
        <v>4</v>
      </c>
      <c r="S586" s="168"/>
      <c r="T586" s="168"/>
      <c r="U586" s="146"/>
      <c r="V586" s="146"/>
      <c r="W586" s="146"/>
      <c r="X586" s="156">
        <v>0</v>
      </c>
      <c r="Y586" s="156">
        <v>0</v>
      </c>
      <c r="Z586" s="157" t="s">
        <v>2160</v>
      </c>
      <c r="AA586" s="158">
        <v>2021</v>
      </c>
      <c r="AB586" s="158">
        <v>7</v>
      </c>
      <c r="AC586" s="158">
        <v>31</v>
      </c>
      <c r="AD586" s="122" t="b">
        <f>IF(ISBLANK(GroupMember[[#This Row],[1. Identifiant interne d’exploitation agricole*]]),"",IF(ISERROR(MATCH(GroupMember[[#This Row],[1. Identifiant interne d’exploitation agricole*]],CertifiedCrop[1. Identifiant interne d’exploitation agricole*],0)),FALSE,TRUE))</f>
        <v>1</v>
      </c>
      <c r="AE586" s="122" t="b">
        <f>IF(ISBLANK(GroupMember[[#This Row],[1. Identifiant interne d’exploitation agricole*]]),"",IF(ISERROR(MATCH(GroupMember[[#This Row],[1. Identifiant interne d’exploitation agricole*]],FarmUnit[1. Identifiant interne d’exploitation agricole*],0)),FALSE,TRUE))</f>
        <v>1</v>
      </c>
      <c r="AF586" s="9" t="str">
        <f t="shared" si="27"/>
        <v>KONE DRISSA 2</v>
      </c>
      <c r="AG586" s="243" t="str">
        <f t="shared" si="28"/>
        <v>31/7/2021</v>
      </c>
      <c r="AH586" s="51">
        <f>COUNTIFS(Z:Z,Z586,AG:AG,AG586)</f>
        <v>5</v>
      </c>
      <c r="AI586" s="49">
        <f t="shared" si="29"/>
        <v>0</v>
      </c>
    </row>
    <row r="587" spans="1:35" ht="15" x14ac:dyDescent="0.2">
      <c r="A587" s="193" t="s">
        <v>2322</v>
      </c>
      <c r="B587" s="146" t="s">
        <v>668</v>
      </c>
      <c r="C587" s="193" t="s">
        <v>2322</v>
      </c>
      <c r="D587" s="200" t="s">
        <v>2146</v>
      </c>
      <c r="E587" s="146" t="s">
        <v>670</v>
      </c>
      <c r="F587" s="146" t="s">
        <v>671</v>
      </c>
      <c r="G587" s="146" t="s">
        <v>672</v>
      </c>
      <c r="H587" s="148">
        <v>1.33</v>
      </c>
      <c r="I587" s="146" t="s">
        <v>673</v>
      </c>
      <c r="J587" s="149">
        <v>1</v>
      </c>
      <c r="K587" s="150">
        <v>2021</v>
      </c>
      <c r="L587" s="201" t="s">
        <v>828</v>
      </c>
      <c r="M587" s="201" t="s">
        <v>1011</v>
      </c>
      <c r="N587" s="202">
        <v>758453711</v>
      </c>
      <c r="O587" s="203"/>
      <c r="P587" s="204" t="s">
        <v>676</v>
      </c>
      <c r="Q587" s="204"/>
      <c r="R587" s="208">
        <v>13</v>
      </c>
      <c r="S587" s="168"/>
      <c r="T587" s="168"/>
      <c r="U587" s="146"/>
      <c r="V587" s="146"/>
      <c r="W587" s="146"/>
      <c r="X587" s="156">
        <v>0</v>
      </c>
      <c r="Y587" s="156">
        <v>0</v>
      </c>
      <c r="Z587" s="157" t="s">
        <v>2160</v>
      </c>
      <c r="AA587" s="158">
        <v>2021</v>
      </c>
      <c r="AB587" s="158">
        <v>7</v>
      </c>
      <c r="AC587" s="158">
        <v>5</v>
      </c>
      <c r="AD587" s="122" t="b">
        <f>IF(ISBLANK(GroupMember[[#This Row],[1. Identifiant interne d’exploitation agricole*]]),"",IF(ISERROR(MATCH(GroupMember[[#This Row],[1. Identifiant interne d’exploitation agricole*]],CertifiedCrop[1. Identifiant interne d’exploitation agricole*],0)),FALSE,TRUE))</f>
        <v>1</v>
      </c>
      <c r="AE587" s="122" t="b">
        <f>IF(ISBLANK(GroupMember[[#This Row],[1. Identifiant interne d’exploitation agricole*]]),"",IF(ISERROR(MATCH(GroupMember[[#This Row],[1. Identifiant interne d’exploitation agricole*]],FarmUnit[1. Identifiant interne d’exploitation agricole*],0)),FALSE,TRUE))</f>
        <v>1</v>
      </c>
      <c r="AF587" s="9" t="str">
        <f t="shared" si="27"/>
        <v>KONATE  YOUSSOUF</v>
      </c>
      <c r="AG587" s="243" t="str">
        <f t="shared" si="28"/>
        <v>5/7/2021</v>
      </c>
      <c r="AH587" s="51">
        <f>COUNTIFS(Z:Z,Z587,AG:AG,AG587)</f>
        <v>4</v>
      </c>
      <c r="AI587" s="49">
        <f t="shared" si="29"/>
        <v>0</v>
      </c>
    </row>
    <row r="588" spans="1:35" ht="15" x14ac:dyDescent="0.2">
      <c r="A588" s="193" t="s">
        <v>2323</v>
      </c>
      <c r="B588" s="146" t="s">
        <v>668</v>
      </c>
      <c r="C588" s="193" t="s">
        <v>2323</v>
      </c>
      <c r="D588" s="200" t="s">
        <v>2146</v>
      </c>
      <c r="E588" s="146" t="s">
        <v>670</v>
      </c>
      <c r="F588" s="146" t="s">
        <v>671</v>
      </c>
      <c r="G588" s="146" t="s">
        <v>672</v>
      </c>
      <c r="H588" s="148">
        <v>4.88</v>
      </c>
      <c r="I588" s="146" t="s">
        <v>673</v>
      </c>
      <c r="J588" s="149">
        <v>2</v>
      </c>
      <c r="K588" s="150">
        <v>2021</v>
      </c>
      <c r="L588" s="201" t="s">
        <v>765</v>
      </c>
      <c r="M588" s="201" t="s">
        <v>2236</v>
      </c>
      <c r="N588" s="202">
        <v>749037380</v>
      </c>
      <c r="O588" s="203"/>
      <c r="P588" s="204" t="s">
        <v>676</v>
      </c>
      <c r="Q588" s="204"/>
      <c r="R588" s="208">
        <v>5</v>
      </c>
      <c r="S588" s="168"/>
      <c r="T588" s="168"/>
      <c r="U588" s="146"/>
      <c r="V588" s="146"/>
      <c r="W588" s="146"/>
      <c r="X588" s="156">
        <v>0</v>
      </c>
      <c r="Y588" s="156">
        <v>0</v>
      </c>
      <c r="Z588" s="157" t="s">
        <v>2160</v>
      </c>
      <c r="AA588" s="158">
        <v>2021</v>
      </c>
      <c r="AB588" s="158">
        <v>7</v>
      </c>
      <c r="AC588" s="158">
        <v>2</v>
      </c>
      <c r="AD588" s="122" t="b">
        <f>IF(ISBLANK(GroupMember[[#This Row],[1. Identifiant interne d’exploitation agricole*]]),"",IF(ISERROR(MATCH(GroupMember[[#This Row],[1. Identifiant interne d’exploitation agricole*]],CertifiedCrop[1. Identifiant interne d’exploitation agricole*],0)),FALSE,TRUE))</f>
        <v>1</v>
      </c>
      <c r="AE588" s="122" t="b">
        <f>IF(ISBLANK(GroupMember[[#This Row],[1. Identifiant interne d’exploitation agricole*]]),"",IF(ISERROR(MATCH(GroupMember[[#This Row],[1. Identifiant interne d’exploitation agricole*]],FarmUnit[1. Identifiant interne d’exploitation agricole*],0)),FALSE,TRUE))</f>
        <v>1</v>
      </c>
      <c r="AF588" s="9" t="str">
        <f t="shared" si="27"/>
        <v>KONE BRAHIMA</v>
      </c>
      <c r="AG588" s="243" t="str">
        <f t="shared" si="28"/>
        <v>2/7/2021</v>
      </c>
      <c r="AH588" s="51">
        <f>COUNTIFS(Z:Z,Z588,AG:AG,AG588)</f>
        <v>4</v>
      </c>
      <c r="AI588" s="49">
        <f t="shared" si="29"/>
        <v>0</v>
      </c>
    </row>
    <row r="589" spans="1:35" ht="15" x14ac:dyDescent="0.2">
      <c r="A589" s="193" t="s">
        <v>2324</v>
      </c>
      <c r="B589" s="146" t="s">
        <v>668</v>
      </c>
      <c r="C589" s="193" t="s">
        <v>2324</v>
      </c>
      <c r="D589" s="200" t="s">
        <v>2146</v>
      </c>
      <c r="E589" s="146" t="s">
        <v>670</v>
      </c>
      <c r="F589" s="146" t="s">
        <v>671</v>
      </c>
      <c r="G589" s="146" t="s">
        <v>672</v>
      </c>
      <c r="H589" s="148">
        <v>2.2799999999999998</v>
      </c>
      <c r="I589" s="146" t="s">
        <v>673</v>
      </c>
      <c r="J589" s="149">
        <v>1</v>
      </c>
      <c r="K589" s="150">
        <v>2021</v>
      </c>
      <c r="L589" s="201" t="s">
        <v>765</v>
      </c>
      <c r="M589" s="201" t="s">
        <v>2325</v>
      </c>
      <c r="N589" s="202">
        <v>749007919</v>
      </c>
      <c r="O589" s="203"/>
      <c r="P589" s="204" t="s">
        <v>676</v>
      </c>
      <c r="Q589" s="204"/>
      <c r="R589" s="208">
        <v>6</v>
      </c>
      <c r="S589" s="168"/>
      <c r="T589" s="168"/>
      <c r="U589" s="146"/>
      <c r="V589" s="146"/>
      <c r="W589" s="146"/>
      <c r="X589" s="156">
        <v>0</v>
      </c>
      <c r="Y589" s="156">
        <v>0</v>
      </c>
      <c r="Z589" s="157" t="s">
        <v>2160</v>
      </c>
      <c r="AA589" s="158">
        <v>2021</v>
      </c>
      <c r="AB589" s="158">
        <v>7</v>
      </c>
      <c r="AC589" s="158">
        <v>15</v>
      </c>
      <c r="AD589" s="122" t="b">
        <f>IF(ISBLANK(GroupMember[[#This Row],[1. Identifiant interne d’exploitation agricole*]]),"",IF(ISERROR(MATCH(GroupMember[[#This Row],[1. Identifiant interne d’exploitation agricole*]],CertifiedCrop[1. Identifiant interne d’exploitation agricole*],0)),FALSE,TRUE))</f>
        <v>1</v>
      </c>
      <c r="AE589" s="122" t="b">
        <f>IF(ISBLANK(GroupMember[[#This Row],[1. Identifiant interne d’exploitation agricole*]]),"",IF(ISERROR(MATCH(GroupMember[[#This Row],[1. Identifiant interne d’exploitation agricole*]],FarmUnit[1. Identifiant interne d’exploitation agricole*],0)),FALSE,TRUE))</f>
        <v>1</v>
      </c>
      <c r="AF589" s="9" t="str">
        <f t="shared" si="27"/>
        <v>KONE  BOULAYE</v>
      </c>
      <c r="AG589" s="243" t="str">
        <f t="shared" si="28"/>
        <v>15/7/2021</v>
      </c>
      <c r="AH589" s="51">
        <f>COUNTIFS(Z:Z,Z589,AG:AG,AG589)</f>
        <v>4</v>
      </c>
      <c r="AI589" s="49">
        <f t="shared" si="29"/>
        <v>0</v>
      </c>
    </row>
    <row r="590" spans="1:35" ht="15" x14ac:dyDescent="0.2">
      <c r="A590" s="193" t="s">
        <v>2326</v>
      </c>
      <c r="B590" s="146" t="s">
        <v>668</v>
      </c>
      <c r="C590" s="193" t="s">
        <v>2326</v>
      </c>
      <c r="D590" s="200" t="s">
        <v>2146</v>
      </c>
      <c r="E590" s="146" t="s">
        <v>670</v>
      </c>
      <c r="F590" s="146" t="s">
        <v>671</v>
      </c>
      <c r="G590" s="146" t="s">
        <v>672</v>
      </c>
      <c r="H590" s="148">
        <v>8.1199999999999992</v>
      </c>
      <c r="I590" s="146" t="s">
        <v>673</v>
      </c>
      <c r="J590" s="149">
        <v>1</v>
      </c>
      <c r="K590" s="150">
        <v>2021</v>
      </c>
      <c r="L590" s="201" t="s">
        <v>765</v>
      </c>
      <c r="M590" s="201" t="s">
        <v>1011</v>
      </c>
      <c r="N590" s="202">
        <v>789391068</v>
      </c>
      <c r="O590" s="203"/>
      <c r="P590" s="204" t="s">
        <v>676</v>
      </c>
      <c r="Q590" s="204"/>
      <c r="R590" s="208">
        <v>7</v>
      </c>
      <c r="S590" s="168"/>
      <c r="T590" s="168"/>
      <c r="U590" s="146"/>
      <c r="V590" s="146"/>
      <c r="W590" s="146"/>
      <c r="X590" s="156">
        <v>0</v>
      </c>
      <c r="Y590" s="156">
        <v>0</v>
      </c>
      <c r="Z590" s="157" t="s">
        <v>2160</v>
      </c>
      <c r="AA590" s="158">
        <v>2021</v>
      </c>
      <c r="AB590" s="158">
        <v>8</v>
      </c>
      <c r="AC590" s="158">
        <v>6</v>
      </c>
      <c r="AD590" s="122" t="b">
        <f>IF(ISBLANK(GroupMember[[#This Row],[1. Identifiant interne d’exploitation agricole*]]),"",IF(ISERROR(MATCH(GroupMember[[#This Row],[1. Identifiant interne d’exploitation agricole*]],CertifiedCrop[1. Identifiant interne d’exploitation agricole*],0)),FALSE,TRUE))</f>
        <v>1</v>
      </c>
      <c r="AE590" s="122" t="b">
        <f>IF(ISBLANK(GroupMember[[#This Row],[1. Identifiant interne d’exploitation agricole*]]),"",IF(ISERROR(MATCH(GroupMember[[#This Row],[1. Identifiant interne d’exploitation agricole*]],FarmUnit[1. Identifiant interne d’exploitation agricole*],0)),FALSE,TRUE))</f>
        <v>1</v>
      </c>
      <c r="AF590" s="9" t="str">
        <f t="shared" si="27"/>
        <v>KONE  YOUSSOUF</v>
      </c>
      <c r="AG590" s="243" t="str">
        <f t="shared" si="28"/>
        <v>6/8/2021</v>
      </c>
      <c r="AH590" s="51">
        <f>COUNTIFS(Z:Z,Z590,AG:AG,AG590)</f>
        <v>4</v>
      </c>
      <c r="AI590" s="49">
        <f t="shared" si="29"/>
        <v>0</v>
      </c>
    </row>
    <row r="591" spans="1:35" ht="15" x14ac:dyDescent="0.2">
      <c r="A591" s="193" t="s">
        <v>2327</v>
      </c>
      <c r="B591" s="146" t="s">
        <v>668</v>
      </c>
      <c r="C591" s="193" t="s">
        <v>2327</v>
      </c>
      <c r="D591" s="200" t="s">
        <v>2146</v>
      </c>
      <c r="E591" s="146" t="s">
        <v>670</v>
      </c>
      <c r="F591" s="146" t="s">
        <v>671</v>
      </c>
      <c r="G591" s="146" t="s">
        <v>672</v>
      </c>
      <c r="H591" s="148">
        <v>5.36</v>
      </c>
      <c r="I591" s="146" t="s">
        <v>673</v>
      </c>
      <c r="J591" s="149">
        <v>2</v>
      </c>
      <c r="K591" s="150">
        <v>2021</v>
      </c>
      <c r="L591" s="201" t="s">
        <v>2179</v>
      </c>
      <c r="M591" s="201" t="s">
        <v>2328</v>
      </c>
      <c r="N591" s="202">
        <v>748480447</v>
      </c>
      <c r="O591" s="203"/>
      <c r="P591" s="204" t="s">
        <v>676</v>
      </c>
      <c r="Q591" s="204"/>
      <c r="R591" s="208">
        <v>9</v>
      </c>
      <c r="S591" s="168"/>
      <c r="T591" s="168"/>
      <c r="U591" s="146"/>
      <c r="V591" s="146"/>
      <c r="W591" s="146"/>
      <c r="X591" s="156">
        <v>0</v>
      </c>
      <c r="Y591" s="156">
        <v>0</v>
      </c>
      <c r="Z591" s="157" t="s">
        <v>2160</v>
      </c>
      <c r="AA591" s="158">
        <v>2021</v>
      </c>
      <c r="AB591" s="158">
        <v>8</v>
      </c>
      <c r="AC591" s="158">
        <v>9</v>
      </c>
      <c r="AD591" s="122" t="b">
        <f>IF(ISBLANK(GroupMember[[#This Row],[1. Identifiant interne d’exploitation agricole*]]),"",IF(ISERROR(MATCH(GroupMember[[#This Row],[1. Identifiant interne d’exploitation agricole*]],CertifiedCrop[1. Identifiant interne d’exploitation agricole*],0)),FALSE,TRUE))</f>
        <v>1</v>
      </c>
      <c r="AE591" s="122" t="b">
        <f>IF(ISBLANK(GroupMember[[#This Row],[1. Identifiant interne d’exploitation agricole*]]),"",IF(ISERROR(MATCH(GroupMember[[#This Row],[1. Identifiant interne d’exploitation agricole*]],FarmUnit[1. Identifiant interne d’exploitation agricole*],0)),FALSE,TRUE))</f>
        <v>1</v>
      </c>
      <c r="AF591" s="9" t="str">
        <f t="shared" si="27"/>
        <v>DIALLO DIAKARIDJA</v>
      </c>
      <c r="AG591" s="243" t="str">
        <f t="shared" si="28"/>
        <v>9/8/2021</v>
      </c>
      <c r="AH591" s="51">
        <f>COUNTIFS(Z:Z,Z591,AG:AG,AG591)</f>
        <v>5</v>
      </c>
      <c r="AI591" s="49">
        <f t="shared" si="29"/>
        <v>0</v>
      </c>
    </row>
    <row r="592" spans="1:35" ht="15" x14ac:dyDescent="0.2">
      <c r="A592" s="193" t="s">
        <v>2329</v>
      </c>
      <c r="B592" s="146" t="s">
        <v>668</v>
      </c>
      <c r="C592" s="193" t="s">
        <v>2329</v>
      </c>
      <c r="D592" s="200" t="s">
        <v>2146</v>
      </c>
      <c r="E592" s="146" t="s">
        <v>670</v>
      </c>
      <c r="F592" s="146" t="s">
        <v>671</v>
      </c>
      <c r="G592" s="146" t="s">
        <v>672</v>
      </c>
      <c r="H592" s="148">
        <v>2.2799999999999998</v>
      </c>
      <c r="I592" s="146" t="s">
        <v>673</v>
      </c>
      <c r="J592" s="149">
        <v>1</v>
      </c>
      <c r="K592" s="150">
        <v>2021</v>
      </c>
      <c r="L592" s="201" t="s">
        <v>2179</v>
      </c>
      <c r="M592" s="201" t="s">
        <v>2330</v>
      </c>
      <c r="N592" s="202">
        <v>709422994</v>
      </c>
      <c r="O592" s="203"/>
      <c r="P592" s="204" t="s">
        <v>676</v>
      </c>
      <c r="Q592" s="204"/>
      <c r="R592" s="208">
        <v>12</v>
      </c>
      <c r="S592" s="168"/>
      <c r="T592" s="168"/>
      <c r="U592" s="146"/>
      <c r="V592" s="146"/>
      <c r="W592" s="146"/>
      <c r="X592" s="156">
        <v>0</v>
      </c>
      <c r="Y592" s="156">
        <v>0</v>
      </c>
      <c r="Z592" s="157" t="s">
        <v>2160</v>
      </c>
      <c r="AA592" s="158">
        <v>2021</v>
      </c>
      <c r="AB592" s="158">
        <v>8</v>
      </c>
      <c r="AC592" s="158">
        <v>9</v>
      </c>
      <c r="AD592" s="122" t="b">
        <f>IF(ISBLANK(GroupMember[[#This Row],[1. Identifiant interne d’exploitation agricole*]]),"",IF(ISERROR(MATCH(GroupMember[[#This Row],[1. Identifiant interne d’exploitation agricole*]],CertifiedCrop[1. Identifiant interne d’exploitation agricole*],0)),FALSE,TRUE))</f>
        <v>1</v>
      </c>
      <c r="AE592" s="122" t="b">
        <f>IF(ISBLANK(GroupMember[[#This Row],[1. Identifiant interne d’exploitation agricole*]]),"",IF(ISERROR(MATCH(GroupMember[[#This Row],[1. Identifiant interne d’exploitation agricole*]],FarmUnit[1. Identifiant interne d’exploitation agricole*],0)),FALSE,TRUE))</f>
        <v>1</v>
      </c>
      <c r="AF592" s="9" t="str">
        <f t="shared" si="27"/>
        <v>DIALLO  SAMA</v>
      </c>
      <c r="AG592" s="243" t="str">
        <f t="shared" si="28"/>
        <v>9/8/2021</v>
      </c>
      <c r="AH592" s="51">
        <f>COUNTIFS(Z:Z,Z592,AG:AG,AG592)</f>
        <v>5</v>
      </c>
      <c r="AI592" s="49">
        <f t="shared" si="29"/>
        <v>0</v>
      </c>
    </row>
    <row r="593" spans="1:35" ht="15" x14ac:dyDescent="0.2">
      <c r="A593" s="193" t="s">
        <v>2331</v>
      </c>
      <c r="B593" s="146" t="s">
        <v>668</v>
      </c>
      <c r="C593" s="193" t="s">
        <v>2331</v>
      </c>
      <c r="D593" s="200" t="s">
        <v>2146</v>
      </c>
      <c r="E593" s="146" t="s">
        <v>670</v>
      </c>
      <c r="F593" s="146" t="s">
        <v>671</v>
      </c>
      <c r="G593" s="146" t="s">
        <v>672</v>
      </c>
      <c r="H593" s="148">
        <v>3.46</v>
      </c>
      <c r="I593" s="146" t="s">
        <v>673</v>
      </c>
      <c r="J593" s="149">
        <v>1</v>
      </c>
      <c r="K593" s="150">
        <v>2021</v>
      </c>
      <c r="L593" s="201" t="s">
        <v>1915</v>
      </c>
      <c r="M593" s="201" t="s">
        <v>2332</v>
      </c>
      <c r="N593" s="202">
        <v>777709598</v>
      </c>
      <c r="O593" s="203"/>
      <c r="P593" s="204" t="s">
        <v>676</v>
      </c>
      <c r="Q593" s="204"/>
      <c r="R593" s="208">
        <v>5</v>
      </c>
      <c r="S593" s="168"/>
      <c r="T593" s="168"/>
      <c r="U593" s="146"/>
      <c r="V593" s="146"/>
      <c r="W593" s="146"/>
      <c r="X593" s="156">
        <v>0</v>
      </c>
      <c r="Y593" s="156">
        <v>0</v>
      </c>
      <c r="Z593" s="157" t="s">
        <v>2160</v>
      </c>
      <c r="AA593" s="158">
        <v>2021</v>
      </c>
      <c r="AB593" s="158">
        <v>7</v>
      </c>
      <c r="AC593" s="158">
        <v>7</v>
      </c>
      <c r="AD593" s="122" t="b">
        <f>IF(ISBLANK(GroupMember[[#This Row],[1. Identifiant interne d’exploitation agricole*]]),"",IF(ISERROR(MATCH(GroupMember[[#This Row],[1. Identifiant interne d’exploitation agricole*]],CertifiedCrop[1. Identifiant interne d’exploitation agricole*],0)),FALSE,TRUE))</f>
        <v>1</v>
      </c>
      <c r="AE593" s="122" t="b">
        <f>IF(ISBLANK(GroupMember[[#This Row],[1. Identifiant interne d’exploitation agricole*]]),"",IF(ISERROR(MATCH(GroupMember[[#This Row],[1. Identifiant interne d’exploitation agricole*]],FarmUnit[1. Identifiant interne d’exploitation agricole*],0)),FALSE,TRUE))</f>
        <v>1</v>
      </c>
      <c r="AF593" s="9" t="str">
        <f t="shared" si="27"/>
        <v>DEMBELE BAKARY</v>
      </c>
      <c r="AG593" s="243" t="str">
        <f t="shared" si="28"/>
        <v>7/7/2021</v>
      </c>
      <c r="AH593" s="51">
        <f>COUNTIFS(Z:Z,Z593,AG:AG,AG593)</f>
        <v>4</v>
      </c>
      <c r="AI593" s="49">
        <f t="shared" si="29"/>
        <v>0</v>
      </c>
    </row>
    <row r="594" spans="1:35" ht="15" x14ac:dyDescent="0.2">
      <c r="A594" s="193" t="s">
        <v>2333</v>
      </c>
      <c r="B594" s="146" t="s">
        <v>668</v>
      </c>
      <c r="C594" s="193" t="s">
        <v>2333</v>
      </c>
      <c r="D594" s="200" t="s">
        <v>2146</v>
      </c>
      <c r="E594" s="146" t="s">
        <v>670</v>
      </c>
      <c r="F594" s="146" t="s">
        <v>671</v>
      </c>
      <c r="G594" s="146" t="s">
        <v>672</v>
      </c>
      <c r="H594" s="148">
        <v>2.4300000000000002</v>
      </c>
      <c r="I594" s="146" t="s">
        <v>673</v>
      </c>
      <c r="J594" s="149">
        <v>1</v>
      </c>
      <c r="K594" s="150">
        <v>2021</v>
      </c>
      <c r="L594" s="201" t="s">
        <v>2334</v>
      </c>
      <c r="M594" s="201" t="s">
        <v>712</v>
      </c>
      <c r="N594" s="202">
        <v>77344211</v>
      </c>
      <c r="O594" s="203"/>
      <c r="P594" s="204" t="s">
        <v>676</v>
      </c>
      <c r="Q594" s="204"/>
      <c r="R594" s="208">
        <v>5</v>
      </c>
      <c r="S594" s="168"/>
      <c r="T594" s="168"/>
      <c r="U594" s="146"/>
      <c r="V594" s="146"/>
      <c r="W594" s="146"/>
      <c r="X594" s="156">
        <v>0</v>
      </c>
      <c r="Y594" s="156">
        <v>0</v>
      </c>
      <c r="Z594" s="157" t="s">
        <v>2160</v>
      </c>
      <c r="AA594" s="158">
        <v>2021</v>
      </c>
      <c r="AB594" s="158">
        <v>8</v>
      </c>
      <c r="AC594" s="158">
        <v>6</v>
      </c>
      <c r="AD594" s="122" t="b">
        <f>IF(ISBLANK(GroupMember[[#This Row],[1. Identifiant interne d’exploitation agricole*]]),"",IF(ISERROR(MATCH(GroupMember[[#This Row],[1. Identifiant interne d’exploitation agricole*]],CertifiedCrop[1. Identifiant interne d’exploitation agricole*],0)),FALSE,TRUE))</f>
        <v>1</v>
      </c>
      <c r="AE594" s="122" t="b">
        <f>IF(ISBLANK(GroupMember[[#This Row],[1. Identifiant interne d’exploitation agricole*]]),"",IF(ISERROR(MATCH(GroupMember[[#This Row],[1. Identifiant interne d’exploitation agricole*]],FarmUnit[1. Identifiant interne d’exploitation agricole*],0)),FALSE,TRUE))</f>
        <v>1</v>
      </c>
      <c r="AF594" s="9" t="str">
        <f t="shared" si="27"/>
        <v>NAMONNAN  SIAKA</v>
      </c>
      <c r="AG594" s="243" t="str">
        <f t="shared" si="28"/>
        <v>6/8/2021</v>
      </c>
      <c r="AH594" s="51">
        <f>COUNTIFS(Z:Z,Z594,AG:AG,AG594)</f>
        <v>4</v>
      </c>
      <c r="AI594" s="49">
        <f t="shared" si="29"/>
        <v>0</v>
      </c>
    </row>
    <row r="595" spans="1:35" ht="15" x14ac:dyDescent="0.2">
      <c r="A595" s="193" t="s">
        <v>2335</v>
      </c>
      <c r="B595" s="146" t="s">
        <v>668</v>
      </c>
      <c r="C595" s="193" t="s">
        <v>2335</v>
      </c>
      <c r="D595" s="200" t="s">
        <v>2146</v>
      </c>
      <c r="E595" s="146" t="s">
        <v>670</v>
      </c>
      <c r="F595" s="146" t="s">
        <v>671</v>
      </c>
      <c r="G595" s="146" t="s">
        <v>672</v>
      </c>
      <c r="H595" s="148">
        <v>1.91</v>
      </c>
      <c r="I595" s="146" t="s">
        <v>673</v>
      </c>
      <c r="J595" s="149">
        <v>1</v>
      </c>
      <c r="K595" s="150">
        <v>2021</v>
      </c>
      <c r="L595" s="201" t="s">
        <v>2336</v>
      </c>
      <c r="M595" s="201" t="s">
        <v>2337</v>
      </c>
      <c r="N595" s="202"/>
      <c r="O595" s="203"/>
      <c r="P595" s="204" t="s">
        <v>676</v>
      </c>
      <c r="Q595" s="204"/>
      <c r="R595" s="208">
        <v>7</v>
      </c>
      <c r="S595" s="168"/>
      <c r="T595" s="168"/>
      <c r="U595" s="146"/>
      <c r="V595" s="146"/>
      <c r="W595" s="146"/>
      <c r="X595" s="156">
        <v>0</v>
      </c>
      <c r="Y595" s="156">
        <v>0</v>
      </c>
      <c r="Z595" s="157" t="s">
        <v>2160</v>
      </c>
      <c r="AA595" s="158">
        <v>2021</v>
      </c>
      <c r="AB595" s="158">
        <v>7</v>
      </c>
      <c r="AC595" s="158">
        <v>15</v>
      </c>
      <c r="AD595" s="122" t="b">
        <f>IF(ISBLANK(GroupMember[[#This Row],[1. Identifiant interne d’exploitation agricole*]]),"",IF(ISERROR(MATCH(GroupMember[[#This Row],[1. Identifiant interne d’exploitation agricole*]],CertifiedCrop[1. Identifiant interne d’exploitation agricole*],0)),FALSE,TRUE))</f>
        <v>1</v>
      </c>
      <c r="AE595" s="122" t="b">
        <f>IF(ISBLANK(GroupMember[[#This Row],[1. Identifiant interne d’exploitation agricole*]]),"",IF(ISERROR(MATCH(GroupMember[[#This Row],[1. Identifiant interne d’exploitation agricole*]],FarmUnit[1. Identifiant interne d’exploitation agricole*],0)),FALSE,TRUE))</f>
        <v>1</v>
      </c>
      <c r="AF595" s="9" t="str">
        <f t="shared" si="27"/>
        <v>DAYALA  NAMOUSSA</v>
      </c>
      <c r="AG595" s="243" t="str">
        <f t="shared" si="28"/>
        <v>15/7/2021</v>
      </c>
      <c r="AH595" s="51">
        <f>COUNTIFS(Z:Z,Z595,AG:AG,AG595)</f>
        <v>4</v>
      </c>
      <c r="AI595" s="49">
        <f t="shared" si="29"/>
        <v>0</v>
      </c>
    </row>
    <row r="596" spans="1:35" ht="15" x14ac:dyDescent="0.2">
      <c r="A596" s="193" t="s">
        <v>2338</v>
      </c>
      <c r="B596" s="146" t="s">
        <v>668</v>
      </c>
      <c r="C596" s="193" t="s">
        <v>2338</v>
      </c>
      <c r="D596" s="200" t="s">
        <v>2146</v>
      </c>
      <c r="E596" s="146" t="s">
        <v>670</v>
      </c>
      <c r="F596" s="146" t="s">
        <v>671</v>
      </c>
      <c r="G596" s="146" t="s">
        <v>672</v>
      </c>
      <c r="H596" s="148">
        <v>3.69</v>
      </c>
      <c r="I596" s="146" t="s">
        <v>673</v>
      </c>
      <c r="J596" s="149">
        <v>1</v>
      </c>
      <c r="K596" s="150">
        <v>2021</v>
      </c>
      <c r="L596" s="201" t="s">
        <v>2339</v>
      </c>
      <c r="M596" s="201" t="s">
        <v>1129</v>
      </c>
      <c r="N596" s="202"/>
      <c r="O596" s="203"/>
      <c r="P596" s="204" t="s">
        <v>676</v>
      </c>
      <c r="Q596" s="204"/>
      <c r="R596" s="208">
        <v>10</v>
      </c>
      <c r="S596" s="168"/>
      <c r="T596" s="168"/>
      <c r="U596" s="146"/>
      <c r="V596" s="146"/>
      <c r="W596" s="146"/>
      <c r="X596" s="156">
        <v>0</v>
      </c>
      <c r="Y596" s="156">
        <v>0</v>
      </c>
      <c r="Z596" s="157" t="s">
        <v>2160</v>
      </c>
      <c r="AA596" s="158">
        <v>2021</v>
      </c>
      <c r="AB596" s="158">
        <v>8</v>
      </c>
      <c r="AC596" s="158">
        <v>7</v>
      </c>
      <c r="AD596" s="122" t="b">
        <f>IF(ISBLANK(GroupMember[[#This Row],[1. Identifiant interne d’exploitation agricole*]]),"",IF(ISERROR(MATCH(GroupMember[[#This Row],[1. Identifiant interne d’exploitation agricole*]],CertifiedCrop[1. Identifiant interne d’exploitation agricole*],0)),FALSE,TRUE))</f>
        <v>1</v>
      </c>
      <c r="AE596" s="122" t="b">
        <f>IF(ISBLANK(GroupMember[[#This Row],[1. Identifiant interne d’exploitation agricole*]]),"",IF(ISERROR(MATCH(GroupMember[[#This Row],[1. Identifiant interne d’exploitation agricole*]],FarmUnit[1. Identifiant interne d’exploitation agricole*],0)),FALSE,TRUE))</f>
        <v>1</v>
      </c>
      <c r="AF596" s="9" t="str">
        <f t="shared" si="27"/>
        <v>KIMA  OUSMANE</v>
      </c>
      <c r="AG596" s="243" t="str">
        <f t="shared" si="28"/>
        <v>7/8/2021</v>
      </c>
      <c r="AH596" s="51">
        <f>COUNTIFS(Z:Z,Z596,AG:AG,AG596)</f>
        <v>4</v>
      </c>
      <c r="AI596" s="49">
        <f t="shared" si="29"/>
        <v>0</v>
      </c>
    </row>
    <row r="597" spans="1:35" ht="15" x14ac:dyDescent="0.2">
      <c r="A597" s="193" t="s">
        <v>2340</v>
      </c>
      <c r="B597" s="146" t="s">
        <v>668</v>
      </c>
      <c r="C597" s="193" t="s">
        <v>2340</v>
      </c>
      <c r="D597" s="200" t="s">
        <v>2146</v>
      </c>
      <c r="E597" s="146" t="s">
        <v>670</v>
      </c>
      <c r="F597" s="146" t="s">
        <v>671</v>
      </c>
      <c r="G597" s="146" t="s">
        <v>672</v>
      </c>
      <c r="H597" s="148">
        <v>5.58</v>
      </c>
      <c r="I597" s="146" t="s">
        <v>673</v>
      </c>
      <c r="J597" s="149">
        <v>1</v>
      </c>
      <c r="K597" s="150">
        <v>2021</v>
      </c>
      <c r="L597" s="201" t="s">
        <v>2179</v>
      </c>
      <c r="M597" s="201" t="s">
        <v>2341</v>
      </c>
      <c r="N597" s="202">
        <v>708815317</v>
      </c>
      <c r="O597" s="203"/>
      <c r="P597" s="204" t="s">
        <v>676</v>
      </c>
      <c r="Q597" s="204"/>
      <c r="R597" s="208">
        <v>6</v>
      </c>
      <c r="S597" s="168"/>
      <c r="T597" s="168"/>
      <c r="U597" s="146"/>
      <c r="V597" s="146"/>
      <c r="W597" s="146"/>
      <c r="X597" s="156">
        <v>0</v>
      </c>
      <c r="Y597" s="156">
        <v>0</v>
      </c>
      <c r="Z597" s="157" t="s">
        <v>2160</v>
      </c>
      <c r="AA597" s="158">
        <v>2021</v>
      </c>
      <c r="AB597" s="158">
        <v>7</v>
      </c>
      <c r="AC597" s="158">
        <v>7</v>
      </c>
      <c r="AD597" s="122" t="b">
        <f>IF(ISBLANK(GroupMember[[#This Row],[1. Identifiant interne d’exploitation agricole*]]),"",IF(ISERROR(MATCH(GroupMember[[#This Row],[1. Identifiant interne d’exploitation agricole*]],CertifiedCrop[1. Identifiant interne d’exploitation agricole*],0)),FALSE,TRUE))</f>
        <v>1</v>
      </c>
      <c r="AE597" s="122" t="b">
        <f>IF(ISBLANK(GroupMember[[#This Row],[1. Identifiant interne d’exploitation agricole*]]),"",IF(ISERROR(MATCH(GroupMember[[#This Row],[1. Identifiant interne d’exploitation agricole*]],FarmUnit[1. Identifiant interne d’exploitation agricole*],0)),FALSE,TRUE))</f>
        <v>1</v>
      </c>
      <c r="AF597" s="9" t="str">
        <f t="shared" si="27"/>
        <v>DIALLO  LAMINE 2</v>
      </c>
      <c r="AG597" s="243" t="str">
        <f t="shared" si="28"/>
        <v>7/7/2021</v>
      </c>
      <c r="AH597" s="51">
        <f>COUNTIFS(Z:Z,Z597,AG:AG,AG597)</f>
        <v>4</v>
      </c>
      <c r="AI597" s="49">
        <f t="shared" si="29"/>
        <v>0</v>
      </c>
    </row>
    <row r="598" spans="1:35" ht="15" x14ac:dyDescent="0.2">
      <c r="A598" s="193" t="s">
        <v>2342</v>
      </c>
      <c r="B598" s="146" t="s">
        <v>668</v>
      </c>
      <c r="C598" s="193" t="s">
        <v>2342</v>
      </c>
      <c r="D598" s="200" t="s">
        <v>2146</v>
      </c>
      <c r="E598" s="146" t="s">
        <v>670</v>
      </c>
      <c r="F598" s="146" t="s">
        <v>671</v>
      </c>
      <c r="G598" s="146" t="s">
        <v>672</v>
      </c>
      <c r="H598" s="148">
        <v>3.49</v>
      </c>
      <c r="I598" s="146" t="s">
        <v>673</v>
      </c>
      <c r="J598" s="149">
        <v>1</v>
      </c>
      <c r="K598" s="150">
        <v>2021</v>
      </c>
      <c r="L598" s="201" t="s">
        <v>1915</v>
      </c>
      <c r="M598" s="201" t="s">
        <v>753</v>
      </c>
      <c r="N598" s="202"/>
      <c r="O598" s="203"/>
      <c r="P598" s="204" t="s">
        <v>676</v>
      </c>
      <c r="Q598" s="204"/>
      <c r="R598" s="208">
        <v>6</v>
      </c>
      <c r="S598" s="168"/>
      <c r="T598" s="168"/>
      <c r="U598" s="146"/>
      <c r="V598" s="146"/>
      <c r="W598" s="146"/>
      <c r="X598" s="156">
        <v>0</v>
      </c>
      <c r="Y598" s="156">
        <v>0</v>
      </c>
      <c r="Z598" s="157" t="s">
        <v>2160</v>
      </c>
      <c r="AA598" s="158">
        <v>2021</v>
      </c>
      <c r="AB598" s="158">
        <v>7</v>
      </c>
      <c r="AC598" s="158">
        <v>5</v>
      </c>
      <c r="AD598" s="122" t="b">
        <f>IF(ISBLANK(GroupMember[[#This Row],[1. Identifiant interne d’exploitation agricole*]]),"",IF(ISERROR(MATCH(GroupMember[[#This Row],[1. Identifiant interne d’exploitation agricole*]],CertifiedCrop[1. Identifiant interne d’exploitation agricole*],0)),FALSE,TRUE))</f>
        <v>1</v>
      </c>
      <c r="AE598" s="122" t="b">
        <f>IF(ISBLANK(GroupMember[[#This Row],[1. Identifiant interne d’exploitation agricole*]]),"",IF(ISERROR(MATCH(GroupMember[[#This Row],[1. Identifiant interne d’exploitation agricole*]],FarmUnit[1. Identifiant interne d’exploitation agricole*],0)),FALSE,TRUE))</f>
        <v>1</v>
      </c>
      <c r="AF598" s="9" t="str">
        <f t="shared" si="27"/>
        <v>DEMBELE ADAMA</v>
      </c>
      <c r="AG598" s="243" t="str">
        <f t="shared" si="28"/>
        <v>5/7/2021</v>
      </c>
      <c r="AH598" s="51">
        <f>COUNTIFS(Z:Z,Z598,AG:AG,AG598)</f>
        <v>4</v>
      </c>
      <c r="AI598" s="49">
        <f t="shared" si="29"/>
        <v>0</v>
      </c>
    </row>
    <row r="599" spans="1:35" ht="15" x14ac:dyDescent="0.2">
      <c r="A599" s="193" t="s">
        <v>2343</v>
      </c>
      <c r="B599" s="146" t="s">
        <v>668</v>
      </c>
      <c r="C599" s="193" t="s">
        <v>2343</v>
      </c>
      <c r="D599" s="200" t="s">
        <v>2146</v>
      </c>
      <c r="E599" s="146" t="s">
        <v>670</v>
      </c>
      <c r="F599" s="146" t="s">
        <v>671</v>
      </c>
      <c r="G599" s="146" t="s">
        <v>672</v>
      </c>
      <c r="H599" s="148">
        <v>2.15</v>
      </c>
      <c r="I599" s="146" t="s">
        <v>673</v>
      </c>
      <c r="J599" s="149">
        <v>1</v>
      </c>
      <c r="K599" s="150">
        <v>2021</v>
      </c>
      <c r="L599" s="201" t="s">
        <v>701</v>
      </c>
      <c r="M599" s="201" t="s">
        <v>730</v>
      </c>
      <c r="N599" s="202">
        <v>709817214</v>
      </c>
      <c r="O599" s="203"/>
      <c r="P599" s="204" t="s">
        <v>676</v>
      </c>
      <c r="Q599" s="204"/>
      <c r="R599" s="155">
        <v>6</v>
      </c>
      <c r="S599" s="168"/>
      <c r="T599" s="168"/>
      <c r="U599" s="146"/>
      <c r="V599" s="146"/>
      <c r="W599" s="146"/>
      <c r="X599" s="156">
        <v>0</v>
      </c>
      <c r="Y599" s="156">
        <v>0</v>
      </c>
      <c r="Z599" s="157" t="s">
        <v>2160</v>
      </c>
      <c r="AA599" s="158">
        <v>2021</v>
      </c>
      <c r="AB599" s="158">
        <v>7</v>
      </c>
      <c r="AC599" s="158">
        <v>2</v>
      </c>
      <c r="AD599" s="122" t="b">
        <f>IF(ISBLANK(GroupMember[[#This Row],[1. Identifiant interne d’exploitation agricole*]]),"",IF(ISERROR(MATCH(GroupMember[[#This Row],[1. Identifiant interne d’exploitation agricole*]],CertifiedCrop[1. Identifiant interne d’exploitation agricole*],0)),FALSE,TRUE))</f>
        <v>1</v>
      </c>
      <c r="AE599" s="122" t="b">
        <f>IF(ISBLANK(GroupMember[[#This Row],[1. Identifiant interne d’exploitation agricole*]]),"",IF(ISERROR(MATCH(GroupMember[[#This Row],[1. Identifiant interne d’exploitation agricole*]],FarmUnit[1. Identifiant interne d’exploitation agricole*],0)),FALSE,TRUE))</f>
        <v>1</v>
      </c>
      <c r="AF599" s="9" t="str">
        <f t="shared" si="27"/>
        <v>OUATTARA DAOUDA</v>
      </c>
      <c r="AG599" s="243" t="str">
        <f t="shared" si="28"/>
        <v>2/7/2021</v>
      </c>
      <c r="AH599" s="51">
        <f>COUNTIFS(Z:Z,Z599,AG:AG,AG599)</f>
        <v>4</v>
      </c>
      <c r="AI599" s="49">
        <f t="shared" si="29"/>
        <v>0</v>
      </c>
    </row>
    <row r="600" spans="1:35" ht="15" x14ac:dyDescent="0.2">
      <c r="A600" s="193" t="s">
        <v>2344</v>
      </c>
      <c r="B600" s="146" t="s">
        <v>668</v>
      </c>
      <c r="C600" s="193" t="s">
        <v>2344</v>
      </c>
      <c r="D600" s="200" t="s">
        <v>2146</v>
      </c>
      <c r="E600" s="146" t="s">
        <v>670</v>
      </c>
      <c r="F600" s="146" t="s">
        <v>671</v>
      </c>
      <c r="G600" s="146" t="s">
        <v>672</v>
      </c>
      <c r="H600" s="148">
        <v>2.02</v>
      </c>
      <c r="I600" s="146" t="s">
        <v>673</v>
      </c>
      <c r="J600" s="149">
        <v>1</v>
      </c>
      <c r="K600" s="150">
        <v>2021</v>
      </c>
      <c r="L600" s="201" t="s">
        <v>1915</v>
      </c>
      <c r="M600" s="201" t="s">
        <v>1129</v>
      </c>
      <c r="N600" s="202"/>
      <c r="O600" s="203"/>
      <c r="P600" s="204" t="s">
        <v>676</v>
      </c>
      <c r="Q600" s="204"/>
      <c r="R600" s="155">
        <v>5</v>
      </c>
      <c r="S600" s="168"/>
      <c r="T600" s="168"/>
      <c r="U600" s="146"/>
      <c r="V600" s="146"/>
      <c r="W600" s="146"/>
      <c r="X600" s="156">
        <v>0</v>
      </c>
      <c r="Y600" s="156">
        <v>0</v>
      </c>
      <c r="Z600" s="157" t="s">
        <v>2160</v>
      </c>
      <c r="AA600" s="158">
        <v>2021</v>
      </c>
      <c r="AB600" s="158">
        <v>7</v>
      </c>
      <c r="AC600" s="158">
        <v>8</v>
      </c>
      <c r="AD600" s="122" t="b">
        <f>IF(ISBLANK(GroupMember[[#This Row],[1. Identifiant interne d’exploitation agricole*]]),"",IF(ISERROR(MATCH(GroupMember[[#This Row],[1. Identifiant interne d’exploitation agricole*]],CertifiedCrop[1. Identifiant interne d’exploitation agricole*],0)),FALSE,TRUE))</f>
        <v>1</v>
      </c>
      <c r="AE600" s="122" t="b">
        <f>IF(ISBLANK(GroupMember[[#This Row],[1. Identifiant interne d’exploitation agricole*]]),"",IF(ISERROR(MATCH(GroupMember[[#This Row],[1. Identifiant interne d’exploitation agricole*]],FarmUnit[1. Identifiant interne d’exploitation agricole*],0)),FALSE,TRUE))</f>
        <v>1</v>
      </c>
      <c r="AF600" s="9" t="str">
        <f t="shared" si="27"/>
        <v>DEMBELE  OUSMANE</v>
      </c>
      <c r="AG600" s="243" t="str">
        <f t="shared" si="28"/>
        <v>8/7/2021</v>
      </c>
      <c r="AH600" s="51">
        <f>COUNTIFS(Z:Z,Z600,AG:AG,AG600)</f>
        <v>5</v>
      </c>
      <c r="AI600" s="49">
        <f t="shared" si="29"/>
        <v>0</v>
      </c>
    </row>
    <row r="601" spans="1:35" ht="15" x14ac:dyDescent="0.2">
      <c r="A601" s="193" t="s">
        <v>2345</v>
      </c>
      <c r="B601" s="146" t="s">
        <v>668</v>
      </c>
      <c r="C601" s="193" t="s">
        <v>2345</v>
      </c>
      <c r="D601" s="200" t="s">
        <v>2146</v>
      </c>
      <c r="E601" s="146" t="s">
        <v>670</v>
      </c>
      <c r="F601" s="146" t="s">
        <v>671</v>
      </c>
      <c r="G601" s="146" t="s">
        <v>672</v>
      </c>
      <c r="H601" s="148">
        <v>1.97</v>
      </c>
      <c r="I601" s="146" t="s">
        <v>673</v>
      </c>
      <c r="J601" s="149">
        <v>1</v>
      </c>
      <c r="K601" s="150">
        <v>2021</v>
      </c>
      <c r="L601" s="201" t="s">
        <v>715</v>
      </c>
      <c r="M601" s="201" t="s">
        <v>1766</v>
      </c>
      <c r="N601" s="202">
        <v>574040662</v>
      </c>
      <c r="O601" s="203"/>
      <c r="P601" s="204" t="s">
        <v>676</v>
      </c>
      <c r="Q601" s="204"/>
      <c r="R601" s="155">
        <v>9</v>
      </c>
      <c r="S601" s="168"/>
      <c r="T601" s="168"/>
      <c r="U601" s="146"/>
      <c r="V601" s="146"/>
      <c r="W601" s="146"/>
      <c r="X601" s="156">
        <v>0</v>
      </c>
      <c r="Y601" s="156">
        <v>0</v>
      </c>
      <c r="Z601" s="157" t="s">
        <v>2160</v>
      </c>
      <c r="AA601" s="158">
        <v>2021</v>
      </c>
      <c r="AB601" s="158">
        <v>7</v>
      </c>
      <c r="AC601" s="158">
        <v>15</v>
      </c>
      <c r="AD601" s="122" t="b">
        <f>IF(ISBLANK(GroupMember[[#This Row],[1. Identifiant interne d’exploitation agricole*]]),"",IF(ISERROR(MATCH(GroupMember[[#This Row],[1. Identifiant interne d’exploitation agricole*]],CertifiedCrop[1. Identifiant interne d’exploitation agricole*],0)),FALSE,TRUE))</f>
        <v>1</v>
      </c>
      <c r="AE601" s="122" t="b">
        <f>IF(ISBLANK(GroupMember[[#This Row],[1. Identifiant interne d’exploitation agricole*]]),"",IF(ISERROR(MATCH(GroupMember[[#This Row],[1. Identifiant interne d’exploitation agricole*]],FarmUnit[1. Identifiant interne d’exploitation agricole*],0)),FALSE,TRUE))</f>
        <v>1</v>
      </c>
      <c r="AF601" s="9" t="str">
        <f t="shared" si="27"/>
        <v>TRAORE  IBRAHIM</v>
      </c>
      <c r="AG601" s="243" t="str">
        <f t="shared" si="28"/>
        <v>15/7/2021</v>
      </c>
      <c r="AH601" s="51">
        <f>COUNTIFS(Z:Z,Z601,AG:AG,AG601)</f>
        <v>4</v>
      </c>
      <c r="AI601" s="49">
        <f t="shared" si="29"/>
        <v>0</v>
      </c>
    </row>
    <row r="602" spans="1:35" ht="15" x14ac:dyDescent="0.2">
      <c r="A602" s="193" t="s">
        <v>2346</v>
      </c>
      <c r="B602" s="146" t="s">
        <v>668</v>
      </c>
      <c r="C602" s="193" t="s">
        <v>2346</v>
      </c>
      <c r="D602" s="200" t="s">
        <v>2146</v>
      </c>
      <c r="E602" s="146" t="s">
        <v>670</v>
      </c>
      <c r="F602" s="146" t="s">
        <v>671</v>
      </c>
      <c r="G602" s="146" t="s">
        <v>672</v>
      </c>
      <c r="H602" s="148">
        <v>2.0699999999999998</v>
      </c>
      <c r="I602" s="146" t="s">
        <v>673</v>
      </c>
      <c r="J602" s="149">
        <v>1</v>
      </c>
      <c r="K602" s="150">
        <v>2021</v>
      </c>
      <c r="L602" s="201" t="s">
        <v>765</v>
      </c>
      <c r="M602" s="201" t="s">
        <v>2347</v>
      </c>
      <c r="N602" s="202">
        <v>777447513</v>
      </c>
      <c r="O602" s="203"/>
      <c r="P602" s="204" t="s">
        <v>676</v>
      </c>
      <c r="Q602" s="204"/>
      <c r="R602" s="155">
        <v>5</v>
      </c>
      <c r="S602" s="168"/>
      <c r="T602" s="168"/>
      <c r="U602" s="146"/>
      <c r="V602" s="146"/>
      <c r="W602" s="146"/>
      <c r="X602" s="156">
        <v>0</v>
      </c>
      <c r="Y602" s="156">
        <v>0</v>
      </c>
      <c r="Z602" s="157" t="s">
        <v>2160</v>
      </c>
      <c r="AA602" s="158">
        <v>2021</v>
      </c>
      <c r="AB602" s="158">
        <v>8</v>
      </c>
      <c r="AC602" s="158">
        <v>7</v>
      </c>
      <c r="AD602" s="122" t="b">
        <f>IF(ISBLANK(GroupMember[[#This Row],[1. Identifiant interne d’exploitation agricole*]]),"",IF(ISERROR(MATCH(GroupMember[[#This Row],[1. Identifiant interne d’exploitation agricole*]],CertifiedCrop[1. Identifiant interne d’exploitation agricole*],0)),FALSE,TRUE))</f>
        <v>1</v>
      </c>
      <c r="AE602" s="122" t="b">
        <f>IF(ISBLANK(GroupMember[[#This Row],[1. Identifiant interne d’exploitation agricole*]]),"",IF(ISERROR(MATCH(GroupMember[[#This Row],[1. Identifiant interne d’exploitation agricole*]],FarmUnit[1. Identifiant interne d’exploitation agricole*],0)),FALSE,TRUE))</f>
        <v>1</v>
      </c>
      <c r="AF602" s="9" t="str">
        <f t="shared" si="27"/>
        <v>KONE  AMIDOU</v>
      </c>
      <c r="AG602" s="243" t="str">
        <f t="shared" si="28"/>
        <v>7/8/2021</v>
      </c>
      <c r="AH602" s="51">
        <f>COUNTIFS(Z:Z,Z602,AG:AG,AG602)</f>
        <v>4</v>
      </c>
      <c r="AI602" s="49">
        <f t="shared" si="29"/>
        <v>0</v>
      </c>
    </row>
    <row r="603" spans="1:35" ht="15" x14ac:dyDescent="0.2">
      <c r="A603" s="193" t="s">
        <v>2348</v>
      </c>
      <c r="B603" s="146" t="s">
        <v>668</v>
      </c>
      <c r="C603" s="193" t="s">
        <v>2348</v>
      </c>
      <c r="D603" s="200" t="s">
        <v>2349</v>
      </c>
      <c r="E603" s="146" t="s">
        <v>670</v>
      </c>
      <c r="F603" s="146" t="s">
        <v>671</v>
      </c>
      <c r="G603" s="146" t="s">
        <v>672</v>
      </c>
      <c r="H603" s="148">
        <v>4.54</v>
      </c>
      <c r="I603" s="146" t="s">
        <v>673</v>
      </c>
      <c r="J603" s="149">
        <v>1</v>
      </c>
      <c r="K603" s="150">
        <v>2021</v>
      </c>
      <c r="L603" s="201" t="s">
        <v>2350</v>
      </c>
      <c r="M603" s="201" t="s">
        <v>2351</v>
      </c>
      <c r="N603" s="202">
        <v>778380976</v>
      </c>
      <c r="O603" s="203"/>
      <c r="P603" s="204" t="s">
        <v>676</v>
      </c>
      <c r="Q603" s="204"/>
      <c r="R603" s="155">
        <v>6</v>
      </c>
      <c r="S603" s="168"/>
      <c r="T603" s="168"/>
      <c r="U603" s="146"/>
      <c r="V603" s="146"/>
      <c r="W603" s="146"/>
      <c r="X603" s="156">
        <v>0</v>
      </c>
      <c r="Y603" s="156">
        <v>0</v>
      </c>
      <c r="Z603" s="157" t="s">
        <v>2160</v>
      </c>
      <c r="AA603" s="158">
        <v>2021</v>
      </c>
      <c r="AB603" s="158">
        <v>8</v>
      </c>
      <c r="AC603" s="158">
        <v>5</v>
      </c>
      <c r="AD603" s="122" t="b">
        <f>IF(ISBLANK(GroupMember[[#This Row],[1. Identifiant interne d’exploitation agricole*]]),"",IF(ISERROR(MATCH(GroupMember[[#This Row],[1. Identifiant interne d’exploitation agricole*]],CertifiedCrop[1. Identifiant interne d’exploitation agricole*],0)),FALSE,TRUE))</f>
        <v>1</v>
      </c>
      <c r="AE603" s="122" t="b">
        <f>IF(ISBLANK(GroupMember[[#This Row],[1. Identifiant interne d’exploitation agricole*]]),"",IF(ISERROR(MATCH(GroupMember[[#This Row],[1. Identifiant interne d’exploitation agricole*]],FarmUnit[1. Identifiant interne d’exploitation agricole*],0)),FALSE,TRUE))</f>
        <v>1</v>
      </c>
      <c r="AF603" s="9" t="str">
        <f t="shared" si="27"/>
        <v>NEA ISSIAKA</v>
      </c>
      <c r="AG603" s="243" t="str">
        <f t="shared" si="28"/>
        <v>5/8/2021</v>
      </c>
      <c r="AH603" s="51">
        <f>COUNTIFS(Z:Z,Z603,AG:AG,AG603)</f>
        <v>5</v>
      </c>
      <c r="AI603" s="49">
        <f t="shared" si="29"/>
        <v>0</v>
      </c>
    </row>
    <row r="604" spans="1:35" ht="15" x14ac:dyDescent="0.2">
      <c r="A604" s="193" t="s">
        <v>2352</v>
      </c>
      <c r="B604" s="146" t="s">
        <v>668</v>
      </c>
      <c r="C604" s="193" t="s">
        <v>2352</v>
      </c>
      <c r="D604" s="200" t="s">
        <v>2349</v>
      </c>
      <c r="E604" s="146" t="s">
        <v>670</v>
      </c>
      <c r="F604" s="146" t="s">
        <v>671</v>
      </c>
      <c r="G604" s="146" t="s">
        <v>672</v>
      </c>
      <c r="H604" s="148">
        <v>3.65</v>
      </c>
      <c r="I604" s="146" t="s">
        <v>673</v>
      </c>
      <c r="J604" s="149">
        <v>1</v>
      </c>
      <c r="K604" s="150">
        <v>2021</v>
      </c>
      <c r="L604" s="201" t="s">
        <v>828</v>
      </c>
      <c r="M604" s="201" t="s">
        <v>2166</v>
      </c>
      <c r="N604" s="202">
        <v>779911759</v>
      </c>
      <c r="O604" s="282" t="s">
        <v>3302</v>
      </c>
      <c r="P604" s="204" t="s">
        <v>676</v>
      </c>
      <c r="Q604" s="204">
        <v>1988</v>
      </c>
      <c r="R604" s="155">
        <v>7</v>
      </c>
      <c r="S604" s="168"/>
      <c r="T604" s="168"/>
      <c r="U604" s="146"/>
      <c r="V604" s="146"/>
      <c r="W604" s="146"/>
      <c r="X604" s="156">
        <v>0</v>
      </c>
      <c r="Y604" s="156">
        <v>0</v>
      </c>
      <c r="Z604" s="157" t="s">
        <v>2160</v>
      </c>
      <c r="AA604" s="158">
        <v>2021</v>
      </c>
      <c r="AB604" s="158">
        <v>8</v>
      </c>
      <c r="AC604" s="158">
        <v>9</v>
      </c>
      <c r="AD604" s="122" t="b">
        <f>IF(ISBLANK(GroupMember[[#This Row],[1. Identifiant interne d’exploitation agricole*]]),"",IF(ISERROR(MATCH(GroupMember[[#This Row],[1. Identifiant interne d’exploitation agricole*]],CertifiedCrop[1. Identifiant interne d’exploitation agricole*],0)),FALSE,TRUE))</f>
        <v>1</v>
      </c>
      <c r="AE604" s="122" t="b">
        <f>IF(ISBLANK(GroupMember[[#This Row],[1. Identifiant interne d’exploitation agricole*]]),"",IF(ISERROR(MATCH(GroupMember[[#This Row],[1. Identifiant interne d’exploitation agricole*]],FarmUnit[1. Identifiant interne d’exploitation agricole*],0)),FALSE,TRUE))</f>
        <v>1</v>
      </c>
      <c r="AF604" s="9" t="str">
        <f t="shared" si="27"/>
        <v>KONATE SOUMAILA</v>
      </c>
      <c r="AG604" s="243" t="str">
        <f t="shared" si="28"/>
        <v>9/8/2021</v>
      </c>
      <c r="AH604" s="51">
        <f>COUNTIFS(Z:Z,Z604,AG:AG,AG604)</f>
        <v>5</v>
      </c>
      <c r="AI604" s="49">
        <f t="shared" si="29"/>
        <v>0</v>
      </c>
    </row>
    <row r="605" spans="1:35" ht="15" x14ac:dyDescent="0.2">
      <c r="A605" s="193" t="s">
        <v>2353</v>
      </c>
      <c r="B605" s="146" t="s">
        <v>668</v>
      </c>
      <c r="C605" s="193" t="s">
        <v>2353</v>
      </c>
      <c r="D605" s="200" t="s">
        <v>2349</v>
      </c>
      <c r="E605" s="146" t="s">
        <v>670</v>
      </c>
      <c r="F605" s="146" t="s">
        <v>671</v>
      </c>
      <c r="G605" s="146" t="s">
        <v>672</v>
      </c>
      <c r="H605" s="148">
        <v>2.69</v>
      </c>
      <c r="I605" s="146" t="s">
        <v>673</v>
      </c>
      <c r="J605" s="149">
        <v>1</v>
      </c>
      <c r="K605" s="150">
        <v>2021</v>
      </c>
      <c r="L605" s="201" t="s">
        <v>701</v>
      </c>
      <c r="M605" s="201" t="s">
        <v>2354</v>
      </c>
      <c r="N605" s="202">
        <v>768392873</v>
      </c>
      <c r="O605" s="203"/>
      <c r="P605" s="204" t="s">
        <v>676</v>
      </c>
      <c r="Q605" s="204"/>
      <c r="R605" s="155">
        <v>5</v>
      </c>
      <c r="S605" s="168"/>
      <c r="T605" s="168"/>
      <c r="U605" s="146"/>
      <c r="V605" s="146"/>
      <c r="W605" s="146"/>
      <c r="X605" s="156">
        <v>0</v>
      </c>
      <c r="Y605" s="156">
        <v>0</v>
      </c>
      <c r="Z605" s="157" t="s">
        <v>2160</v>
      </c>
      <c r="AA605" s="158">
        <v>2021</v>
      </c>
      <c r="AB605" s="158">
        <v>8</v>
      </c>
      <c r="AC605" s="158">
        <v>5</v>
      </c>
      <c r="AD605" s="122" t="b">
        <f>IF(ISBLANK(GroupMember[[#This Row],[1. Identifiant interne d’exploitation agricole*]]),"",IF(ISERROR(MATCH(GroupMember[[#This Row],[1. Identifiant interne d’exploitation agricole*]],CertifiedCrop[1. Identifiant interne d’exploitation agricole*],0)),FALSE,TRUE))</f>
        <v>1</v>
      </c>
      <c r="AE605" s="122" t="b">
        <f>IF(ISBLANK(GroupMember[[#This Row],[1. Identifiant interne d’exploitation agricole*]]),"",IF(ISERROR(MATCH(GroupMember[[#This Row],[1. Identifiant interne d’exploitation agricole*]],FarmUnit[1. Identifiant interne d’exploitation agricole*],0)),FALSE,TRUE))</f>
        <v>1</v>
      </c>
      <c r="AF605" s="9" t="str">
        <f t="shared" si="27"/>
        <v>OUATTARA  SIBIRI</v>
      </c>
      <c r="AG605" s="243" t="str">
        <f t="shared" si="28"/>
        <v>5/8/2021</v>
      </c>
      <c r="AH605" s="51">
        <f>COUNTIFS(Z:Z,Z605,AG:AG,AG605)</f>
        <v>5</v>
      </c>
      <c r="AI605" s="49">
        <f t="shared" si="29"/>
        <v>0</v>
      </c>
    </row>
    <row r="606" spans="1:35" ht="15" x14ac:dyDescent="0.2">
      <c r="A606" s="193" t="s">
        <v>2355</v>
      </c>
      <c r="B606" s="146" t="s">
        <v>668</v>
      </c>
      <c r="C606" s="193" t="s">
        <v>2355</v>
      </c>
      <c r="D606" s="200" t="s">
        <v>2349</v>
      </c>
      <c r="E606" s="146" t="s">
        <v>670</v>
      </c>
      <c r="F606" s="146" t="s">
        <v>671</v>
      </c>
      <c r="G606" s="146" t="s">
        <v>672</v>
      </c>
      <c r="H606" s="148">
        <v>3.61</v>
      </c>
      <c r="I606" s="146" t="s">
        <v>673</v>
      </c>
      <c r="J606" s="149">
        <v>1</v>
      </c>
      <c r="K606" s="150">
        <v>2021</v>
      </c>
      <c r="L606" s="201" t="s">
        <v>701</v>
      </c>
      <c r="M606" s="201" t="s">
        <v>2356</v>
      </c>
      <c r="N606" s="202">
        <v>759483311</v>
      </c>
      <c r="O606" s="203"/>
      <c r="P606" s="204" t="s">
        <v>676</v>
      </c>
      <c r="Q606" s="204"/>
      <c r="R606" s="155">
        <v>6</v>
      </c>
      <c r="S606" s="168"/>
      <c r="T606" s="168"/>
      <c r="U606" s="146"/>
      <c r="V606" s="146"/>
      <c r="W606" s="146"/>
      <c r="X606" s="156">
        <v>0</v>
      </c>
      <c r="Y606" s="156">
        <v>0</v>
      </c>
      <c r="Z606" s="157" t="s">
        <v>2160</v>
      </c>
      <c r="AA606" s="158">
        <v>2021</v>
      </c>
      <c r="AB606" s="158">
        <v>8</v>
      </c>
      <c r="AC606" s="158">
        <v>7</v>
      </c>
      <c r="AD606" s="122" t="b">
        <f>IF(ISBLANK(GroupMember[[#This Row],[1. Identifiant interne d’exploitation agricole*]]),"",IF(ISERROR(MATCH(GroupMember[[#This Row],[1. Identifiant interne d’exploitation agricole*]],CertifiedCrop[1. Identifiant interne d’exploitation agricole*],0)),FALSE,TRUE))</f>
        <v>1</v>
      </c>
      <c r="AE606" s="122" t="b">
        <f>IF(ISBLANK(GroupMember[[#This Row],[1. Identifiant interne d’exploitation agricole*]]),"",IF(ISERROR(MATCH(GroupMember[[#This Row],[1. Identifiant interne d’exploitation agricole*]],FarmUnit[1. Identifiant interne d’exploitation agricole*],0)),FALSE,TRUE))</f>
        <v>1</v>
      </c>
      <c r="AF606" s="9" t="str">
        <f t="shared" si="27"/>
        <v>OUATTARA AMIDOU 1</v>
      </c>
      <c r="AG606" s="243" t="str">
        <f t="shared" si="28"/>
        <v>7/8/2021</v>
      </c>
      <c r="AH606" s="51">
        <f>COUNTIFS(Z:Z,Z606,AG:AG,AG606)</f>
        <v>4</v>
      </c>
      <c r="AI606" s="49">
        <f t="shared" si="29"/>
        <v>0</v>
      </c>
    </row>
    <row r="607" spans="1:35" ht="15" x14ac:dyDescent="0.2">
      <c r="A607" s="193" t="s">
        <v>2357</v>
      </c>
      <c r="B607" s="146" t="s">
        <v>668</v>
      </c>
      <c r="C607" s="193" t="s">
        <v>2357</v>
      </c>
      <c r="D607" s="200" t="s">
        <v>2349</v>
      </c>
      <c r="E607" s="146" t="s">
        <v>670</v>
      </c>
      <c r="F607" s="146" t="s">
        <v>671</v>
      </c>
      <c r="G607" s="146" t="s">
        <v>672</v>
      </c>
      <c r="H607" s="148">
        <v>1.81</v>
      </c>
      <c r="I607" s="146" t="s">
        <v>673</v>
      </c>
      <c r="J607" s="149">
        <v>1</v>
      </c>
      <c r="K607" s="150">
        <v>2021</v>
      </c>
      <c r="L607" s="201" t="s">
        <v>701</v>
      </c>
      <c r="M607" s="201" t="s">
        <v>2358</v>
      </c>
      <c r="N607" s="202">
        <v>768397936</v>
      </c>
      <c r="O607" s="203"/>
      <c r="P607" s="204" t="s">
        <v>676</v>
      </c>
      <c r="Q607" s="204"/>
      <c r="R607" s="155">
        <v>6</v>
      </c>
      <c r="S607" s="168"/>
      <c r="T607" s="168"/>
      <c r="U607" s="146"/>
      <c r="V607" s="146"/>
      <c r="W607" s="146"/>
      <c r="X607" s="156">
        <v>0</v>
      </c>
      <c r="Y607" s="156">
        <v>0</v>
      </c>
      <c r="Z607" s="157" t="s">
        <v>2160</v>
      </c>
      <c r="AA607" s="158">
        <v>2021</v>
      </c>
      <c r="AB607" s="158">
        <v>7</v>
      </c>
      <c r="AC607" s="158">
        <v>8</v>
      </c>
      <c r="AD607" s="122" t="b">
        <f>IF(ISBLANK(GroupMember[[#This Row],[1. Identifiant interne d’exploitation agricole*]]),"",IF(ISERROR(MATCH(GroupMember[[#This Row],[1. Identifiant interne d’exploitation agricole*]],CertifiedCrop[1. Identifiant interne d’exploitation agricole*],0)),FALSE,TRUE))</f>
        <v>1</v>
      </c>
      <c r="AE607" s="122" t="b">
        <f>IF(ISBLANK(GroupMember[[#This Row],[1. Identifiant interne d’exploitation agricole*]]),"",IF(ISERROR(MATCH(GroupMember[[#This Row],[1. Identifiant interne d’exploitation agricole*]],FarmUnit[1. Identifiant interne d’exploitation agricole*],0)),FALSE,TRUE))</f>
        <v>1</v>
      </c>
      <c r="AF607" s="9" t="str">
        <f t="shared" si="27"/>
        <v>OUATTARA  BOUGOUZE</v>
      </c>
      <c r="AG607" s="243" t="str">
        <f t="shared" si="28"/>
        <v>8/7/2021</v>
      </c>
      <c r="AH607" s="51">
        <f>COUNTIFS(Z:Z,Z607,AG:AG,AG607)</f>
        <v>5</v>
      </c>
      <c r="AI607" s="49">
        <f t="shared" si="29"/>
        <v>0</v>
      </c>
    </row>
    <row r="608" spans="1:35" ht="15" x14ac:dyDescent="0.2">
      <c r="A608" s="193" t="s">
        <v>2359</v>
      </c>
      <c r="B608" s="146" t="s">
        <v>668</v>
      </c>
      <c r="C608" s="193" t="s">
        <v>2359</v>
      </c>
      <c r="D608" s="200" t="s">
        <v>2349</v>
      </c>
      <c r="E608" s="146" t="s">
        <v>670</v>
      </c>
      <c r="F608" s="146" t="s">
        <v>671</v>
      </c>
      <c r="G608" s="146" t="s">
        <v>672</v>
      </c>
      <c r="H608" s="148">
        <v>2.17</v>
      </c>
      <c r="I608" s="146" t="s">
        <v>673</v>
      </c>
      <c r="J608" s="149">
        <v>1</v>
      </c>
      <c r="K608" s="150">
        <v>2021</v>
      </c>
      <c r="L608" s="201" t="s">
        <v>701</v>
      </c>
      <c r="M608" s="201" t="s">
        <v>1923</v>
      </c>
      <c r="N608" s="202">
        <v>757443843</v>
      </c>
      <c r="O608" s="203"/>
      <c r="P608" s="204" t="s">
        <v>676</v>
      </c>
      <c r="Q608" s="204"/>
      <c r="R608" s="155">
        <v>5</v>
      </c>
      <c r="S608" s="168"/>
      <c r="T608" s="168"/>
      <c r="U608" s="146"/>
      <c r="V608" s="146"/>
      <c r="W608" s="146"/>
      <c r="X608" s="156">
        <v>0</v>
      </c>
      <c r="Y608" s="156">
        <v>0</v>
      </c>
      <c r="Z608" s="157" t="s">
        <v>2160</v>
      </c>
      <c r="AA608" s="158">
        <v>2021</v>
      </c>
      <c r="AB608" s="158">
        <v>7</v>
      </c>
      <c r="AC608" s="158">
        <v>15</v>
      </c>
      <c r="AD608" s="122" t="b">
        <f>IF(ISBLANK(GroupMember[[#This Row],[1. Identifiant interne d’exploitation agricole*]]),"",IF(ISERROR(MATCH(GroupMember[[#This Row],[1. Identifiant interne d’exploitation agricole*]],CertifiedCrop[1. Identifiant interne d’exploitation agricole*],0)),FALSE,TRUE))</f>
        <v>1</v>
      </c>
      <c r="AE608" s="122" t="b">
        <f>IF(ISBLANK(GroupMember[[#This Row],[1. Identifiant interne d’exploitation agricole*]]),"",IF(ISERROR(MATCH(GroupMember[[#This Row],[1. Identifiant interne d’exploitation agricole*]],FarmUnit[1. Identifiant interne d’exploitation agricole*],0)),FALSE,TRUE))</f>
        <v>1</v>
      </c>
      <c r="AF608" s="9" t="str">
        <f t="shared" si="27"/>
        <v>OUATTARA  ALASSANE</v>
      </c>
      <c r="AG608" s="243" t="str">
        <f t="shared" si="28"/>
        <v>15/7/2021</v>
      </c>
      <c r="AH608" s="51">
        <f>COUNTIFS(Z:Z,Z608,AG:AG,AG608)</f>
        <v>4</v>
      </c>
      <c r="AI608" s="49">
        <f t="shared" si="29"/>
        <v>0</v>
      </c>
    </row>
    <row r="609" spans="1:35" ht="15" x14ac:dyDescent="0.2">
      <c r="A609" s="193" t="s">
        <v>2360</v>
      </c>
      <c r="B609" s="146" t="s">
        <v>668</v>
      </c>
      <c r="C609" s="193" t="s">
        <v>2360</v>
      </c>
      <c r="D609" s="200" t="s">
        <v>2349</v>
      </c>
      <c r="E609" s="146" t="s">
        <v>670</v>
      </c>
      <c r="F609" s="146" t="s">
        <v>671</v>
      </c>
      <c r="G609" s="146" t="s">
        <v>672</v>
      </c>
      <c r="H609" s="148">
        <v>3.38</v>
      </c>
      <c r="I609" s="146" t="s">
        <v>673</v>
      </c>
      <c r="J609" s="149">
        <v>1</v>
      </c>
      <c r="K609" s="150">
        <v>2021</v>
      </c>
      <c r="L609" s="201" t="s">
        <v>715</v>
      </c>
      <c r="M609" s="201" t="s">
        <v>2361</v>
      </c>
      <c r="N609" s="202">
        <v>564291184</v>
      </c>
      <c r="O609" s="203"/>
      <c r="P609" s="204" t="s">
        <v>676</v>
      </c>
      <c r="Q609" s="204"/>
      <c r="R609" s="155">
        <v>8</v>
      </c>
      <c r="S609" s="168"/>
      <c r="T609" s="168"/>
      <c r="U609" s="146"/>
      <c r="V609" s="146"/>
      <c r="W609" s="146"/>
      <c r="X609" s="156">
        <v>0</v>
      </c>
      <c r="Y609" s="156">
        <v>0</v>
      </c>
      <c r="Z609" s="157" t="s">
        <v>2160</v>
      </c>
      <c r="AA609" s="158">
        <v>2021</v>
      </c>
      <c r="AB609" s="158">
        <v>8</v>
      </c>
      <c r="AC609" s="158">
        <v>5</v>
      </c>
      <c r="AD609" s="122" t="b">
        <f>IF(ISBLANK(GroupMember[[#This Row],[1. Identifiant interne d’exploitation agricole*]]),"",IF(ISERROR(MATCH(GroupMember[[#This Row],[1. Identifiant interne d’exploitation agricole*]],CertifiedCrop[1. Identifiant interne d’exploitation agricole*],0)),FALSE,TRUE))</f>
        <v>1</v>
      </c>
      <c r="AE609" s="122" t="b">
        <f>IF(ISBLANK(GroupMember[[#This Row],[1. Identifiant interne d’exploitation agricole*]]),"",IF(ISERROR(MATCH(GroupMember[[#This Row],[1. Identifiant interne d’exploitation agricole*]],FarmUnit[1. Identifiant interne d’exploitation agricole*],0)),FALSE,TRUE))</f>
        <v>1</v>
      </c>
      <c r="AF609" s="9" t="str">
        <f t="shared" si="27"/>
        <v>TRAORE  NAVOGO</v>
      </c>
      <c r="AG609" s="243" t="str">
        <f t="shared" si="28"/>
        <v>5/8/2021</v>
      </c>
      <c r="AH609" s="51">
        <f>COUNTIFS(Z:Z,Z609,AG:AG,AG609)</f>
        <v>5</v>
      </c>
      <c r="AI609" s="49">
        <f t="shared" si="29"/>
        <v>0</v>
      </c>
    </row>
    <row r="610" spans="1:35" ht="15" x14ac:dyDescent="0.2">
      <c r="A610" s="193" t="s">
        <v>2362</v>
      </c>
      <c r="B610" s="146" t="s">
        <v>668</v>
      </c>
      <c r="C610" s="193" t="s">
        <v>2362</v>
      </c>
      <c r="D610" s="200" t="s">
        <v>2349</v>
      </c>
      <c r="E610" s="146" t="s">
        <v>670</v>
      </c>
      <c r="F610" s="146" t="s">
        <v>671</v>
      </c>
      <c r="G610" s="146" t="s">
        <v>672</v>
      </c>
      <c r="H610" s="148">
        <v>2.57</v>
      </c>
      <c r="I610" s="146" t="s">
        <v>673</v>
      </c>
      <c r="J610" s="149">
        <v>1</v>
      </c>
      <c r="K610" s="150">
        <v>2021</v>
      </c>
      <c r="L610" s="201" t="s">
        <v>715</v>
      </c>
      <c r="M610" s="201" t="s">
        <v>2363</v>
      </c>
      <c r="N610" s="202">
        <v>566863931</v>
      </c>
      <c r="O610" s="203"/>
      <c r="P610" s="204" t="s">
        <v>676</v>
      </c>
      <c r="Q610" s="204"/>
      <c r="R610" s="155">
        <v>7</v>
      </c>
      <c r="S610" s="168"/>
      <c r="T610" s="168"/>
      <c r="U610" s="146"/>
      <c r="V610" s="146"/>
      <c r="W610" s="146"/>
      <c r="X610" s="156">
        <v>0</v>
      </c>
      <c r="Y610" s="156">
        <v>0</v>
      </c>
      <c r="Z610" s="157" t="s">
        <v>2160</v>
      </c>
      <c r="AA610" s="158">
        <v>2021</v>
      </c>
      <c r="AB610" s="158">
        <v>8</v>
      </c>
      <c r="AC610" s="158">
        <v>9</v>
      </c>
      <c r="AD610" s="122" t="b">
        <f>IF(ISBLANK(GroupMember[[#This Row],[1. Identifiant interne d’exploitation agricole*]]),"",IF(ISERROR(MATCH(GroupMember[[#This Row],[1. Identifiant interne d’exploitation agricole*]],CertifiedCrop[1. Identifiant interne d’exploitation agricole*],0)),FALSE,TRUE))</f>
        <v>1</v>
      </c>
      <c r="AE610" s="122" t="b">
        <f>IF(ISBLANK(GroupMember[[#This Row],[1. Identifiant interne d’exploitation agricole*]]),"",IF(ISERROR(MATCH(GroupMember[[#This Row],[1. Identifiant interne d’exploitation agricole*]],FarmUnit[1. Identifiant interne d’exploitation agricole*],0)),FALSE,TRUE))</f>
        <v>1</v>
      </c>
      <c r="AF610" s="9" t="str">
        <f t="shared" si="27"/>
        <v>TRAORE ISSOUF 1</v>
      </c>
      <c r="AG610" s="243" t="str">
        <f t="shared" si="28"/>
        <v>9/8/2021</v>
      </c>
      <c r="AH610" s="51">
        <f>COUNTIFS(Z:Z,Z610,AG:AG,AG610)</f>
        <v>5</v>
      </c>
      <c r="AI610" s="49">
        <f t="shared" si="29"/>
        <v>0</v>
      </c>
    </row>
    <row r="611" spans="1:35" ht="15" x14ac:dyDescent="0.2">
      <c r="A611" s="193" t="s">
        <v>2364</v>
      </c>
      <c r="B611" s="146" t="s">
        <v>668</v>
      </c>
      <c r="C611" s="193" t="s">
        <v>2364</v>
      </c>
      <c r="D611" s="200" t="s">
        <v>2349</v>
      </c>
      <c r="E611" s="146" t="s">
        <v>670</v>
      </c>
      <c r="F611" s="146" t="s">
        <v>671</v>
      </c>
      <c r="G611" s="146" t="s">
        <v>672</v>
      </c>
      <c r="H611" s="148">
        <v>4.1500000000000004</v>
      </c>
      <c r="I611" s="146" t="s">
        <v>673</v>
      </c>
      <c r="J611" s="149">
        <v>1</v>
      </c>
      <c r="K611" s="150">
        <v>2021</v>
      </c>
      <c r="L611" s="201" t="s">
        <v>939</v>
      </c>
      <c r="M611" s="201" t="s">
        <v>2365</v>
      </c>
      <c r="N611" s="202">
        <v>747937277</v>
      </c>
      <c r="O611" s="281" t="s">
        <v>3301</v>
      </c>
      <c r="P611" s="204" t="s">
        <v>676</v>
      </c>
      <c r="Q611" s="204">
        <v>1984</v>
      </c>
      <c r="R611" s="155">
        <v>4</v>
      </c>
      <c r="S611" s="168"/>
      <c r="T611" s="168"/>
      <c r="U611" s="146"/>
      <c r="V611" s="146"/>
      <c r="W611" s="146"/>
      <c r="X611" s="156">
        <v>0</v>
      </c>
      <c r="Y611" s="156">
        <v>0</v>
      </c>
      <c r="Z611" s="157" t="s">
        <v>2160</v>
      </c>
      <c r="AA611" s="158">
        <v>2021</v>
      </c>
      <c r="AB611" s="158">
        <v>8</v>
      </c>
      <c r="AC611" s="158">
        <v>5</v>
      </c>
      <c r="AD611" s="122" t="b">
        <f>IF(ISBLANK(GroupMember[[#This Row],[1. Identifiant interne d’exploitation agricole*]]),"",IF(ISERROR(MATCH(GroupMember[[#This Row],[1. Identifiant interne d’exploitation agricole*]],CertifiedCrop[1. Identifiant interne d’exploitation agricole*],0)),FALSE,TRUE))</f>
        <v>1</v>
      </c>
      <c r="AE611" s="122" t="b">
        <f>IF(ISBLANK(GroupMember[[#This Row],[1. Identifiant interne d’exploitation agricole*]]),"",IF(ISERROR(MATCH(GroupMember[[#This Row],[1. Identifiant interne d’exploitation agricole*]],FarmUnit[1. Identifiant interne d’exploitation agricole*],0)),FALSE,TRUE))</f>
        <v>1</v>
      </c>
      <c r="AF611" s="9" t="str">
        <f t="shared" si="27"/>
        <v>SANOGO ADJARA</v>
      </c>
      <c r="AG611" s="243" t="str">
        <f t="shared" si="28"/>
        <v>5/8/2021</v>
      </c>
      <c r="AH611" s="51">
        <f>COUNTIFS(Z:Z,Z611,AG:AG,AG611)</f>
        <v>5</v>
      </c>
      <c r="AI611" s="49">
        <f t="shared" si="29"/>
        <v>0</v>
      </c>
    </row>
    <row r="612" spans="1:35" ht="15" x14ac:dyDescent="0.2">
      <c r="A612" s="193" t="s">
        <v>2366</v>
      </c>
      <c r="B612" s="146" t="s">
        <v>668</v>
      </c>
      <c r="C612" s="193" t="s">
        <v>2366</v>
      </c>
      <c r="D612" s="200" t="s">
        <v>2349</v>
      </c>
      <c r="E612" s="146" t="s">
        <v>670</v>
      </c>
      <c r="F612" s="146" t="s">
        <v>671</v>
      </c>
      <c r="G612" s="146" t="s">
        <v>672</v>
      </c>
      <c r="H612" s="148">
        <v>2.08</v>
      </c>
      <c r="I612" s="146" t="s">
        <v>673</v>
      </c>
      <c r="J612" s="149">
        <v>1</v>
      </c>
      <c r="K612" s="150">
        <v>2021</v>
      </c>
      <c r="L612" s="201" t="s">
        <v>715</v>
      </c>
      <c r="M612" s="201" t="s">
        <v>1373</v>
      </c>
      <c r="N612" s="202"/>
      <c r="O612" s="203"/>
      <c r="P612" s="204" t="s">
        <v>676</v>
      </c>
      <c r="Q612" s="204"/>
      <c r="R612" s="155">
        <v>6</v>
      </c>
      <c r="S612" s="168"/>
      <c r="T612" s="168"/>
      <c r="U612" s="146"/>
      <c r="V612" s="146"/>
      <c r="W612" s="146"/>
      <c r="X612" s="156">
        <v>0</v>
      </c>
      <c r="Y612" s="156">
        <v>0</v>
      </c>
      <c r="Z612" s="157" t="s">
        <v>2160</v>
      </c>
      <c r="AA612" s="158">
        <v>2021</v>
      </c>
      <c r="AB612" s="158">
        <v>8</v>
      </c>
      <c r="AC612" s="158">
        <v>7</v>
      </c>
      <c r="AD612" s="122" t="b">
        <f>IF(ISBLANK(GroupMember[[#This Row],[1. Identifiant interne d’exploitation agricole*]]),"",IF(ISERROR(MATCH(GroupMember[[#This Row],[1. Identifiant interne d’exploitation agricole*]],CertifiedCrop[1. Identifiant interne d’exploitation agricole*],0)),FALSE,TRUE))</f>
        <v>1</v>
      </c>
      <c r="AE612" s="122" t="b">
        <f>IF(ISBLANK(GroupMember[[#This Row],[1. Identifiant interne d’exploitation agricole*]]),"",IF(ISERROR(MATCH(GroupMember[[#This Row],[1. Identifiant interne d’exploitation agricole*]],FarmUnit[1. Identifiant interne d’exploitation agricole*],0)),FALSE,TRUE))</f>
        <v>1</v>
      </c>
      <c r="AF612" s="9" t="str">
        <f t="shared" si="27"/>
        <v>TRAORE  LASSINA</v>
      </c>
      <c r="AG612" s="243" t="str">
        <f t="shared" si="28"/>
        <v>7/8/2021</v>
      </c>
      <c r="AH612" s="51">
        <f>COUNTIFS(Z:Z,Z612,AG:AG,AG612)</f>
        <v>4</v>
      </c>
      <c r="AI612" s="49">
        <f t="shared" si="29"/>
        <v>0</v>
      </c>
    </row>
    <row r="613" spans="1:35" ht="15" x14ac:dyDescent="0.2">
      <c r="A613" s="193" t="s">
        <v>2367</v>
      </c>
      <c r="B613" s="146" t="s">
        <v>668</v>
      </c>
      <c r="C613" s="193" t="s">
        <v>2367</v>
      </c>
      <c r="D613" s="200" t="s">
        <v>2349</v>
      </c>
      <c r="E613" s="146" t="s">
        <v>670</v>
      </c>
      <c r="F613" s="146" t="s">
        <v>671</v>
      </c>
      <c r="G613" s="146" t="s">
        <v>672</v>
      </c>
      <c r="H613" s="148">
        <v>3</v>
      </c>
      <c r="I613" s="146" t="s">
        <v>673</v>
      </c>
      <c r="J613" s="149">
        <v>1</v>
      </c>
      <c r="K613" s="150">
        <v>2021</v>
      </c>
      <c r="L613" s="201" t="s">
        <v>2368</v>
      </c>
      <c r="M613" s="201" t="s">
        <v>2369</v>
      </c>
      <c r="N613" s="202">
        <v>747478261</v>
      </c>
      <c r="O613" s="280" t="s">
        <v>3300</v>
      </c>
      <c r="P613" s="204" t="s">
        <v>676</v>
      </c>
      <c r="Q613" s="204">
        <v>1974</v>
      </c>
      <c r="R613" s="155">
        <v>5</v>
      </c>
      <c r="S613" s="168"/>
      <c r="T613" s="168"/>
      <c r="U613" s="146"/>
      <c r="V613" s="146"/>
      <c r="W613" s="146"/>
      <c r="X613" s="156">
        <v>0</v>
      </c>
      <c r="Y613" s="156">
        <v>0</v>
      </c>
      <c r="Z613" s="157" t="s">
        <v>2160</v>
      </c>
      <c r="AA613" s="158">
        <v>2021</v>
      </c>
      <c r="AB613" s="158">
        <v>8</v>
      </c>
      <c r="AC613" s="158">
        <v>5</v>
      </c>
      <c r="AD613" s="122" t="b">
        <f>IF(ISBLANK(GroupMember[[#This Row],[1. Identifiant interne d’exploitation agricole*]]),"",IF(ISERROR(MATCH(GroupMember[[#This Row],[1. Identifiant interne d’exploitation agricole*]],CertifiedCrop[1. Identifiant interne d’exploitation agricole*],0)),FALSE,TRUE))</f>
        <v>1</v>
      </c>
      <c r="AE613" s="122" t="b">
        <f>IF(ISBLANK(GroupMember[[#This Row],[1. Identifiant interne d’exploitation agricole*]]),"",IF(ISERROR(MATCH(GroupMember[[#This Row],[1. Identifiant interne d’exploitation agricole*]],FarmUnit[1. Identifiant interne d’exploitation agricole*],0)),FALSE,TRUE))</f>
        <v>1</v>
      </c>
      <c r="AF613" s="9" t="str">
        <f t="shared" si="27"/>
        <v>RIBOU  GEREMIE</v>
      </c>
      <c r="AG613" s="243" t="str">
        <f t="shared" si="28"/>
        <v>5/8/2021</v>
      </c>
      <c r="AH613" s="51">
        <f>COUNTIFS(Z:Z,Z613,AG:AG,AG613)</f>
        <v>5</v>
      </c>
      <c r="AI613" s="49">
        <f t="shared" si="29"/>
        <v>0</v>
      </c>
    </row>
    <row r="614" spans="1:35" ht="15" x14ac:dyDescent="0.2">
      <c r="A614" s="193" t="s">
        <v>2370</v>
      </c>
      <c r="B614" s="146" t="s">
        <v>668</v>
      </c>
      <c r="C614" s="193" t="s">
        <v>2370</v>
      </c>
      <c r="D614" s="200" t="s">
        <v>2349</v>
      </c>
      <c r="E614" s="146" t="s">
        <v>670</v>
      </c>
      <c r="F614" s="146" t="s">
        <v>671</v>
      </c>
      <c r="G614" s="146" t="s">
        <v>672</v>
      </c>
      <c r="H614" s="148">
        <v>5.19</v>
      </c>
      <c r="I614" s="146" t="s">
        <v>673</v>
      </c>
      <c r="J614" s="149">
        <v>1</v>
      </c>
      <c r="K614" s="150">
        <v>2021</v>
      </c>
      <c r="L614" s="201" t="s">
        <v>2371</v>
      </c>
      <c r="M614" s="201" t="s">
        <v>2372</v>
      </c>
      <c r="N614" s="202">
        <v>554922883</v>
      </c>
      <c r="O614" s="280" t="s">
        <v>3299</v>
      </c>
      <c r="P614" s="204" t="s">
        <v>676</v>
      </c>
      <c r="Q614" s="204">
        <v>1984</v>
      </c>
      <c r="R614" s="155">
        <v>8</v>
      </c>
      <c r="S614" s="168"/>
      <c r="T614" s="168"/>
      <c r="U614" s="146"/>
      <c r="V614" s="146"/>
      <c r="W614" s="146"/>
      <c r="X614" s="156">
        <v>0</v>
      </c>
      <c r="Y614" s="156">
        <v>0</v>
      </c>
      <c r="Z614" s="157" t="s">
        <v>2160</v>
      </c>
      <c r="AA614" s="158">
        <v>2021</v>
      </c>
      <c r="AB614" s="158">
        <v>8</v>
      </c>
      <c r="AC614" s="158">
        <v>10</v>
      </c>
      <c r="AD614" s="122" t="b">
        <f>IF(ISBLANK(GroupMember[[#This Row],[1. Identifiant interne d’exploitation agricole*]]),"",IF(ISERROR(MATCH(GroupMember[[#This Row],[1. Identifiant interne d’exploitation agricole*]],CertifiedCrop[1. Identifiant interne d’exploitation agricole*],0)),FALSE,TRUE))</f>
        <v>1</v>
      </c>
      <c r="AE614" s="122" t="b">
        <f>IF(ISBLANK(GroupMember[[#This Row],[1. Identifiant interne d’exploitation agricole*]]),"",IF(ISERROR(MATCH(GroupMember[[#This Row],[1. Identifiant interne d’exploitation agricole*]],FarmUnit[1. Identifiant interne d’exploitation agricole*],0)),FALSE,TRUE))</f>
        <v>1</v>
      </c>
      <c r="AF614" s="9" t="str">
        <f t="shared" si="27"/>
        <v>TIENDREBIOGO DIEUDONNE</v>
      </c>
      <c r="AG614" s="243" t="str">
        <f t="shared" si="28"/>
        <v>10/8/2021</v>
      </c>
      <c r="AH614" s="51">
        <f>COUNTIFS(Z:Z,Z614,AG:AG,AG614)</f>
        <v>4</v>
      </c>
      <c r="AI614" s="49">
        <f t="shared" si="29"/>
        <v>0</v>
      </c>
    </row>
    <row r="615" spans="1:35" ht="15" x14ac:dyDescent="0.2">
      <c r="A615" s="193" t="s">
        <v>2373</v>
      </c>
      <c r="B615" s="146" t="s">
        <v>668</v>
      </c>
      <c r="C615" s="193" t="s">
        <v>2373</v>
      </c>
      <c r="D615" s="200" t="s">
        <v>669</v>
      </c>
      <c r="E615" s="146" t="s">
        <v>670</v>
      </c>
      <c r="F615" s="146" t="s">
        <v>671</v>
      </c>
      <c r="G615" s="146" t="s">
        <v>672</v>
      </c>
      <c r="H615" s="148">
        <v>2.5</v>
      </c>
      <c r="I615" s="146" t="s">
        <v>673</v>
      </c>
      <c r="J615" s="149">
        <v>1</v>
      </c>
      <c r="K615" s="150">
        <v>2021</v>
      </c>
      <c r="L615" s="201" t="s">
        <v>1319</v>
      </c>
      <c r="M615" s="201" t="s">
        <v>2374</v>
      </c>
      <c r="N615" s="202">
        <v>767408303</v>
      </c>
      <c r="O615" s="203"/>
      <c r="P615" s="204" t="s">
        <v>676</v>
      </c>
      <c r="Q615" s="204"/>
      <c r="R615" s="155">
        <v>7</v>
      </c>
      <c r="S615" s="168"/>
      <c r="T615" s="168"/>
      <c r="U615" s="146"/>
      <c r="V615" s="146"/>
      <c r="W615" s="146"/>
      <c r="X615" s="156">
        <v>0</v>
      </c>
      <c r="Y615" s="156">
        <v>0</v>
      </c>
      <c r="Z615" s="157" t="s">
        <v>2160</v>
      </c>
      <c r="AA615" s="158">
        <v>2021</v>
      </c>
      <c r="AB615" s="158">
        <v>8</v>
      </c>
      <c r="AC615" s="158">
        <v>16</v>
      </c>
      <c r="AD615" s="122" t="b">
        <f>IF(ISBLANK(GroupMember[[#This Row],[1. Identifiant interne d’exploitation agricole*]]),"",IF(ISERROR(MATCH(GroupMember[[#This Row],[1. Identifiant interne d’exploitation agricole*]],CertifiedCrop[1. Identifiant interne d’exploitation agricole*],0)),FALSE,TRUE))</f>
        <v>1</v>
      </c>
      <c r="AE615" s="122" t="b">
        <f>IF(ISBLANK(GroupMember[[#This Row],[1. Identifiant interne d’exploitation agricole*]]),"",IF(ISERROR(MATCH(GroupMember[[#This Row],[1. Identifiant interne d’exploitation agricole*]],FarmUnit[1. Identifiant interne d’exploitation agricole*],0)),FALSE,TRUE))</f>
        <v>1</v>
      </c>
      <c r="AF615" s="9" t="str">
        <f t="shared" si="27"/>
        <v>ZIDA  ABDOULAYE</v>
      </c>
      <c r="AG615" s="243" t="str">
        <f t="shared" si="28"/>
        <v>16/8/2021</v>
      </c>
      <c r="AH615" s="51">
        <f>COUNTIFS(Z:Z,Z615,AG:AG,AG615)</f>
        <v>3</v>
      </c>
      <c r="AI615" s="49">
        <f t="shared" si="29"/>
        <v>0</v>
      </c>
    </row>
    <row r="616" spans="1:35" ht="15" x14ac:dyDescent="0.2">
      <c r="A616" s="193" t="s">
        <v>2375</v>
      </c>
      <c r="B616" s="146" t="s">
        <v>668</v>
      </c>
      <c r="C616" s="193" t="s">
        <v>2375</v>
      </c>
      <c r="D616" s="200" t="s">
        <v>669</v>
      </c>
      <c r="E616" s="146" t="s">
        <v>670</v>
      </c>
      <c r="F616" s="146" t="s">
        <v>671</v>
      </c>
      <c r="G616" s="146" t="s">
        <v>672</v>
      </c>
      <c r="H616" s="148">
        <v>8.25</v>
      </c>
      <c r="I616" s="146" t="s">
        <v>673</v>
      </c>
      <c r="J616" s="149">
        <v>1</v>
      </c>
      <c r="K616" s="150">
        <v>2021</v>
      </c>
      <c r="L616" s="201" t="s">
        <v>2151</v>
      </c>
      <c r="M616" s="201" t="s">
        <v>2376</v>
      </c>
      <c r="N616" s="202">
        <v>789598566</v>
      </c>
      <c r="O616" s="203"/>
      <c r="P616" s="204" t="s">
        <v>676</v>
      </c>
      <c r="Q616" s="204"/>
      <c r="R616" s="155">
        <v>7</v>
      </c>
      <c r="S616" s="168"/>
      <c r="T616" s="168"/>
      <c r="U616" s="146"/>
      <c r="V616" s="146"/>
      <c r="W616" s="146"/>
      <c r="X616" s="156">
        <v>0</v>
      </c>
      <c r="Y616" s="156">
        <v>0</v>
      </c>
      <c r="Z616" s="157" t="s">
        <v>2160</v>
      </c>
      <c r="AA616" s="158">
        <v>2021</v>
      </c>
      <c r="AB616" s="158">
        <v>8</v>
      </c>
      <c r="AC616" s="158">
        <v>13</v>
      </c>
      <c r="AD616" s="122" t="b">
        <f>IF(ISBLANK(GroupMember[[#This Row],[1. Identifiant interne d’exploitation agricole*]]),"",IF(ISERROR(MATCH(GroupMember[[#This Row],[1. Identifiant interne d’exploitation agricole*]],CertifiedCrop[1. Identifiant interne d’exploitation agricole*],0)),FALSE,TRUE))</f>
        <v>1</v>
      </c>
      <c r="AE616" s="122" t="b">
        <f>IF(ISBLANK(GroupMember[[#This Row],[1. Identifiant interne d’exploitation agricole*]]),"",IF(ISERROR(MATCH(GroupMember[[#This Row],[1. Identifiant interne d’exploitation agricole*]],FarmUnit[1. Identifiant interne d’exploitation agricole*],0)),FALSE,TRUE))</f>
        <v>1</v>
      </c>
      <c r="AF616" s="9" t="str">
        <f t="shared" si="27"/>
        <v>DIARRA  NIAMA</v>
      </c>
      <c r="AG616" s="243" t="str">
        <f t="shared" si="28"/>
        <v>13/8/2021</v>
      </c>
      <c r="AH616" s="51">
        <f>COUNTIFS(Z:Z,Z616,AG:AG,AG616)</f>
        <v>4</v>
      </c>
      <c r="AI616" s="49">
        <f t="shared" si="29"/>
        <v>0</v>
      </c>
    </row>
    <row r="617" spans="1:35" ht="15" x14ac:dyDescent="0.2">
      <c r="A617" s="193" t="s">
        <v>2377</v>
      </c>
      <c r="B617" s="146" t="s">
        <v>668</v>
      </c>
      <c r="C617" s="193" t="s">
        <v>2377</v>
      </c>
      <c r="D617" s="200" t="s">
        <v>669</v>
      </c>
      <c r="E617" s="146" t="s">
        <v>670</v>
      </c>
      <c r="F617" s="146" t="s">
        <v>671</v>
      </c>
      <c r="G617" s="146" t="s">
        <v>672</v>
      </c>
      <c r="H617" s="148">
        <v>1.33</v>
      </c>
      <c r="I617" s="146" t="s">
        <v>673</v>
      </c>
      <c r="J617" s="149">
        <v>1</v>
      </c>
      <c r="K617" s="150">
        <v>2021</v>
      </c>
      <c r="L617" s="201" t="s">
        <v>2378</v>
      </c>
      <c r="M617" s="201" t="s">
        <v>2379</v>
      </c>
      <c r="N617" s="202"/>
      <c r="O617" s="203"/>
      <c r="P617" s="204" t="s">
        <v>676</v>
      </c>
      <c r="Q617" s="204"/>
      <c r="R617" s="155">
        <v>8</v>
      </c>
      <c r="S617" s="168"/>
      <c r="T617" s="168"/>
      <c r="U617" s="146"/>
      <c r="V617" s="146"/>
      <c r="W617" s="146"/>
      <c r="X617" s="156">
        <v>0</v>
      </c>
      <c r="Y617" s="156">
        <v>0</v>
      </c>
      <c r="Z617" s="157" t="s">
        <v>2160</v>
      </c>
      <c r="AA617" s="158">
        <v>2021</v>
      </c>
      <c r="AB617" s="158">
        <v>8</v>
      </c>
      <c r="AC617" s="158">
        <v>11</v>
      </c>
      <c r="AD617" s="122" t="b">
        <f>IF(ISBLANK(GroupMember[[#This Row],[1. Identifiant interne d’exploitation agricole*]]),"",IF(ISERROR(MATCH(GroupMember[[#This Row],[1. Identifiant interne d’exploitation agricole*]],CertifiedCrop[1. Identifiant interne d’exploitation agricole*],0)),FALSE,TRUE))</f>
        <v>1</v>
      </c>
      <c r="AE617" s="122" t="b">
        <f>IF(ISBLANK(GroupMember[[#This Row],[1. Identifiant interne d’exploitation agricole*]]),"",IF(ISERROR(MATCH(GroupMember[[#This Row],[1. Identifiant interne d’exploitation agricole*]],FarmUnit[1. Identifiant interne d’exploitation agricole*],0)),FALSE,TRUE))</f>
        <v>1</v>
      </c>
      <c r="AF617" s="9" t="str">
        <f t="shared" si="27"/>
        <v>TANIEU THIMOTEE</v>
      </c>
      <c r="AG617" s="243" t="str">
        <f t="shared" si="28"/>
        <v>11/8/2021</v>
      </c>
      <c r="AH617" s="51">
        <f>COUNTIFS(Z:Z,Z617,AG:AG,AG617)</f>
        <v>4</v>
      </c>
      <c r="AI617" s="49">
        <f t="shared" si="29"/>
        <v>0</v>
      </c>
    </row>
    <row r="618" spans="1:35" ht="15" x14ac:dyDescent="0.2">
      <c r="A618" s="193" t="s">
        <v>2380</v>
      </c>
      <c r="B618" s="146" t="s">
        <v>668</v>
      </c>
      <c r="C618" s="193" t="s">
        <v>2380</v>
      </c>
      <c r="D618" s="200" t="s">
        <v>669</v>
      </c>
      <c r="E618" s="146" t="s">
        <v>670</v>
      </c>
      <c r="F618" s="146" t="s">
        <v>671</v>
      </c>
      <c r="G618" s="146" t="s">
        <v>672</v>
      </c>
      <c r="H618" s="148">
        <v>2.2000000000000002</v>
      </c>
      <c r="I618" s="146" t="s">
        <v>673</v>
      </c>
      <c r="J618" s="149">
        <v>1</v>
      </c>
      <c r="K618" s="150">
        <v>2021</v>
      </c>
      <c r="L618" s="201" t="s">
        <v>803</v>
      </c>
      <c r="M618" s="201" t="s">
        <v>2381</v>
      </c>
      <c r="N618" s="202"/>
      <c r="O618" s="203"/>
      <c r="P618" s="204" t="s">
        <v>676</v>
      </c>
      <c r="Q618" s="204"/>
      <c r="R618" s="155">
        <v>5</v>
      </c>
      <c r="S618" s="168"/>
      <c r="T618" s="168"/>
      <c r="U618" s="146"/>
      <c r="V618" s="146"/>
      <c r="W618" s="146"/>
      <c r="X618" s="156">
        <v>0</v>
      </c>
      <c r="Y618" s="156">
        <v>0</v>
      </c>
      <c r="Z618" s="157" t="s">
        <v>2160</v>
      </c>
      <c r="AA618" s="158">
        <v>2021</v>
      </c>
      <c r="AB618" s="158">
        <v>8</v>
      </c>
      <c r="AC618" s="158">
        <v>16</v>
      </c>
      <c r="AD618" s="122" t="b">
        <f>IF(ISBLANK(GroupMember[[#This Row],[1. Identifiant interne d’exploitation agricole*]]),"",IF(ISERROR(MATCH(GroupMember[[#This Row],[1. Identifiant interne d’exploitation agricole*]],CertifiedCrop[1. Identifiant interne d’exploitation agricole*],0)),FALSE,TRUE))</f>
        <v>1</v>
      </c>
      <c r="AE618" s="122" t="b">
        <f>IF(ISBLANK(GroupMember[[#This Row],[1. Identifiant interne d’exploitation agricole*]]),"",IF(ISERROR(MATCH(GroupMember[[#This Row],[1. Identifiant interne d’exploitation agricole*]],FarmUnit[1. Identifiant interne d’exploitation agricole*],0)),FALSE,TRUE))</f>
        <v>1</v>
      </c>
      <c r="AF618" s="9" t="str">
        <f t="shared" si="27"/>
        <v>GUEU THEODORE</v>
      </c>
      <c r="AG618" s="243" t="str">
        <f t="shared" si="28"/>
        <v>16/8/2021</v>
      </c>
      <c r="AH618" s="51">
        <f>COUNTIFS(Z:Z,Z618,AG:AG,AG618)</f>
        <v>3</v>
      </c>
      <c r="AI618" s="49">
        <f t="shared" si="29"/>
        <v>0</v>
      </c>
    </row>
    <row r="619" spans="1:35" ht="15" x14ac:dyDescent="0.2">
      <c r="A619" s="193" t="s">
        <v>2382</v>
      </c>
      <c r="B619" s="146" t="s">
        <v>668</v>
      </c>
      <c r="C619" s="193" t="s">
        <v>2382</v>
      </c>
      <c r="D619" s="200" t="s">
        <v>669</v>
      </c>
      <c r="E619" s="146" t="s">
        <v>670</v>
      </c>
      <c r="F619" s="146" t="s">
        <v>671</v>
      </c>
      <c r="G619" s="146" t="s">
        <v>672</v>
      </c>
      <c r="H619" s="148">
        <v>0.51</v>
      </c>
      <c r="I619" s="146" t="s">
        <v>673</v>
      </c>
      <c r="J619" s="149">
        <v>1</v>
      </c>
      <c r="K619" s="150">
        <v>2021</v>
      </c>
      <c r="L619" s="201" t="s">
        <v>1277</v>
      </c>
      <c r="M619" s="201" t="s">
        <v>2383</v>
      </c>
      <c r="N619" s="202"/>
      <c r="O619" s="203"/>
      <c r="P619" s="204" t="s">
        <v>751</v>
      </c>
      <c r="Q619" s="204"/>
      <c r="R619" s="155">
        <v>4</v>
      </c>
      <c r="S619" s="168"/>
      <c r="T619" s="168"/>
      <c r="U619" s="146"/>
      <c r="V619" s="146"/>
      <c r="W619" s="146"/>
      <c r="X619" s="156">
        <v>0</v>
      </c>
      <c r="Y619" s="156">
        <v>0</v>
      </c>
      <c r="Z619" s="157" t="s">
        <v>2160</v>
      </c>
      <c r="AA619" s="158">
        <v>2021</v>
      </c>
      <c r="AB619" s="158">
        <v>7</v>
      </c>
      <c r="AC619" s="158">
        <v>8</v>
      </c>
      <c r="AD619" s="122" t="b">
        <f>IF(ISBLANK(GroupMember[[#This Row],[1. Identifiant interne d’exploitation agricole*]]),"",IF(ISERROR(MATCH(GroupMember[[#This Row],[1. Identifiant interne d’exploitation agricole*]],CertifiedCrop[1. Identifiant interne d’exploitation agricole*],0)),FALSE,TRUE))</f>
        <v>1</v>
      </c>
      <c r="AE619" s="122" t="b">
        <f>IF(ISBLANK(GroupMember[[#This Row],[1. Identifiant interne d’exploitation agricole*]]),"",IF(ISERROR(MATCH(GroupMember[[#This Row],[1. Identifiant interne d’exploitation agricole*]],FarmUnit[1. Identifiant interne d’exploitation agricole*],0)),FALSE,TRUE))</f>
        <v>1</v>
      </c>
      <c r="AF619" s="9" t="str">
        <f t="shared" si="27"/>
        <v>KAPEU  DEBA VIRGINIE</v>
      </c>
      <c r="AG619" s="243" t="str">
        <f t="shared" si="28"/>
        <v>8/7/2021</v>
      </c>
      <c r="AH619" s="51">
        <f>COUNTIFS(Z:Z,Z619,AG:AG,AG619)</f>
        <v>5</v>
      </c>
      <c r="AI619" s="49">
        <f t="shared" si="29"/>
        <v>0</v>
      </c>
    </row>
    <row r="620" spans="1:35" ht="15" x14ac:dyDescent="0.2">
      <c r="A620" s="193" t="s">
        <v>2384</v>
      </c>
      <c r="B620" s="146" t="s">
        <v>668</v>
      </c>
      <c r="C620" s="193" t="s">
        <v>2384</v>
      </c>
      <c r="D620" s="200" t="s">
        <v>669</v>
      </c>
      <c r="E620" s="146" t="s">
        <v>670</v>
      </c>
      <c r="F620" s="146" t="s">
        <v>671</v>
      </c>
      <c r="G620" s="146" t="s">
        <v>672</v>
      </c>
      <c r="H620" s="148">
        <v>11.32</v>
      </c>
      <c r="I620" s="146" t="s">
        <v>673</v>
      </c>
      <c r="J620" s="149">
        <v>1</v>
      </c>
      <c r="K620" s="150">
        <v>2021</v>
      </c>
      <c r="L620" s="201" t="s">
        <v>2385</v>
      </c>
      <c r="M620" s="201" t="s">
        <v>872</v>
      </c>
      <c r="N620" s="202"/>
      <c r="O620" s="203"/>
      <c r="P620" s="204" t="s">
        <v>676</v>
      </c>
      <c r="Q620" s="204"/>
      <c r="R620" s="155">
        <v>5</v>
      </c>
      <c r="S620" s="168"/>
      <c r="T620" s="168"/>
      <c r="U620" s="146"/>
      <c r="V620" s="146"/>
      <c r="W620" s="146"/>
      <c r="X620" s="156">
        <v>0</v>
      </c>
      <c r="Y620" s="156">
        <v>2</v>
      </c>
      <c r="Z620" s="157" t="s">
        <v>2160</v>
      </c>
      <c r="AA620" s="158">
        <v>2021</v>
      </c>
      <c r="AB620" s="158">
        <v>7</v>
      </c>
      <c r="AC620" s="158">
        <v>16</v>
      </c>
      <c r="AD620" s="122" t="b">
        <f>IF(ISBLANK(GroupMember[[#This Row],[1. Identifiant interne d’exploitation agricole*]]),"",IF(ISERROR(MATCH(GroupMember[[#This Row],[1. Identifiant interne d’exploitation agricole*]],CertifiedCrop[1. Identifiant interne d’exploitation agricole*],0)),FALSE,TRUE))</f>
        <v>1</v>
      </c>
      <c r="AE620" s="122" t="b">
        <f>IF(ISBLANK(GroupMember[[#This Row],[1. Identifiant interne d’exploitation agricole*]]),"",IF(ISERROR(MATCH(GroupMember[[#This Row],[1. Identifiant interne d’exploitation agricole*]],FarmUnit[1. Identifiant interne d’exploitation agricole*],0)),FALSE,TRUE))</f>
        <v>1</v>
      </c>
      <c r="AF620" s="9" t="str">
        <f t="shared" si="27"/>
        <v>NABI  ADAMA</v>
      </c>
      <c r="AG620" s="243" t="str">
        <f t="shared" si="28"/>
        <v>16/7/2021</v>
      </c>
      <c r="AH620" s="51">
        <f>COUNTIFS(Z:Z,Z620,AG:AG,AG620)</f>
        <v>4</v>
      </c>
      <c r="AI620" s="49">
        <f t="shared" si="29"/>
        <v>0.16666666666666666</v>
      </c>
    </row>
    <row r="621" spans="1:35" ht="15" x14ac:dyDescent="0.2">
      <c r="A621" s="193" t="s">
        <v>2386</v>
      </c>
      <c r="B621" s="146" t="s">
        <v>668</v>
      </c>
      <c r="C621" s="193" t="s">
        <v>2386</v>
      </c>
      <c r="D621" s="200" t="s">
        <v>669</v>
      </c>
      <c r="E621" s="146" t="s">
        <v>670</v>
      </c>
      <c r="F621" s="146" t="s">
        <v>671</v>
      </c>
      <c r="G621" s="146" t="s">
        <v>672</v>
      </c>
      <c r="H621" s="148">
        <v>0.9</v>
      </c>
      <c r="I621" s="146" t="s">
        <v>673</v>
      </c>
      <c r="J621" s="149">
        <v>1</v>
      </c>
      <c r="K621" s="150">
        <v>2021</v>
      </c>
      <c r="L621" s="201" t="s">
        <v>2387</v>
      </c>
      <c r="M621" s="201" t="s">
        <v>2388</v>
      </c>
      <c r="N621" s="202"/>
      <c r="O621" s="203"/>
      <c r="P621" s="204" t="s">
        <v>676</v>
      </c>
      <c r="Q621" s="204"/>
      <c r="R621" s="155">
        <v>6</v>
      </c>
      <c r="S621" s="168"/>
      <c r="T621" s="168"/>
      <c r="U621" s="146"/>
      <c r="V621" s="146"/>
      <c r="W621" s="146"/>
      <c r="X621" s="156">
        <v>0</v>
      </c>
      <c r="Y621" s="156">
        <v>0</v>
      </c>
      <c r="Z621" s="157" t="s">
        <v>2160</v>
      </c>
      <c r="AA621" s="158">
        <v>2021</v>
      </c>
      <c r="AB621" s="158">
        <v>8</v>
      </c>
      <c r="AC621" s="158">
        <v>10</v>
      </c>
      <c r="AD621" s="122" t="b">
        <f>IF(ISBLANK(GroupMember[[#This Row],[1. Identifiant interne d’exploitation agricole*]]),"",IF(ISERROR(MATCH(GroupMember[[#This Row],[1. Identifiant interne d’exploitation agricole*]],CertifiedCrop[1. Identifiant interne d’exploitation agricole*],0)),FALSE,TRUE))</f>
        <v>1</v>
      </c>
      <c r="AE621" s="122" t="b">
        <f>IF(ISBLANK(GroupMember[[#This Row],[1. Identifiant interne d’exploitation agricole*]]),"",IF(ISERROR(MATCH(GroupMember[[#This Row],[1. Identifiant interne d’exploitation agricole*]],FarmUnit[1. Identifiant interne d’exploitation agricole*],0)),FALSE,TRUE))</f>
        <v>1</v>
      </c>
      <c r="AF621" s="9" t="str">
        <f t="shared" si="27"/>
        <v>WOGUEU  ZAWI</v>
      </c>
      <c r="AG621" s="243" t="str">
        <f t="shared" si="28"/>
        <v>10/8/2021</v>
      </c>
      <c r="AH621" s="51">
        <f>COUNTIFS(Z:Z,Z621,AG:AG,AG621)</f>
        <v>4</v>
      </c>
      <c r="AI621" s="49">
        <f t="shared" si="29"/>
        <v>0</v>
      </c>
    </row>
    <row r="622" spans="1:35" ht="15" x14ac:dyDescent="0.2">
      <c r="A622" s="193" t="s">
        <v>2389</v>
      </c>
      <c r="B622" s="146" t="s">
        <v>668</v>
      </c>
      <c r="C622" s="193" t="s">
        <v>2389</v>
      </c>
      <c r="D622" s="200" t="s">
        <v>669</v>
      </c>
      <c r="E622" s="146" t="s">
        <v>670</v>
      </c>
      <c r="F622" s="146" t="s">
        <v>671</v>
      </c>
      <c r="G622" s="146" t="s">
        <v>672</v>
      </c>
      <c r="H622" s="148">
        <v>1.64</v>
      </c>
      <c r="I622" s="146" t="s">
        <v>673</v>
      </c>
      <c r="J622" s="149">
        <v>1</v>
      </c>
      <c r="K622" s="150">
        <v>2021</v>
      </c>
      <c r="L622" s="201" t="s">
        <v>2151</v>
      </c>
      <c r="M622" s="201" t="s">
        <v>1373</v>
      </c>
      <c r="N622" s="202">
        <v>759335266</v>
      </c>
      <c r="O622" s="203"/>
      <c r="P622" s="204" t="s">
        <v>676</v>
      </c>
      <c r="Q622" s="204"/>
      <c r="R622" s="155">
        <v>9</v>
      </c>
      <c r="S622" s="168"/>
      <c r="T622" s="168"/>
      <c r="U622" s="146"/>
      <c r="V622" s="146"/>
      <c r="W622" s="146"/>
      <c r="X622" s="156">
        <v>0</v>
      </c>
      <c r="Y622" s="156">
        <v>0</v>
      </c>
      <c r="Z622" s="157" t="s">
        <v>2160</v>
      </c>
      <c r="AA622" s="158">
        <v>2021</v>
      </c>
      <c r="AB622" s="158">
        <v>8</v>
      </c>
      <c r="AC622" s="158">
        <v>12</v>
      </c>
      <c r="AD622" s="122" t="b">
        <f>IF(ISBLANK(GroupMember[[#This Row],[1. Identifiant interne d’exploitation agricole*]]),"",IF(ISERROR(MATCH(GroupMember[[#This Row],[1. Identifiant interne d’exploitation agricole*]],CertifiedCrop[1. Identifiant interne d’exploitation agricole*],0)),FALSE,TRUE))</f>
        <v>1</v>
      </c>
      <c r="AE622" s="122" t="b">
        <f>IF(ISBLANK(GroupMember[[#This Row],[1. Identifiant interne d’exploitation agricole*]]),"",IF(ISERROR(MATCH(GroupMember[[#This Row],[1. Identifiant interne d’exploitation agricole*]],FarmUnit[1. Identifiant interne d’exploitation agricole*],0)),FALSE,TRUE))</f>
        <v>1</v>
      </c>
      <c r="AF622" s="9" t="str">
        <f t="shared" si="27"/>
        <v>DIARRA  LASSINA</v>
      </c>
      <c r="AG622" s="243" t="str">
        <f t="shared" si="28"/>
        <v>12/8/2021</v>
      </c>
      <c r="AH622" s="51">
        <f>COUNTIFS(Z:Z,Z622,AG:AG,AG622)</f>
        <v>4</v>
      </c>
      <c r="AI622" s="49">
        <f t="shared" si="29"/>
        <v>0</v>
      </c>
    </row>
    <row r="623" spans="1:35" ht="15" x14ac:dyDescent="0.2">
      <c r="A623" s="193" t="s">
        <v>2390</v>
      </c>
      <c r="B623" s="146" t="s">
        <v>668</v>
      </c>
      <c r="C623" s="193" t="s">
        <v>2390</v>
      </c>
      <c r="D623" s="200" t="s">
        <v>669</v>
      </c>
      <c r="E623" s="146" t="s">
        <v>670</v>
      </c>
      <c r="F623" s="146" t="s">
        <v>671</v>
      </c>
      <c r="G623" s="146" t="s">
        <v>672</v>
      </c>
      <c r="H623" s="148">
        <v>1.47</v>
      </c>
      <c r="I623" s="146" t="s">
        <v>673</v>
      </c>
      <c r="J623" s="149">
        <v>1</v>
      </c>
      <c r="K623" s="150">
        <v>2021</v>
      </c>
      <c r="L623" s="201" t="s">
        <v>707</v>
      </c>
      <c r="M623" s="201" t="s">
        <v>2391</v>
      </c>
      <c r="N623" s="202">
        <v>748617080</v>
      </c>
      <c r="O623" s="203"/>
      <c r="P623" s="204" t="s">
        <v>676</v>
      </c>
      <c r="Q623" s="204"/>
      <c r="R623" s="155">
        <v>8</v>
      </c>
      <c r="S623" s="168"/>
      <c r="T623" s="168"/>
      <c r="U623" s="146"/>
      <c r="V623" s="146"/>
      <c r="W623" s="146"/>
      <c r="X623" s="156">
        <v>0</v>
      </c>
      <c r="Y623" s="156">
        <v>0</v>
      </c>
      <c r="Z623" s="157" t="s">
        <v>2160</v>
      </c>
      <c r="AA623" s="158">
        <v>2021</v>
      </c>
      <c r="AB623" s="158">
        <v>8</v>
      </c>
      <c r="AC623" s="158">
        <v>14</v>
      </c>
      <c r="AD623" s="122" t="b">
        <f>IF(ISBLANK(GroupMember[[#This Row],[1. Identifiant interne d’exploitation agricole*]]),"",IF(ISERROR(MATCH(GroupMember[[#This Row],[1. Identifiant interne d’exploitation agricole*]],CertifiedCrop[1. Identifiant interne d’exploitation agricole*],0)),FALSE,TRUE))</f>
        <v>1</v>
      </c>
      <c r="AE623" s="122" t="b">
        <f>IF(ISBLANK(GroupMember[[#This Row],[1. Identifiant interne d’exploitation agricole*]]),"",IF(ISERROR(MATCH(GroupMember[[#This Row],[1. Identifiant interne d’exploitation agricole*]],FarmUnit[1. Identifiant interne d’exploitation agricole*],0)),FALSE,TRUE))</f>
        <v>1</v>
      </c>
      <c r="AF623" s="9" t="str">
        <f t="shared" si="27"/>
        <v>OUEDRAOGO  ISSIAKA 2</v>
      </c>
      <c r="AG623" s="243" t="str">
        <f t="shared" si="28"/>
        <v>14/8/2021</v>
      </c>
      <c r="AH623" s="51">
        <f>COUNTIFS(Z:Z,Z623,AG:AG,AG623)</f>
        <v>4</v>
      </c>
      <c r="AI623" s="49">
        <f t="shared" si="29"/>
        <v>0</v>
      </c>
    </row>
    <row r="624" spans="1:35" ht="15" x14ac:dyDescent="0.2">
      <c r="A624" s="193" t="s">
        <v>2392</v>
      </c>
      <c r="B624" s="146" t="s">
        <v>668</v>
      </c>
      <c r="C624" s="193" t="s">
        <v>2392</v>
      </c>
      <c r="D624" s="200" t="s">
        <v>669</v>
      </c>
      <c r="E624" s="146" t="s">
        <v>670</v>
      </c>
      <c r="F624" s="146" t="s">
        <v>671</v>
      </c>
      <c r="G624" s="146" t="s">
        <v>672</v>
      </c>
      <c r="H624" s="148">
        <v>2.83</v>
      </c>
      <c r="I624" s="146" t="s">
        <v>673</v>
      </c>
      <c r="J624" s="149">
        <v>1</v>
      </c>
      <c r="K624" s="150">
        <v>2021</v>
      </c>
      <c r="L624" s="201" t="s">
        <v>2393</v>
      </c>
      <c r="M624" s="201" t="s">
        <v>2394</v>
      </c>
      <c r="N624" s="202">
        <v>747684005</v>
      </c>
      <c r="O624" s="203"/>
      <c r="P624" s="204" t="s">
        <v>676</v>
      </c>
      <c r="Q624" s="204"/>
      <c r="R624" s="155">
        <v>6</v>
      </c>
      <c r="S624" s="168"/>
      <c r="T624" s="168"/>
      <c r="U624" s="146"/>
      <c r="V624" s="146"/>
      <c r="W624" s="146"/>
      <c r="X624" s="156">
        <v>0</v>
      </c>
      <c r="Y624" s="156">
        <v>0</v>
      </c>
      <c r="Z624" s="157" t="s">
        <v>2160</v>
      </c>
      <c r="AA624" s="158">
        <v>2021</v>
      </c>
      <c r="AB624" s="158">
        <v>8</v>
      </c>
      <c r="AC624" s="158">
        <v>16</v>
      </c>
      <c r="AD624" s="122" t="b">
        <f>IF(ISBLANK(GroupMember[[#This Row],[1. Identifiant interne d’exploitation agricole*]]),"",IF(ISERROR(MATCH(GroupMember[[#This Row],[1. Identifiant interne d’exploitation agricole*]],CertifiedCrop[1. Identifiant interne d’exploitation agricole*],0)),FALSE,TRUE))</f>
        <v>1</v>
      </c>
      <c r="AE624" s="122" t="b">
        <f>IF(ISBLANK(GroupMember[[#This Row],[1. Identifiant interne d’exploitation agricole*]]),"",IF(ISERROR(MATCH(GroupMember[[#This Row],[1. Identifiant interne d’exploitation agricole*]],FarmUnit[1. Identifiant interne d’exploitation agricole*],0)),FALSE,TRUE))</f>
        <v>1</v>
      </c>
      <c r="AF624" s="9" t="str">
        <f t="shared" si="27"/>
        <v>ILI TASSERE</v>
      </c>
      <c r="AG624" s="243" t="str">
        <f t="shared" si="28"/>
        <v>16/8/2021</v>
      </c>
      <c r="AH624" s="51">
        <f>COUNTIFS(Z:Z,Z624,AG:AG,AG624)</f>
        <v>3</v>
      </c>
      <c r="AI624" s="49">
        <f t="shared" si="29"/>
        <v>0</v>
      </c>
    </row>
    <row r="625" spans="1:35" ht="15" x14ac:dyDescent="0.2">
      <c r="A625" s="193" t="s">
        <v>2395</v>
      </c>
      <c r="B625" s="146" t="s">
        <v>668</v>
      </c>
      <c r="C625" s="193" t="s">
        <v>2395</v>
      </c>
      <c r="D625" s="200" t="s">
        <v>669</v>
      </c>
      <c r="E625" s="146" t="s">
        <v>670</v>
      </c>
      <c r="F625" s="146" t="s">
        <v>671</v>
      </c>
      <c r="G625" s="146" t="s">
        <v>672</v>
      </c>
      <c r="H625" s="148">
        <v>3.46</v>
      </c>
      <c r="I625" s="146" t="s">
        <v>673</v>
      </c>
      <c r="J625" s="149">
        <v>1</v>
      </c>
      <c r="K625" s="150">
        <v>2021</v>
      </c>
      <c r="L625" s="201" t="s">
        <v>2396</v>
      </c>
      <c r="M625" s="201" t="s">
        <v>1248</v>
      </c>
      <c r="N625" s="202">
        <v>759831441</v>
      </c>
      <c r="O625" s="203"/>
      <c r="P625" s="204" t="s">
        <v>676</v>
      </c>
      <c r="Q625" s="204"/>
      <c r="R625" s="155">
        <v>7</v>
      </c>
      <c r="S625" s="168"/>
      <c r="T625" s="168"/>
      <c r="U625" s="146"/>
      <c r="V625" s="146"/>
      <c r="W625" s="146"/>
      <c r="X625" s="156">
        <v>0</v>
      </c>
      <c r="Y625" s="156">
        <v>0</v>
      </c>
      <c r="Z625" s="157" t="s">
        <v>2160</v>
      </c>
      <c r="AA625" s="158">
        <v>2021</v>
      </c>
      <c r="AB625" s="158">
        <v>8</v>
      </c>
      <c r="AC625" s="158">
        <v>10</v>
      </c>
      <c r="AD625" s="122" t="b">
        <f>IF(ISBLANK(GroupMember[[#This Row],[1. Identifiant interne d’exploitation agricole*]]),"",IF(ISERROR(MATCH(GroupMember[[#This Row],[1. Identifiant interne d’exploitation agricole*]],CertifiedCrop[1. Identifiant interne d’exploitation agricole*],0)),FALSE,TRUE))</f>
        <v>1</v>
      </c>
      <c r="AE625" s="122" t="b">
        <f>IF(ISBLANK(GroupMember[[#This Row],[1. Identifiant interne d’exploitation agricole*]]),"",IF(ISERROR(MATCH(GroupMember[[#This Row],[1. Identifiant interne d’exploitation agricole*]],FarmUnit[1. Identifiant interne d’exploitation agricole*],0)),FALSE,TRUE))</f>
        <v>1</v>
      </c>
      <c r="AF625" s="9" t="str">
        <f t="shared" si="27"/>
        <v>KOUAKOU  FIRMIN</v>
      </c>
      <c r="AG625" s="243" t="str">
        <f t="shared" si="28"/>
        <v>10/8/2021</v>
      </c>
      <c r="AH625" s="51">
        <f>COUNTIFS(Z:Z,Z625,AG:AG,AG625)</f>
        <v>4</v>
      </c>
      <c r="AI625" s="49">
        <f t="shared" si="29"/>
        <v>0</v>
      </c>
    </row>
    <row r="626" spans="1:35" ht="15" x14ac:dyDescent="0.2">
      <c r="A626" s="193" t="s">
        <v>2397</v>
      </c>
      <c r="B626" s="146" t="s">
        <v>668</v>
      </c>
      <c r="C626" s="193" t="s">
        <v>2397</v>
      </c>
      <c r="D626" s="200" t="s">
        <v>669</v>
      </c>
      <c r="E626" s="146" t="s">
        <v>670</v>
      </c>
      <c r="F626" s="146" t="s">
        <v>671</v>
      </c>
      <c r="G626" s="146" t="s">
        <v>672</v>
      </c>
      <c r="H626" s="148">
        <v>1.66</v>
      </c>
      <c r="I626" s="146" t="s">
        <v>673</v>
      </c>
      <c r="J626" s="149">
        <v>1</v>
      </c>
      <c r="K626" s="150">
        <v>2021</v>
      </c>
      <c r="L626" s="201" t="s">
        <v>883</v>
      </c>
      <c r="M626" s="201" t="s">
        <v>2398</v>
      </c>
      <c r="N626" s="202">
        <v>779206053</v>
      </c>
      <c r="O626" s="203"/>
      <c r="P626" s="204" t="s">
        <v>676</v>
      </c>
      <c r="Q626" s="204"/>
      <c r="R626" s="155">
        <v>4</v>
      </c>
      <c r="S626" s="168"/>
      <c r="T626" s="168"/>
      <c r="U626" s="146"/>
      <c r="V626" s="146"/>
      <c r="W626" s="146"/>
      <c r="X626" s="156">
        <v>0</v>
      </c>
      <c r="Y626" s="156">
        <v>0</v>
      </c>
      <c r="Z626" s="157" t="s">
        <v>2160</v>
      </c>
      <c r="AA626" s="158">
        <v>2021</v>
      </c>
      <c r="AB626" s="158">
        <v>8</v>
      </c>
      <c r="AC626" s="158">
        <v>12</v>
      </c>
      <c r="AD626" s="122" t="b">
        <f>IF(ISBLANK(GroupMember[[#This Row],[1. Identifiant interne d’exploitation agricole*]]),"",IF(ISERROR(MATCH(GroupMember[[#This Row],[1. Identifiant interne d’exploitation agricole*]],CertifiedCrop[1. Identifiant interne d’exploitation agricole*],0)),FALSE,TRUE))</f>
        <v>1</v>
      </c>
      <c r="AE626" s="122" t="b">
        <f>IF(ISBLANK(GroupMember[[#This Row],[1. Identifiant interne d’exploitation agricole*]]),"",IF(ISERROR(MATCH(GroupMember[[#This Row],[1. Identifiant interne d’exploitation agricole*]],FarmUnit[1. Identifiant interne d’exploitation agricole*],0)),FALSE,TRUE))</f>
        <v>1</v>
      </c>
      <c r="AF626" s="9" t="str">
        <f t="shared" si="27"/>
        <v>TIEU FABRICE PAUL</v>
      </c>
      <c r="AG626" s="243" t="str">
        <f t="shared" si="28"/>
        <v>12/8/2021</v>
      </c>
      <c r="AH626" s="51">
        <f>COUNTIFS(Z:Z,Z626,AG:AG,AG626)</f>
        <v>4</v>
      </c>
      <c r="AI626" s="49">
        <f t="shared" si="29"/>
        <v>0</v>
      </c>
    </row>
    <row r="627" spans="1:35" ht="15" x14ac:dyDescent="0.2">
      <c r="A627" s="193" t="s">
        <v>2399</v>
      </c>
      <c r="B627" s="146" t="s">
        <v>668</v>
      </c>
      <c r="C627" s="193" t="s">
        <v>2399</v>
      </c>
      <c r="D627" s="200" t="s">
        <v>669</v>
      </c>
      <c r="E627" s="146" t="s">
        <v>670</v>
      </c>
      <c r="F627" s="146" t="s">
        <v>671</v>
      </c>
      <c r="G627" s="146" t="s">
        <v>672</v>
      </c>
      <c r="H627" s="148">
        <v>2.0099999999999998</v>
      </c>
      <c r="I627" s="146" t="s">
        <v>673</v>
      </c>
      <c r="J627" s="149">
        <v>1</v>
      </c>
      <c r="K627" s="150">
        <v>2021</v>
      </c>
      <c r="L627" s="201" t="s">
        <v>2400</v>
      </c>
      <c r="M627" s="201" t="s">
        <v>2401</v>
      </c>
      <c r="N627" s="202">
        <v>788297003</v>
      </c>
      <c r="O627" s="203"/>
      <c r="P627" s="204" t="s">
        <v>676</v>
      </c>
      <c r="Q627" s="204"/>
      <c r="R627" s="155">
        <v>5</v>
      </c>
      <c r="S627" s="168"/>
      <c r="T627" s="168"/>
      <c r="U627" s="146"/>
      <c r="V627" s="146"/>
      <c r="W627" s="146"/>
      <c r="X627" s="156">
        <v>0</v>
      </c>
      <c r="Y627" s="156">
        <v>0</v>
      </c>
      <c r="Z627" s="157" t="s">
        <v>2160</v>
      </c>
      <c r="AA627" s="158">
        <v>2021</v>
      </c>
      <c r="AB627" s="158">
        <v>8</v>
      </c>
      <c r="AC627" s="158">
        <v>14</v>
      </c>
      <c r="AD627" s="122" t="b">
        <f>IF(ISBLANK(GroupMember[[#This Row],[1. Identifiant interne d’exploitation agricole*]]),"",IF(ISERROR(MATCH(GroupMember[[#This Row],[1. Identifiant interne d’exploitation agricole*]],CertifiedCrop[1. Identifiant interne d’exploitation agricole*],0)),FALSE,TRUE))</f>
        <v>1</v>
      </c>
      <c r="AE627" s="122" t="b">
        <f>IF(ISBLANK(GroupMember[[#This Row],[1. Identifiant interne d’exploitation agricole*]]),"",IF(ISERROR(MATCH(GroupMember[[#This Row],[1. Identifiant interne d’exploitation agricole*]],FarmUnit[1. Identifiant interne d’exploitation agricole*],0)),FALSE,TRUE))</f>
        <v>1</v>
      </c>
      <c r="AF627" s="9" t="str">
        <f t="shared" ref="AF627:AF690" si="30">IFERROR(CONCATENATE(L627," ",M627),"")</f>
        <v>KOFFI KOUASSI BLAISE</v>
      </c>
      <c r="AG627" s="243" t="str">
        <f t="shared" ref="AG627:AG690" si="31">CONCATENATE(AC627,"/",AB627,"/",AA627)</f>
        <v>14/8/2021</v>
      </c>
      <c r="AH627" s="51">
        <f>COUNTIFS(Z:Z,Z627,AG:AG,AG627)</f>
        <v>4</v>
      </c>
      <c r="AI627" s="49">
        <f t="shared" ref="AI627:AI690" si="32">IF((X627+Y627/12)&lt;0,"",(X627+Y627/12))</f>
        <v>0</v>
      </c>
    </row>
    <row r="628" spans="1:35" ht="15" x14ac:dyDescent="0.2">
      <c r="A628" s="193" t="s">
        <v>2402</v>
      </c>
      <c r="B628" s="146" t="s">
        <v>668</v>
      </c>
      <c r="C628" s="193" t="s">
        <v>2402</v>
      </c>
      <c r="D628" s="200" t="s">
        <v>669</v>
      </c>
      <c r="E628" s="146" t="s">
        <v>670</v>
      </c>
      <c r="F628" s="146" t="s">
        <v>671</v>
      </c>
      <c r="G628" s="146" t="s">
        <v>672</v>
      </c>
      <c r="H628" s="148">
        <v>2.17</v>
      </c>
      <c r="I628" s="146" t="s">
        <v>673</v>
      </c>
      <c r="J628" s="149">
        <v>1</v>
      </c>
      <c r="K628" s="150">
        <v>2021</v>
      </c>
      <c r="L628" s="201" t="s">
        <v>776</v>
      </c>
      <c r="M628" s="201" t="s">
        <v>2403</v>
      </c>
      <c r="N628" s="202">
        <v>758151494</v>
      </c>
      <c r="O628" s="203"/>
      <c r="P628" s="204" t="s">
        <v>676</v>
      </c>
      <c r="Q628" s="204"/>
      <c r="R628" s="155">
        <v>8</v>
      </c>
      <c r="S628" s="168"/>
      <c r="T628" s="168"/>
      <c r="U628" s="146"/>
      <c r="V628" s="146"/>
      <c r="W628" s="146"/>
      <c r="X628" s="156">
        <v>0</v>
      </c>
      <c r="Y628" s="156">
        <v>0</v>
      </c>
      <c r="Z628" s="157" t="s">
        <v>2160</v>
      </c>
      <c r="AA628" s="158">
        <v>2021</v>
      </c>
      <c r="AB628" s="158">
        <v>8</v>
      </c>
      <c r="AC628" s="158">
        <v>11</v>
      </c>
      <c r="AD628" s="122" t="b">
        <f>IF(ISBLANK(GroupMember[[#This Row],[1. Identifiant interne d’exploitation agricole*]]),"",IF(ISERROR(MATCH(GroupMember[[#This Row],[1. Identifiant interne d’exploitation agricole*]],CertifiedCrop[1. Identifiant interne d’exploitation agricole*],0)),FALSE,TRUE))</f>
        <v>1</v>
      </c>
      <c r="AE628" s="122" t="b">
        <f>IF(ISBLANK(GroupMember[[#This Row],[1. Identifiant interne d’exploitation agricole*]]),"",IF(ISERROR(MATCH(GroupMember[[#This Row],[1. Identifiant interne d’exploitation agricole*]],FarmUnit[1. Identifiant interne d’exploitation agricole*],0)),FALSE,TRUE))</f>
        <v>1</v>
      </c>
      <c r="AF628" s="9" t="str">
        <f t="shared" si="30"/>
        <v>SAMA  GILBERT</v>
      </c>
      <c r="AG628" s="243" t="str">
        <f t="shared" si="31"/>
        <v>11/8/2021</v>
      </c>
      <c r="AH628" s="51">
        <f>COUNTIFS(Z:Z,Z628,AG:AG,AG628)</f>
        <v>4</v>
      </c>
      <c r="AI628" s="49">
        <f t="shared" si="32"/>
        <v>0</v>
      </c>
    </row>
    <row r="629" spans="1:35" ht="15" x14ac:dyDescent="0.2">
      <c r="A629" s="193" t="s">
        <v>2404</v>
      </c>
      <c r="B629" s="146" t="s">
        <v>668</v>
      </c>
      <c r="C629" s="193" t="s">
        <v>2404</v>
      </c>
      <c r="D629" s="200" t="s">
        <v>669</v>
      </c>
      <c r="E629" s="146" t="s">
        <v>670</v>
      </c>
      <c r="F629" s="146" t="s">
        <v>671</v>
      </c>
      <c r="G629" s="146" t="s">
        <v>672</v>
      </c>
      <c r="H629" s="148">
        <v>2.62</v>
      </c>
      <c r="I629" s="146" t="s">
        <v>673</v>
      </c>
      <c r="J629" s="149">
        <v>1</v>
      </c>
      <c r="K629" s="150">
        <v>2021</v>
      </c>
      <c r="L629" s="201" t="s">
        <v>2405</v>
      </c>
      <c r="M629" s="201" t="s">
        <v>2406</v>
      </c>
      <c r="N629" s="202">
        <v>747444516</v>
      </c>
      <c r="O629" s="203"/>
      <c r="P629" s="204" t="s">
        <v>676</v>
      </c>
      <c r="Q629" s="204"/>
      <c r="R629" s="155">
        <v>4</v>
      </c>
      <c r="S629" s="168"/>
      <c r="T629" s="168"/>
      <c r="U629" s="146"/>
      <c r="V629" s="146"/>
      <c r="W629" s="146"/>
      <c r="X629" s="156">
        <v>0</v>
      </c>
      <c r="Y629" s="156">
        <v>0</v>
      </c>
      <c r="Z629" s="157" t="s">
        <v>2160</v>
      </c>
      <c r="AA629" s="158">
        <v>2021</v>
      </c>
      <c r="AB629" s="158">
        <v>8</v>
      </c>
      <c r="AC629" s="158">
        <v>12</v>
      </c>
      <c r="AD629" s="122" t="b">
        <f>IF(ISBLANK(GroupMember[[#This Row],[1. Identifiant interne d’exploitation agricole*]]),"",IF(ISERROR(MATCH(GroupMember[[#This Row],[1. Identifiant interne d’exploitation agricole*]],CertifiedCrop[1. Identifiant interne d’exploitation agricole*],0)),FALSE,TRUE))</f>
        <v>1</v>
      </c>
      <c r="AE629" s="122" t="b">
        <f>IF(ISBLANK(GroupMember[[#This Row],[1. Identifiant interne d’exploitation agricole*]]),"",IF(ISERROR(MATCH(GroupMember[[#This Row],[1. Identifiant interne d’exploitation agricole*]],FarmUnit[1. Identifiant interne d’exploitation agricole*],0)),FALSE,TRUE))</f>
        <v>1</v>
      </c>
      <c r="AF629" s="9" t="str">
        <f t="shared" si="30"/>
        <v>OUMSANWERE YAMBA DIT VINCENT</v>
      </c>
      <c r="AG629" s="243" t="str">
        <f t="shared" si="31"/>
        <v>12/8/2021</v>
      </c>
      <c r="AH629" s="51">
        <f>COUNTIFS(Z:Z,Z629,AG:AG,AG629)</f>
        <v>4</v>
      </c>
      <c r="AI629" s="49">
        <f t="shared" si="32"/>
        <v>0</v>
      </c>
    </row>
    <row r="630" spans="1:35" ht="15" x14ac:dyDescent="0.2">
      <c r="A630" s="193" t="s">
        <v>2407</v>
      </c>
      <c r="B630" s="146" t="s">
        <v>668</v>
      </c>
      <c r="C630" s="193" t="s">
        <v>2407</v>
      </c>
      <c r="D630" s="200" t="s">
        <v>669</v>
      </c>
      <c r="E630" s="146" t="s">
        <v>670</v>
      </c>
      <c r="F630" s="146" t="s">
        <v>671</v>
      </c>
      <c r="G630" s="146" t="s">
        <v>672</v>
      </c>
      <c r="H630" s="148">
        <v>3.92</v>
      </c>
      <c r="I630" s="146" t="s">
        <v>673</v>
      </c>
      <c r="J630" s="149">
        <v>2</v>
      </c>
      <c r="K630" s="150">
        <v>2021</v>
      </c>
      <c r="L630" s="201" t="s">
        <v>707</v>
      </c>
      <c r="M630" s="201" t="s">
        <v>1105</v>
      </c>
      <c r="N630" s="207"/>
      <c r="O630" s="203"/>
      <c r="P630" s="204" t="s">
        <v>676</v>
      </c>
      <c r="Q630" s="204"/>
      <c r="R630" s="155">
        <v>5</v>
      </c>
      <c r="S630" s="168"/>
      <c r="T630" s="168"/>
      <c r="U630" s="146"/>
      <c r="V630" s="146"/>
      <c r="W630" s="146"/>
      <c r="X630" s="156">
        <v>0</v>
      </c>
      <c r="Y630" s="156">
        <v>0</v>
      </c>
      <c r="Z630" s="157" t="s">
        <v>2160</v>
      </c>
      <c r="AA630" s="158">
        <v>2021</v>
      </c>
      <c r="AB630" s="158">
        <v>8</v>
      </c>
      <c r="AC630" s="158">
        <v>10</v>
      </c>
      <c r="AD630" s="122" t="b">
        <f>IF(ISBLANK(GroupMember[[#This Row],[1. Identifiant interne d’exploitation agricole*]]),"",IF(ISERROR(MATCH(GroupMember[[#This Row],[1. Identifiant interne d’exploitation agricole*]],CertifiedCrop[1. Identifiant interne d’exploitation agricole*],0)),FALSE,TRUE))</f>
        <v>1</v>
      </c>
      <c r="AE630" s="122" t="b">
        <f>IF(ISBLANK(GroupMember[[#This Row],[1. Identifiant interne d’exploitation agricole*]]),"",IF(ISERROR(MATCH(GroupMember[[#This Row],[1. Identifiant interne d’exploitation agricole*]],FarmUnit[1. Identifiant interne d’exploitation agricole*],0)),FALSE,TRUE))</f>
        <v>1</v>
      </c>
      <c r="AF630" s="9" t="str">
        <f t="shared" si="30"/>
        <v>OUEDRAOGO  AROUNA</v>
      </c>
      <c r="AG630" s="243" t="str">
        <f t="shared" si="31"/>
        <v>10/8/2021</v>
      </c>
      <c r="AH630" s="51">
        <f>COUNTIFS(Z:Z,Z630,AG:AG,AG630)</f>
        <v>4</v>
      </c>
      <c r="AI630" s="49">
        <f t="shared" si="32"/>
        <v>0</v>
      </c>
    </row>
    <row r="631" spans="1:35" ht="15" x14ac:dyDescent="0.2">
      <c r="A631" s="193" t="s">
        <v>2408</v>
      </c>
      <c r="B631" s="146" t="s">
        <v>668</v>
      </c>
      <c r="C631" s="193" t="s">
        <v>2408</v>
      </c>
      <c r="D631" s="200" t="s">
        <v>669</v>
      </c>
      <c r="E631" s="146" t="s">
        <v>670</v>
      </c>
      <c r="F631" s="146" t="s">
        <v>671</v>
      </c>
      <c r="G631" s="146" t="s">
        <v>672</v>
      </c>
      <c r="H631" s="148">
        <v>2.1800000000000002</v>
      </c>
      <c r="I631" s="146" t="s">
        <v>673</v>
      </c>
      <c r="J631" s="149">
        <v>1</v>
      </c>
      <c r="K631" s="150">
        <v>2021</v>
      </c>
      <c r="L631" s="201" t="s">
        <v>2409</v>
      </c>
      <c r="M631" s="201" t="s">
        <v>1954</v>
      </c>
      <c r="N631" s="202">
        <v>767742684</v>
      </c>
      <c r="O631" s="203"/>
      <c r="P631" s="204" t="s">
        <v>676</v>
      </c>
      <c r="Q631" s="204"/>
      <c r="R631" s="155">
        <v>7</v>
      </c>
      <c r="S631" s="168"/>
      <c r="T631" s="168"/>
      <c r="U631" s="146"/>
      <c r="V631" s="146"/>
      <c r="W631" s="146"/>
      <c r="X631" s="156">
        <v>0</v>
      </c>
      <c r="Y631" s="156">
        <v>0</v>
      </c>
      <c r="Z631" s="157" t="s">
        <v>2160</v>
      </c>
      <c r="AA631" s="158">
        <v>2021</v>
      </c>
      <c r="AB631" s="158">
        <v>7</v>
      </c>
      <c r="AC631" s="158">
        <v>8</v>
      </c>
      <c r="AD631" s="122" t="b">
        <f>IF(ISBLANK(GroupMember[[#This Row],[1. Identifiant interne d’exploitation agricole*]]),"",IF(ISERROR(MATCH(GroupMember[[#This Row],[1. Identifiant interne d’exploitation agricole*]],CertifiedCrop[1. Identifiant interne d’exploitation agricole*],0)),FALSE,TRUE))</f>
        <v>1</v>
      </c>
      <c r="AE631" s="122" t="b">
        <f>IF(ISBLANK(GroupMember[[#This Row],[1. Identifiant interne d’exploitation agricole*]]),"",IF(ISERROR(MATCH(GroupMember[[#This Row],[1. Identifiant interne d’exploitation agricole*]],FarmUnit[1. Identifiant interne d’exploitation agricole*],0)),FALSE,TRUE))</f>
        <v>1</v>
      </c>
      <c r="AF631" s="9" t="str">
        <f t="shared" si="30"/>
        <v>NABALMA  DIEUDONNE</v>
      </c>
      <c r="AG631" s="243" t="str">
        <f t="shared" si="31"/>
        <v>8/7/2021</v>
      </c>
      <c r="AH631" s="51">
        <f>COUNTIFS(Z:Z,Z631,AG:AG,AG631)</f>
        <v>5</v>
      </c>
      <c r="AI631" s="49">
        <f t="shared" si="32"/>
        <v>0</v>
      </c>
    </row>
    <row r="632" spans="1:35" ht="15" x14ac:dyDescent="0.2">
      <c r="A632" s="193" t="s">
        <v>2410</v>
      </c>
      <c r="B632" s="146" t="s">
        <v>668</v>
      </c>
      <c r="C632" s="193" t="s">
        <v>2410</v>
      </c>
      <c r="D632" s="200" t="s">
        <v>669</v>
      </c>
      <c r="E632" s="146" t="s">
        <v>670</v>
      </c>
      <c r="F632" s="146" t="s">
        <v>671</v>
      </c>
      <c r="G632" s="146" t="s">
        <v>672</v>
      </c>
      <c r="H632" s="148">
        <v>3.84</v>
      </c>
      <c r="I632" s="146" t="s">
        <v>673</v>
      </c>
      <c r="J632" s="149">
        <v>1</v>
      </c>
      <c r="K632" s="150">
        <v>2021</v>
      </c>
      <c r="L632" s="201" t="s">
        <v>729</v>
      </c>
      <c r="M632" s="201" t="s">
        <v>2411</v>
      </c>
      <c r="N632" s="202">
        <v>709151814</v>
      </c>
      <c r="O632" s="203"/>
      <c r="P632" s="204" t="s">
        <v>676</v>
      </c>
      <c r="Q632" s="204"/>
      <c r="R632" s="155">
        <v>6</v>
      </c>
      <c r="S632" s="168"/>
      <c r="T632" s="168"/>
      <c r="U632" s="146"/>
      <c r="V632" s="146"/>
      <c r="W632" s="146"/>
      <c r="X632" s="156">
        <v>0</v>
      </c>
      <c r="Y632" s="156">
        <v>0</v>
      </c>
      <c r="Z632" s="157" t="s">
        <v>2160</v>
      </c>
      <c r="AA632" s="158">
        <v>2021</v>
      </c>
      <c r="AB632" s="158">
        <v>7</v>
      </c>
      <c r="AC632" s="158">
        <v>16</v>
      </c>
      <c r="AD632" s="122" t="b">
        <f>IF(ISBLANK(GroupMember[[#This Row],[1. Identifiant interne d’exploitation agricole*]]),"",IF(ISERROR(MATCH(GroupMember[[#This Row],[1. Identifiant interne d’exploitation agricole*]],CertifiedCrop[1. Identifiant interne d’exploitation agricole*],0)),FALSE,TRUE))</f>
        <v>1</v>
      </c>
      <c r="AE632" s="122" t="b">
        <f>IF(ISBLANK(GroupMember[[#This Row],[1. Identifiant interne d’exploitation agricole*]]),"",IF(ISERROR(MATCH(GroupMember[[#This Row],[1. Identifiant interne d’exploitation agricole*]],FarmUnit[1. Identifiant interne d’exploitation agricole*],0)),FALSE,TRUE))</f>
        <v>1</v>
      </c>
      <c r="AF632" s="9" t="str">
        <f t="shared" si="30"/>
        <v>DOUMBIA  DAOUDA 2</v>
      </c>
      <c r="AG632" s="243" t="str">
        <f t="shared" si="31"/>
        <v>16/7/2021</v>
      </c>
      <c r="AH632" s="51">
        <f>COUNTIFS(Z:Z,Z632,AG:AG,AG632)</f>
        <v>4</v>
      </c>
      <c r="AI632" s="49">
        <f t="shared" si="32"/>
        <v>0</v>
      </c>
    </row>
    <row r="633" spans="1:35" ht="15" x14ac:dyDescent="0.2">
      <c r="A633" s="193" t="s">
        <v>2412</v>
      </c>
      <c r="B633" s="146" t="s">
        <v>668</v>
      </c>
      <c r="C633" s="193" t="s">
        <v>2412</v>
      </c>
      <c r="D633" s="200" t="s">
        <v>669</v>
      </c>
      <c r="E633" s="146" t="s">
        <v>670</v>
      </c>
      <c r="F633" s="146" t="s">
        <v>671</v>
      </c>
      <c r="G633" s="146" t="s">
        <v>672</v>
      </c>
      <c r="H633" s="148">
        <v>1.48</v>
      </c>
      <c r="I633" s="146" t="s">
        <v>673</v>
      </c>
      <c r="J633" s="149">
        <v>1</v>
      </c>
      <c r="K633" s="150">
        <v>2021</v>
      </c>
      <c r="L633" s="201" t="s">
        <v>707</v>
      </c>
      <c r="M633" s="201" t="s">
        <v>2413</v>
      </c>
      <c r="N633" s="202">
        <v>757954184</v>
      </c>
      <c r="O633" s="203"/>
      <c r="P633" s="204" t="s">
        <v>676</v>
      </c>
      <c r="Q633" s="204"/>
      <c r="R633" s="155">
        <v>8</v>
      </c>
      <c r="S633" s="168"/>
      <c r="T633" s="168"/>
      <c r="U633" s="146"/>
      <c r="V633" s="146"/>
      <c r="W633" s="146"/>
      <c r="X633" s="156">
        <v>0</v>
      </c>
      <c r="Y633" s="156">
        <v>0</v>
      </c>
      <c r="Z633" s="157" t="s">
        <v>2160</v>
      </c>
      <c r="AA633" s="158">
        <v>2021</v>
      </c>
      <c r="AB633" s="158">
        <v>8</v>
      </c>
      <c r="AC633" s="158">
        <v>12</v>
      </c>
      <c r="AD633" s="122" t="b">
        <f>IF(ISBLANK(GroupMember[[#This Row],[1. Identifiant interne d’exploitation agricole*]]),"",IF(ISERROR(MATCH(GroupMember[[#This Row],[1. Identifiant interne d’exploitation agricole*]],CertifiedCrop[1. Identifiant interne d’exploitation agricole*],0)),FALSE,TRUE))</f>
        <v>1</v>
      </c>
      <c r="AE633" s="122" t="b">
        <f>IF(ISBLANK(GroupMember[[#This Row],[1. Identifiant interne d’exploitation agricole*]]),"",IF(ISERROR(MATCH(GroupMember[[#This Row],[1. Identifiant interne d’exploitation agricole*]],FarmUnit[1. Identifiant interne d’exploitation agricole*],0)),FALSE,TRUE))</f>
        <v>1</v>
      </c>
      <c r="AF633" s="9" t="str">
        <f t="shared" si="30"/>
        <v>OUEDRAOGO  DENIS</v>
      </c>
      <c r="AG633" s="243" t="str">
        <f t="shared" si="31"/>
        <v>12/8/2021</v>
      </c>
      <c r="AH633" s="51">
        <f>COUNTIFS(Z:Z,Z633,AG:AG,AG633)</f>
        <v>4</v>
      </c>
      <c r="AI633" s="49">
        <f t="shared" si="32"/>
        <v>0</v>
      </c>
    </row>
    <row r="634" spans="1:35" ht="15" x14ac:dyDescent="0.2">
      <c r="A634" s="193" t="s">
        <v>2414</v>
      </c>
      <c r="B634" s="146" t="s">
        <v>668</v>
      </c>
      <c r="C634" s="193" t="s">
        <v>2414</v>
      </c>
      <c r="D634" s="200" t="s">
        <v>669</v>
      </c>
      <c r="E634" s="146" t="s">
        <v>670</v>
      </c>
      <c r="F634" s="146" t="s">
        <v>671</v>
      </c>
      <c r="G634" s="146" t="s">
        <v>672</v>
      </c>
      <c r="H634" s="148">
        <v>2.67</v>
      </c>
      <c r="I634" s="146" t="s">
        <v>673</v>
      </c>
      <c r="J634" s="149">
        <v>1</v>
      </c>
      <c r="K634" s="150">
        <v>2021</v>
      </c>
      <c r="L634" s="201" t="s">
        <v>828</v>
      </c>
      <c r="M634" s="201" t="s">
        <v>2415</v>
      </c>
      <c r="N634" s="202">
        <v>777232621</v>
      </c>
      <c r="O634" s="203"/>
      <c r="P634" s="204" t="s">
        <v>676</v>
      </c>
      <c r="Q634" s="204"/>
      <c r="R634" s="155">
        <v>4</v>
      </c>
      <c r="S634" s="168"/>
      <c r="T634" s="168"/>
      <c r="U634" s="146"/>
      <c r="V634" s="146"/>
      <c r="W634" s="146"/>
      <c r="X634" s="156">
        <v>0</v>
      </c>
      <c r="Y634" s="156">
        <v>0</v>
      </c>
      <c r="Z634" s="157" t="s">
        <v>2160</v>
      </c>
      <c r="AA634" s="158">
        <v>2021</v>
      </c>
      <c r="AB634" s="158">
        <v>8</v>
      </c>
      <c r="AC634" s="158">
        <v>14</v>
      </c>
      <c r="AD634" s="122" t="b">
        <f>IF(ISBLANK(GroupMember[[#This Row],[1. Identifiant interne d’exploitation agricole*]]),"",IF(ISERROR(MATCH(GroupMember[[#This Row],[1. Identifiant interne d’exploitation agricole*]],CertifiedCrop[1. Identifiant interne d’exploitation agricole*],0)),FALSE,TRUE))</f>
        <v>1</v>
      </c>
      <c r="AE634" s="122" t="b">
        <f>IF(ISBLANK(GroupMember[[#This Row],[1. Identifiant interne d’exploitation agricole*]]),"",IF(ISERROR(MATCH(GroupMember[[#This Row],[1. Identifiant interne d’exploitation agricole*]],FarmUnit[1. Identifiant interne d’exploitation agricole*],0)),FALSE,TRUE))</f>
        <v>1</v>
      </c>
      <c r="AF634" s="9" t="str">
        <f t="shared" si="30"/>
        <v>KONATE  FLATIE</v>
      </c>
      <c r="AG634" s="243" t="str">
        <f t="shared" si="31"/>
        <v>14/8/2021</v>
      </c>
      <c r="AH634" s="51">
        <f>COUNTIFS(Z:Z,Z634,AG:AG,AG634)</f>
        <v>4</v>
      </c>
      <c r="AI634" s="49">
        <f t="shared" si="32"/>
        <v>0</v>
      </c>
    </row>
    <row r="635" spans="1:35" ht="15" x14ac:dyDescent="0.2">
      <c r="A635" s="193" t="s">
        <v>2416</v>
      </c>
      <c r="B635" s="146" t="s">
        <v>668</v>
      </c>
      <c r="C635" s="193" t="s">
        <v>2416</v>
      </c>
      <c r="D635" s="200" t="s">
        <v>669</v>
      </c>
      <c r="E635" s="146" t="s">
        <v>670</v>
      </c>
      <c r="F635" s="146" t="s">
        <v>671</v>
      </c>
      <c r="G635" s="146" t="s">
        <v>672</v>
      </c>
      <c r="H635" s="148">
        <v>3.06</v>
      </c>
      <c r="I635" s="146" t="s">
        <v>673</v>
      </c>
      <c r="J635" s="149">
        <v>1</v>
      </c>
      <c r="K635" s="150">
        <v>2021</v>
      </c>
      <c r="L635" s="201" t="s">
        <v>715</v>
      </c>
      <c r="M635" s="201" t="s">
        <v>2417</v>
      </c>
      <c r="N635" s="202">
        <v>757057658</v>
      </c>
      <c r="O635" s="203"/>
      <c r="P635" s="204" t="s">
        <v>676</v>
      </c>
      <c r="Q635" s="204"/>
      <c r="R635" s="155">
        <v>7</v>
      </c>
      <c r="S635" s="168"/>
      <c r="T635" s="168"/>
      <c r="U635" s="146"/>
      <c r="V635" s="146"/>
      <c r="W635" s="146"/>
      <c r="X635" s="156">
        <v>0</v>
      </c>
      <c r="Y635" s="156">
        <v>0</v>
      </c>
      <c r="Z635" s="157" t="s">
        <v>2160</v>
      </c>
      <c r="AA635" s="158">
        <v>2021</v>
      </c>
      <c r="AB635" s="158">
        <v>8</v>
      </c>
      <c r="AC635" s="158">
        <v>11</v>
      </c>
      <c r="AD635" s="122" t="b">
        <f>IF(ISBLANK(GroupMember[[#This Row],[1. Identifiant interne d’exploitation agricole*]]),"",IF(ISERROR(MATCH(GroupMember[[#This Row],[1. Identifiant interne d’exploitation agricole*]],CertifiedCrop[1. Identifiant interne d’exploitation agricole*],0)),FALSE,TRUE))</f>
        <v>1</v>
      </c>
      <c r="AE635" s="122" t="b">
        <f>IF(ISBLANK(GroupMember[[#This Row],[1. Identifiant interne d’exploitation agricole*]]),"",IF(ISERROR(MATCH(GroupMember[[#This Row],[1. Identifiant interne d’exploitation agricole*]],FarmUnit[1. Identifiant interne d’exploitation agricole*],0)),FALSE,TRUE))</f>
        <v>1</v>
      </c>
      <c r="AF635" s="9" t="str">
        <f t="shared" si="30"/>
        <v>TRAORE MADOU</v>
      </c>
      <c r="AG635" s="243" t="str">
        <f t="shared" si="31"/>
        <v>11/8/2021</v>
      </c>
      <c r="AH635" s="51">
        <f>COUNTIFS(Z:Z,Z635,AG:AG,AG635)</f>
        <v>4</v>
      </c>
      <c r="AI635" s="49">
        <f t="shared" si="32"/>
        <v>0</v>
      </c>
    </row>
    <row r="636" spans="1:35" ht="15" x14ac:dyDescent="0.2">
      <c r="A636" s="193" t="s">
        <v>2418</v>
      </c>
      <c r="B636" s="146" t="s">
        <v>668</v>
      </c>
      <c r="C636" s="193" t="s">
        <v>2418</v>
      </c>
      <c r="D636" s="200" t="s">
        <v>669</v>
      </c>
      <c r="E636" s="146" t="s">
        <v>670</v>
      </c>
      <c r="F636" s="146" t="s">
        <v>671</v>
      </c>
      <c r="G636" s="146" t="s">
        <v>672</v>
      </c>
      <c r="H636" s="148">
        <v>9.56</v>
      </c>
      <c r="I636" s="146" t="s">
        <v>673</v>
      </c>
      <c r="J636" s="149">
        <v>1</v>
      </c>
      <c r="K636" s="150">
        <v>2021</v>
      </c>
      <c r="L636" s="201" t="s">
        <v>707</v>
      </c>
      <c r="M636" s="201" t="s">
        <v>2419</v>
      </c>
      <c r="N636" s="202"/>
      <c r="O636" s="203"/>
      <c r="P636" s="204" t="s">
        <v>676</v>
      </c>
      <c r="Q636" s="204"/>
      <c r="R636" s="155">
        <v>9</v>
      </c>
      <c r="S636" s="168"/>
      <c r="T636" s="168"/>
      <c r="U636" s="146"/>
      <c r="V636" s="146"/>
      <c r="W636" s="146"/>
      <c r="X636" s="156">
        <v>0</v>
      </c>
      <c r="Y636" s="156">
        <v>0</v>
      </c>
      <c r="Z636" s="157" t="s">
        <v>2160</v>
      </c>
      <c r="AA636" s="158">
        <v>2021</v>
      </c>
      <c r="AB636" s="158">
        <v>8</v>
      </c>
      <c r="AC636" s="158">
        <v>17</v>
      </c>
      <c r="AD636" s="122" t="b">
        <f>IF(ISBLANK(GroupMember[[#This Row],[1. Identifiant interne d’exploitation agricole*]]),"",IF(ISERROR(MATCH(GroupMember[[#This Row],[1. Identifiant interne d’exploitation agricole*]],CertifiedCrop[1. Identifiant interne d’exploitation agricole*],0)),FALSE,TRUE))</f>
        <v>1</v>
      </c>
      <c r="AE636" s="122" t="b">
        <f>IF(ISBLANK(GroupMember[[#This Row],[1. Identifiant interne d’exploitation agricole*]]),"",IF(ISERROR(MATCH(GroupMember[[#This Row],[1. Identifiant interne d’exploitation agricole*]],FarmUnit[1. Identifiant interne d’exploitation agricole*],0)),FALSE,TRUE))</f>
        <v>1</v>
      </c>
      <c r="AF636" s="9" t="str">
        <f t="shared" si="30"/>
        <v>OUEDRAOGO  URBAIN</v>
      </c>
      <c r="AG636" s="243" t="str">
        <f t="shared" si="31"/>
        <v>17/8/2021</v>
      </c>
      <c r="AH636" s="51">
        <f>COUNTIFS(Z:Z,Z636,AG:AG,AG636)</f>
        <v>3</v>
      </c>
      <c r="AI636" s="49">
        <f t="shared" si="32"/>
        <v>0</v>
      </c>
    </row>
    <row r="637" spans="1:35" ht="15" x14ac:dyDescent="0.2">
      <c r="A637" s="193" t="s">
        <v>2420</v>
      </c>
      <c r="B637" s="146" t="s">
        <v>668</v>
      </c>
      <c r="C637" s="193" t="s">
        <v>2420</v>
      </c>
      <c r="D637" s="200" t="s">
        <v>669</v>
      </c>
      <c r="E637" s="146" t="s">
        <v>670</v>
      </c>
      <c r="F637" s="146" t="s">
        <v>671</v>
      </c>
      <c r="G637" s="146" t="s">
        <v>672</v>
      </c>
      <c r="H637" s="148">
        <v>4</v>
      </c>
      <c r="I637" s="146" t="s">
        <v>673</v>
      </c>
      <c r="J637" s="149">
        <v>1</v>
      </c>
      <c r="K637" s="150">
        <v>2021</v>
      </c>
      <c r="L637" s="199" t="s">
        <v>2170</v>
      </c>
      <c r="M637" s="199" t="s">
        <v>2421</v>
      </c>
      <c r="N637" s="172" t="s">
        <v>2422</v>
      </c>
      <c r="O637" s="203"/>
      <c r="P637" s="204" t="s">
        <v>676</v>
      </c>
      <c r="Q637" s="150"/>
      <c r="R637" s="155">
        <v>5</v>
      </c>
      <c r="S637" s="168"/>
      <c r="T637" s="168"/>
      <c r="U637" s="146"/>
      <c r="V637" s="146"/>
      <c r="W637" s="146"/>
      <c r="X637" s="156">
        <v>0</v>
      </c>
      <c r="Y637" s="156">
        <v>0</v>
      </c>
      <c r="Z637" s="157" t="s">
        <v>2160</v>
      </c>
      <c r="AA637" s="158">
        <v>2021</v>
      </c>
      <c r="AB637" s="158">
        <v>8</v>
      </c>
      <c r="AC637" s="158">
        <v>13</v>
      </c>
      <c r="AD637" s="122" t="b">
        <f>IF(ISBLANK(GroupMember[[#This Row],[1. Identifiant interne d’exploitation agricole*]]),"",IF(ISERROR(MATCH(GroupMember[[#This Row],[1. Identifiant interne d’exploitation agricole*]],CertifiedCrop[1. Identifiant interne d’exploitation agricole*],0)),FALSE,TRUE))</f>
        <v>1</v>
      </c>
      <c r="AE637" s="122" t="b">
        <f>IF(ISBLANK(GroupMember[[#This Row],[1. Identifiant interne d’exploitation agricole*]]),"",IF(ISERROR(MATCH(GroupMember[[#This Row],[1. Identifiant interne d’exploitation agricole*]],FarmUnit[1. Identifiant interne d’exploitation agricole*],0)),FALSE,TRUE))</f>
        <v>1</v>
      </c>
      <c r="AF637" s="9" t="str">
        <f t="shared" si="30"/>
        <v>KEITA  DIAKARIDIA</v>
      </c>
      <c r="AG637" s="243" t="str">
        <f t="shared" si="31"/>
        <v>13/8/2021</v>
      </c>
      <c r="AH637" s="51">
        <f>COUNTIFS(Z:Z,Z637,AG:AG,AG637)</f>
        <v>4</v>
      </c>
      <c r="AI637" s="49">
        <f t="shared" si="32"/>
        <v>0</v>
      </c>
    </row>
    <row r="638" spans="1:35" ht="15" x14ac:dyDescent="0.2">
      <c r="A638" s="193" t="s">
        <v>2423</v>
      </c>
      <c r="B638" s="146" t="s">
        <v>668</v>
      </c>
      <c r="C638" s="193" t="s">
        <v>2423</v>
      </c>
      <c r="D638" s="200" t="s">
        <v>1853</v>
      </c>
      <c r="E638" s="146" t="s">
        <v>670</v>
      </c>
      <c r="F638" s="146" t="s">
        <v>671</v>
      </c>
      <c r="G638" s="146" t="s">
        <v>672</v>
      </c>
      <c r="H638" s="148">
        <v>3</v>
      </c>
      <c r="I638" s="146" t="s">
        <v>673</v>
      </c>
      <c r="J638" s="149">
        <v>1</v>
      </c>
      <c r="K638" s="150">
        <v>2021</v>
      </c>
      <c r="L638" s="199" t="s">
        <v>2424</v>
      </c>
      <c r="M638" s="199" t="s">
        <v>1029</v>
      </c>
      <c r="N638" s="172"/>
      <c r="O638" s="203"/>
      <c r="P638" s="204" t="s">
        <v>676</v>
      </c>
      <c r="Q638" s="150"/>
      <c r="R638" s="155">
        <v>6</v>
      </c>
      <c r="S638" s="168"/>
      <c r="T638" s="168"/>
      <c r="U638" s="146"/>
      <c r="V638" s="146"/>
      <c r="W638" s="146"/>
      <c r="X638" s="156">
        <v>0</v>
      </c>
      <c r="Y638" s="156">
        <v>0</v>
      </c>
      <c r="Z638" s="157" t="s">
        <v>2160</v>
      </c>
      <c r="AA638" s="158">
        <v>2021</v>
      </c>
      <c r="AB638" s="158">
        <v>8</v>
      </c>
      <c r="AC638" s="158">
        <v>17</v>
      </c>
      <c r="AD638" s="122" t="b">
        <f>IF(ISBLANK(GroupMember[[#This Row],[1. Identifiant interne d’exploitation agricole*]]),"",IF(ISERROR(MATCH(GroupMember[[#This Row],[1. Identifiant interne d’exploitation agricole*]],CertifiedCrop[1. Identifiant interne d’exploitation agricole*],0)),FALSE,TRUE))</f>
        <v>1</v>
      </c>
      <c r="AE638" s="122" t="b">
        <f>IF(ISBLANK(GroupMember[[#This Row],[1. Identifiant interne d’exploitation agricole*]]),"",IF(ISERROR(MATCH(GroupMember[[#This Row],[1. Identifiant interne d’exploitation agricole*]],FarmUnit[1. Identifiant interne d’exploitation agricole*],0)),FALSE,TRUE))</f>
        <v>1</v>
      </c>
      <c r="AF638" s="9" t="str">
        <f t="shared" si="30"/>
        <v>SAMAN  MATHIEU</v>
      </c>
      <c r="AG638" s="243" t="str">
        <f t="shared" si="31"/>
        <v>17/8/2021</v>
      </c>
      <c r="AH638" s="51">
        <f>COUNTIFS(Z:Z,Z638,AG:AG,AG638)</f>
        <v>3</v>
      </c>
      <c r="AI638" s="49">
        <f t="shared" si="32"/>
        <v>0</v>
      </c>
    </row>
    <row r="639" spans="1:35" ht="15" x14ac:dyDescent="0.2">
      <c r="A639" s="193" t="s">
        <v>2425</v>
      </c>
      <c r="B639" s="146" t="s">
        <v>668</v>
      </c>
      <c r="C639" s="193" t="s">
        <v>2425</v>
      </c>
      <c r="D639" s="200" t="s">
        <v>1853</v>
      </c>
      <c r="E639" s="146" t="s">
        <v>670</v>
      </c>
      <c r="F639" s="146" t="s">
        <v>671</v>
      </c>
      <c r="G639" s="146" t="s">
        <v>672</v>
      </c>
      <c r="H639" s="148">
        <v>3</v>
      </c>
      <c r="I639" s="146" t="s">
        <v>673</v>
      </c>
      <c r="J639" s="149">
        <v>1</v>
      </c>
      <c r="K639" s="150">
        <v>2021</v>
      </c>
      <c r="L639" s="199" t="s">
        <v>2426</v>
      </c>
      <c r="M639" s="199" t="s">
        <v>2427</v>
      </c>
      <c r="N639" s="172"/>
      <c r="O639" s="209"/>
      <c r="P639" s="204" t="s">
        <v>676</v>
      </c>
      <c r="Q639" s="150"/>
      <c r="R639" s="155">
        <v>8</v>
      </c>
      <c r="S639" s="168"/>
      <c r="T639" s="168"/>
      <c r="U639" s="146"/>
      <c r="V639" s="146"/>
      <c r="W639" s="146"/>
      <c r="X639" s="156">
        <v>0</v>
      </c>
      <c r="Y639" s="156">
        <v>0</v>
      </c>
      <c r="Z639" s="157" t="s">
        <v>2160</v>
      </c>
      <c r="AA639" s="158">
        <v>2021</v>
      </c>
      <c r="AB639" s="158">
        <v>8</v>
      </c>
      <c r="AC639" s="158">
        <v>11</v>
      </c>
      <c r="AD639" s="122" t="b">
        <f>IF(ISBLANK(GroupMember[[#This Row],[1. Identifiant interne d’exploitation agricole*]]),"",IF(ISERROR(MATCH(GroupMember[[#This Row],[1. Identifiant interne d’exploitation agricole*]],CertifiedCrop[1. Identifiant interne d’exploitation agricole*],0)),FALSE,TRUE))</f>
        <v>1</v>
      </c>
      <c r="AE639" s="122" t="b">
        <f>IF(ISBLANK(GroupMember[[#This Row],[1. Identifiant interne d’exploitation agricole*]]),"",IF(ISERROR(MATCH(GroupMember[[#This Row],[1. Identifiant interne d’exploitation agricole*]],FarmUnit[1. Identifiant interne d’exploitation agricole*],0)),FALSE,TRUE))</f>
        <v>1</v>
      </c>
      <c r="AF639" s="9" t="str">
        <f t="shared" si="30"/>
        <v>KISSOU JEAN</v>
      </c>
      <c r="AG639" s="243" t="str">
        <f t="shared" si="31"/>
        <v>11/8/2021</v>
      </c>
      <c r="AH639" s="51">
        <f>COUNTIFS(Z:Z,Z639,AG:AG,AG639)</f>
        <v>4</v>
      </c>
      <c r="AI639" s="49">
        <f t="shared" si="32"/>
        <v>0</v>
      </c>
    </row>
    <row r="640" spans="1:35" ht="15" x14ac:dyDescent="0.2">
      <c r="A640" s="193" t="s">
        <v>2428</v>
      </c>
      <c r="B640" s="146" t="s">
        <v>668</v>
      </c>
      <c r="C640" s="193" t="s">
        <v>2428</v>
      </c>
      <c r="D640" s="200" t="s">
        <v>1853</v>
      </c>
      <c r="E640" s="146" t="s">
        <v>670</v>
      </c>
      <c r="F640" s="146" t="s">
        <v>671</v>
      </c>
      <c r="G640" s="146" t="s">
        <v>672</v>
      </c>
      <c r="H640" s="148">
        <v>3.5</v>
      </c>
      <c r="I640" s="146" t="s">
        <v>673</v>
      </c>
      <c r="J640" s="149">
        <v>1</v>
      </c>
      <c r="K640" s="150">
        <v>2021</v>
      </c>
      <c r="L640" s="199" t="s">
        <v>1926</v>
      </c>
      <c r="M640" s="199" t="s">
        <v>2429</v>
      </c>
      <c r="N640" s="172"/>
      <c r="O640" s="209"/>
      <c r="P640" s="204" t="s">
        <v>676</v>
      </c>
      <c r="Q640" s="150"/>
      <c r="R640" s="155">
        <v>7</v>
      </c>
      <c r="S640" s="168"/>
      <c r="T640" s="168"/>
      <c r="U640" s="146"/>
      <c r="V640" s="146"/>
      <c r="W640" s="146"/>
      <c r="X640" s="156">
        <v>0</v>
      </c>
      <c r="Y640" s="156">
        <v>0</v>
      </c>
      <c r="Z640" s="157" t="s">
        <v>2160</v>
      </c>
      <c r="AA640" s="158">
        <v>2021</v>
      </c>
      <c r="AB640" s="158">
        <v>8</v>
      </c>
      <c r="AC640" s="158">
        <v>13</v>
      </c>
      <c r="AD640" s="122" t="b">
        <f>IF(ISBLANK(GroupMember[[#This Row],[1. Identifiant interne d’exploitation agricole*]]),"",IF(ISERROR(MATCH(GroupMember[[#This Row],[1. Identifiant interne d’exploitation agricole*]],CertifiedCrop[1. Identifiant interne d’exploitation agricole*],0)),FALSE,TRUE))</f>
        <v>1</v>
      </c>
      <c r="AE640" s="122" t="b">
        <f>IF(ISBLANK(GroupMember[[#This Row],[1. Identifiant interne d’exploitation agricole*]]),"",IF(ISERROR(MATCH(GroupMember[[#This Row],[1. Identifiant interne d’exploitation agricole*]],FarmUnit[1. Identifiant interne d’exploitation agricole*],0)),FALSE,TRUE))</f>
        <v>1</v>
      </c>
      <c r="AF640" s="9" t="str">
        <f t="shared" si="30"/>
        <v>ZOUNGRANA  KISWENDSIDA</v>
      </c>
      <c r="AG640" s="243" t="str">
        <f t="shared" si="31"/>
        <v>13/8/2021</v>
      </c>
      <c r="AH640" s="51">
        <f>COUNTIFS(Z:Z,Z640,AG:AG,AG640)</f>
        <v>4</v>
      </c>
      <c r="AI640" s="49">
        <f t="shared" si="32"/>
        <v>0</v>
      </c>
    </row>
    <row r="641" spans="1:35" ht="15" x14ac:dyDescent="0.2">
      <c r="A641" s="193" t="s">
        <v>2430</v>
      </c>
      <c r="B641" s="146" t="s">
        <v>668</v>
      </c>
      <c r="C641" s="193" t="s">
        <v>2430</v>
      </c>
      <c r="D641" s="200" t="s">
        <v>1853</v>
      </c>
      <c r="E641" s="146" t="s">
        <v>670</v>
      </c>
      <c r="F641" s="146" t="s">
        <v>671</v>
      </c>
      <c r="G641" s="146" t="s">
        <v>672</v>
      </c>
      <c r="H641" s="148">
        <v>2.5</v>
      </c>
      <c r="I641" s="146" t="s">
        <v>673</v>
      </c>
      <c r="J641" s="149">
        <v>1</v>
      </c>
      <c r="K641" s="150">
        <v>2021</v>
      </c>
      <c r="L641" s="199" t="s">
        <v>2431</v>
      </c>
      <c r="M641" s="199" t="s">
        <v>2432</v>
      </c>
      <c r="N641" s="172"/>
      <c r="O641" s="209"/>
      <c r="P641" s="204" t="s">
        <v>676</v>
      </c>
      <c r="Q641" s="150"/>
      <c r="R641" s="155">
        <v>6</v>
      </c>
      <c r="S641" s="168"/>
      <c r="T641" s="168"/>
      <c r="U641" s="146"/>
      <c r="V641" s="146"/>
      <c r="W641" s="146"/>
      <c r="X641" s="156">
        <v>0</v>
      </c>
      <c r="Y641" s="156">
        <v>0</v>
      </c>
      <c r="Z641" s="157" t="s">
        <v>2160</v>
      </c>
      <c r="AA641" s="158">
        <v>2021</v>
      </c>
      <c r="AB641" s="158">
        <v>7</v>
      </c>
      <c r="AC641" s="158">
        <v>16</v>
      </c>
      <c r="AD641" s="122" t="b">
        <f>IF(ISBLANK(GroupMember[[#This Row],[1. Identifiant interne d’exploitation agricole*]]),"",IF(ISERROR(MATCH(GroupMember[[#This Row],[1. Identifiant interne d’exploitation agricole*]],CertifiedCrop[1. Identifiant interne d’exploitation agricole*],0)),FALSE,TRUE))</f>
        <v>1</v>
      </c>
      <c r="AE641" s="122" t="b">
        <f>IF(ISBLANK(GroupMember[[#This Row],[1. Identifiant interne d’exploitation agricole*]]),"",IF(ISERROR(MATCH(GroupMember[[#This Row],[1. Identifiant interne d’exploitation agricole*]],FarmUnit[1. Identifiant interne d’exploitation agricole*],0)),FALSE,TRUE))</f>
        <v>1</v>
      </c>
      <c r="AF641" s="9" t="str">
        <f t="shared" si="30"/>
        <v>WALBIOGO  PHILIP</v>
      </c>
      <c r="AG641" s="243" t="str">
        <f t="shared" si="31"/>
        <v>16/7/2021</v>
      </c>
      <c r="AH641" s="51">
        <f>COUNTIFS(Z:Z,Z641,AG:AG,AG641)</f>
        <v>4</v>
      </c>
      <c r="AI641" s="49">
        <f t="shared" si="32"/>
        <v>0</v>
      </c>
    </row>
    <row r="642" spans="1:35" ht="15" x14ac:dyDescent="0.2">
      <c r="A642" s="193" t="s">
        <v>2433</v>
      </c>
      <c r="B642" s="146" t="s">
        <v>668</v>
      </c>
      <c r="C642" s="193" t="s">
        <v>2433</v>
      </c>
      <c r="D642" s="200" t="s">
        <v>1853</v>
      </c>
      <c r="E642" s="146" t="s">
        <v>670</v>
      </c>
      <c r="F642" s="146" t="s">
        <v>671</v>
      </c>
      <c r="G642" s="146" t="s">
        <v>672</v>
      </c>
      <c r="H642" s="148">
        <v>1.79</v>
      </c>
      <c r="I642" s="146" t="s">
        <v>673</v>
      </c>
      <c r="J642" s="149">
        <v>1</v>
      </c>
      <c r="K642" s="150">
        <v>2021</v>
      </c>
      <c r="L642" s="199" t="s">
        <v>707</v>
      </c>
      <c r="M642" s="199" t="s">
        <v>2434</v>
      </c>
      <c r="N642" s="172"/>
      <c r="O642" s="209"/>
      <c r="P642" s="204" t="s">
        <v>676</v>
      </c>
      <c r="Q642" s="150"/>
      <c r="R642" s="155">
        <v>6</v>
      </c>
      <c r="S642" s="168"/>
      <c r="T642" s="168"/>
      <c r="U642" s="146"/>
      <c r="V642" s="146"/>
      <c r="W642" s="146"/>
      <c r="X642" s="156">
        <v>0</v>
      </c>
      <c r="Y642" s="156">
        <v>0</v>
      </c>
      <c r="Z642" s="157" t="s">
        <v>2160</v>
      </c>
      <c r="AA642" s="158">
        <v>2021</v>
      </c>
      <c r="AB642" s="158">
        <v>7</v>
      </c>
      <c r="AC642" s="158">
        <v>8</v>
      </c>
      <c r="AD642" s="122" t="b">
        <f>IF(ISBLANK(GroupMember[[#This Row],[1. Identifiant interne d’exploitation agricole*]]),"",IF(ISERROR(MATCH(GroupMember[[#This Row],[1. Identifiant interne d’exploitation agricole*]],CertifiedCrop[1. Identifiant interne d’exploitation agricole*],0)),FALSE,TRUE))</f>
        <v>1</v>
      </c>
      <c r="AE642" s="122" t="b">
        <f>IF(ISBLANK(GroupMember[[#This Row],[1. Identifiant interne d’exploitation agricole*]]),"",IF(ISERROR(MATCH(GroupMember[[#This Row],[1. Identifiant interne d’exploitation agricole*]],FarmUnit[1. Identifiant interne d’exploitation agricole*],0)),FALSE,TRUE))</f>
        <v>1</v>
      </c>
      <c r="AF642" s="9" t="str">
        <f t="shared" si="30"/>
        <v>OUEDRAOGO  KOUGUIA</v>
      </c>
      <c r="AG642" s="243" t="str">
        <f t="shared" si="31"/>
        <v>8/7/2021</v>
      </c>
      <c r="AH642" s="51">
        <f>COUNTIFS(Z:Z,Z642,AG:AG,AG642)</f>
        <v>5</v>
      </c>
      <c r="AI642" s="49">
        <f t="shared" si="32"/>
        <v>0</v>
      </c>
    </row>
    <row r="643" spans="1:35" ht="15" x14ac:dyDescent="0.2">
      <c r="A643" s="193" t="s">
        <v>2435</v>
      </c>
      <c r="B643" s="146" t="s">
        <v>668</v>
      </c>
      <c r="C643" s="193" t="s">
        <v>2435</v>
      </c>
      <c r="D643" s="200" t="s">
        <v>1853</v>
      </c>
      <c r="E643" s="146" t="s">
        <v>670</v>
      </c>
      <c r="F643" s="146" t="s">
        <v>671</v>
      </c>
      <c r="G643" s="146" t="s">
        <v>672</v>
      </c>
      <c r="H643" s="148">
        <v>1.45</v>
      </c>
      <c r="I643" s="146" t="s">
        <v>673</v>
      </c>
      <c r="J643" s="149">
        <v>1</v>
      </c>
      <c r="K643" s="150">
        <v>2021</v>
      </c>
      <c r="L643" s="199" t="s">
        <v>2436</v>
      </c>
      <c r="M643" s="199" t="s">
        <v>2437</v>
      </c>
      <c r="N643" s="172"/>
      <c r="O643" s="199"/>
      <c r="P643" s="204" t="s">
        <v>676</v>
      </c>
      <c r="Q643" s="150"/>
      <c r="R643" s="155">
        <v>4</v>
      </c>
      <c r="S643" s="168"/>
      <c r="T643" s="168"/>
      <c r="U643" s="146"/>
      <c r="V643" s="146"/>
      <c r="W643" s="146"/>
      <c r="X643" s="156">
        <v>0</v>
      </c>
      <c r="Y643" s="156">
        <v>0</v>
      </c>
      <c r="Z643" s="157" t="s">
        <v>2160</v>
      </c>
      <c r="AA643" s="158">
        <v>2021</v>
      </c>
      <c r="AB643" s="158">
        <v>8</v>
      </c>
      <c r="AC643" s="158">
        <v>14</v>
      </c>
      <c r="AD643" s="122" t="b">
        <f>IF(ISBLANK(GroupMember[[#This Row],[1. Identifiant interne d’exploitation agricole*]]),"",IF(ISERROR(MATCH(GroupMember[[#This Row],[1. Identifiant interne d’exploitation agricole*]],CertifiedCrop[1. Identifiant interne d’exploitation agricole*],0)),FALSE,TRUE))</f>
        <v>1</v>
      </c>
      <c r="AE643" s="122" t="b">
        <f>IF(ISBLANK(GroupMember[[#This Row],[1. Identifiant interne d’exploitation agricole*]]),"",IF(ISERROR(MATCH(GroupMember[[#This Row],[1. Identifiant interne d’exploitation agricole*]],FarmUnit[1. Identifiant interne d’exploitation agricole*],0)),FALSE,TRUE))</f>
        <v>1</v>
      </c>
      <c r="AF643" s="9" t="str">
        <f t="shared" si="30"/>
        <v>GON  DOMI JACQUES</v>
      </c>
      <c r="AG643" s="243" t="str">
        <f t="shared" si="31"/>
        <v>14/8/2021</v>
      </c>
      <c r="AH643" s="51">
        <f>COUNTIFS(Z:Z,Z643,AG:AG,AG643)</f>
        <v>4</v>
      </c>
      <c r="AI643" s="49">
        <f t="shared" si="32"/>
        <v>0</v>
      </c>
    </row>
    <row r="644" spans="1:35" ht="15" x14ac:dyDescent="0.2">
      <c r="A644" s="193" t="s">
        <v>2438</v>
      </c>
      <c r="B644" s="146" t="s">
        <v>668</v>
      </c>
      <c r="C644" s="193" t="s">
        <v>2438</v>
      </c>
      <c r="D644" s="200" t="s">
        <v>1853</v>
      </c>
      <c r="E644" s="146" t="s">
        <v>670</v>
      </c>
      <c r="F644" s="146" t="s">
        <v>671</v>
      </c>
      <c r="G644" s="146" t="s">
        <v>672</v>
      </c>
      <c r="H644" s="148">
        <v>1.18</v>
      </c>
      <c r="I644" s="146" t="s">
        <v>673</v>
      </c>
      <c r="J644" s="149">
        <v>1</v>
      </c>
      <c r="K644" s="150">
        <v>2021</v>
      </c>
      <c r="L644" s="199" t="s">
        <v>707</v>
      </c>
      <c r="M644" s="199" t="s">
        <v>2439</v>
      </c>
      <c r="N644" s="172"/>
      <c r="O644" s="199" t="s">
        <v>2440</v>
      </c>
      <c r="P644" s="204" t="s">
        <v>676</v>
      </c>
      <c r="Q644" s="150">
        <v>1984</v>
      </c>
      <c r="R644" s="155">
        <v>5</v>
      </c>
      <c r="S644" s="168"/>
      <c r="T644" s="168"/>
      <c r="U644" s="146"/>
      <c r="V644" s="146"/>
      <c r="W644" s="146"/>
      <c r="X644" s="156">
        <v>0</v>
      </c>
      <c r="Y644" s="156">
        <v>0</v>
      </c>
      <c r="Z644" s="157" t="s">
        <v>2160</v>
      </c>
      <c r="AA644" s="158">
        <v>2021</v>
      </c>
      <c r="AB644" s="158">
        <v>8</v>
      </c>
      <c r="AC644" s="158">
        <v>17</v>
      </c>
      <c r="AD644" s="122" t="b">
        <f>IF(ISBLANK(GroupMember[[#This Row],[1. Identifiant interne d’exploitation agricole*]]),"",IF(ISERROR(MATCH(GroupMember[[#This Row],[1. Identifiant interne d’exploitation agricole*]],CertifiedCrop[1. Identifiant interne d’exploitation agricole*],0)),FALSE,TRUE))</f>
        <v>1</v>
      </c>
      <c r="AE644" s="122" t="b">
        <f>IF(ISBLANK(GroupMember[[#This Row],[1. Identifiant interne d’exploitation agricole*]]),"",IF(ISERROR(MATCH(GroupMember[[#This Row],[1. Identifiant interne d’exploitation agricole*]],FarmUnit[1. Identifiant interne d’exploitation agricole*],0)),FALSE,TRUE))</f>
        <v>1</v>
      </c>
      <c r="AF644" s="9" t="str">
        <f t="shared" si="30"/>
        <v>OUEDRAOGO  ZOUBLE MICHEL</v>
      </c>
      <c r="AG644" s="243" t="str">
        <f t="shared" si="31"/>
        <v>17/8/2021</v>
      </c>
      <c r="AH644" s="51">
        <f>COUNTIFS(Z:Z,Z644,AG:AG,AG644)</f>
        <v>3</v>
      </c>
      <c r="AI644" s="49">
        <f t="shared" si="32"/>
        <v>0</v>
      </c>
    </row>
    <row r="645" spans="1:35" ht="15" x14ac:dyDescent="0.2">
      <c r="A645" s="193" t="s">
        <v>2441</v>
      </c>
      <c r="B645" s="146" t="s">
        <v>668</v>
      </c>
      <c r="C645" s="193" t="s">
        <v>2441</v>
      </c>
      <c r="D645" s="200" t="s">
        <v>1853</v>
      </c>
      <c r="E645" s="146" t="s">
        <v>670</v>
      </c>
      <c r="F645" s="146" t="s">
        <v>671</v>
      </c>
      <c r="G645" s="146" t="s">
        <v>672</v>
      </c>
      <c r="H645" s="148">
        <v>2</v>
      </c>
      <c r="I645" s="146" t="s">
        <v>673</v>
      </c>
      <c r="J645" s="149">
        <v>1</v>
      </c>
      <c r="K645" s="150">
        <v>2021</v>
      </c>
      <c r="L645" s="199" t="s">
        <v>707</v>
      </c>
      <c r="M645" s="199" t="s">
        <v>2442</v>
      </c>
      <c r="N645" s="172"/>
      <c r="O645" s="199"/>
      <c r="P645" s="204" t="s">
        <v>676</v>
      </c>
      <c r="Q645" s="299"/>
      <c r="R645" s="155">
        <v>5</v>
      </c>
      <c r="S645" s="168"/>
      <c r="T645" s="168"/>
      <c r="U645" s="146"/>
      <c r="V645" s="146"/>
      <c r="W645" s="146"/>
      <c r="X645" s="156">
        <v>0</v>
      </c>
      <c r="Y645" s="156">
        <v>0</v>
      </c>
      <c r="Z645" s="157" t="s">
        <v>2160</v>
      </c>
      <c r="AA645" s="158">
        <v>2021</v>
      </c>
      <c r="AB645" s="158">
        <v>8</v>
      </c>
      <c r="AC645" s="158">
        <v>19</v>
      </c>
      <c r="AD645" s="122" t="b">
        <f>IF(ISBLANK(GroupMember[[#This Row],[1. Identifiant interne d’exploitation agricole*]]),"",IF(ISERROR(MATCH(GroupMember[[#This Row],[1. Identifiant interne d’exploitation agricole*]],CertifiedCrop[1. Identifiant interne d’exploitation agricole*],0)),FALSE,TRUE))</f>
        <v>1</v>
      </c>
      <c r="AE645" s="122" t="b">
        <f>IF(ISBLANK(GroupMember[[#This Row],[1. Identifiant interne d’exploitation agricole*]]),"",IF(ISERROR(MATCH(GroupMember[[#This Row],[1. Identifiant interne d’exploitation agricole*]],FarmUnit[1. Identifiant interne d’exploitation agricole*],0)),FALSE,TRUE))</f>
        <v>1</v>
      </c>
      <c r="AF645" s="9" t="str">
        <f t="shared" si="30"/>
        <v>OUEDRAOGO  SALAM</v>
      </c>
      <c r="AG645" s="243" t="str">
        <f t="shared" si="31"/>
        <v>19/8/2021</v>
      </c>
      <c r="AH645" s="51">
        <f>COUNTIFS(Z:Z,Z645,AG:AG,AG645)</f>
        <v>2</v>
      </c>
      <c r="AI645" s="49">
        <f t="shared" si="32"/>
        <v>0</v>
      </c>
    </row>
    <row r="646" spans="1:35" ht="15" x14ac:dyDescent="0.2">
      <c r="A646" s="193" t="s">
        <v>2443</v>
      </c>
      <c r="B646" s="146" t="s">
        <v>668</v>
      </c>
      <c r="C646" s="193" t="s">
        <v>2443</v>
      </c>
      <c r="D646" s="200" t="s">
        <v>1853</v>
      </c>
      <c r="E646" s="146" t="s">
        <v>670</v>
      </c>
      <c r="F646" s="146" t="s">
        <v>671</v>
      </c>
      <c r="G646" s="146" t="s">
        <v>672</v>
      </c>
      <c r="H646" s="148">
        <v>2.76</v>
      </c>
      <c r="I646" s="146" t="s">
        <v>673</v>
      </c>
      <c r="J646" s="149">
        <v>1</v>
      </c>
      <c r="K646" s="150">
        <v>2021</v>
      </c>
      <c r="L646" s="199" t="s">
        <v>2444</v>
      </c>
      <c r="M646" s="199" t="s">
        <v>2445</v>
      </c>
      <c r="N646" s="172"/>
      <c r="O646" s="199" t="s">
        <v>2446</v>
      </c>
      <c r="P646" s="204" t="s">
        <v>676</v>
      </c>
      <c r="Q646" s="150">
        <v>1970</v>
      </c>
      <c r="R646" s="155">
        <v>6</v>
      </c>
      <c r="S646" s="168"/>
      <c r="T646" s="168"/>
      <c r="U646" s="146"/>
      <c r="V646" s="146"/>
      <c r="W646" s="146"/>
      <c r="X646" s="156">
        <v>0</v>
      </c>
      <c r="Y646" s="156">
        <v>0</v>
      </c>
      <c r="Z646" s="157" t="s">
        <v>2160</v>
      </c>
      <c r="AA646" s="158">
        <v>2021</v>
      </c>
      <c r="AB646" s="158">
        <v>8</v>
      </c>
      <c r="AC646" s="158">
        <v>21</v>
      </c>
      <c r="AD646" s="122" t="b">
        <f>IF(ISBLANK(GroupMember[[#This Row],[1. Identifiant interne d’exploitation agricole*]]),"",IF(ISERROR(MATCH(GroupMember[[#This Row],[1. Identifiant interne d’exploitation agricole*]],CertifiedCrop[1. Identifiant interne d’exploitation agricole*],0)),FALSE,TRUE))</f>
        <v>1</v>
      </c>
      <c r="AE646" s="122" t="b">
        <f>IF(ISBLANK(GroupMember[[#This Row],[1. Identifiant interne d’exploitation agricole*]]),"",IF(ISERROR(MATCH(GroupMember[[#This Row],[1. Identifiant interne d’exploitation agricole*]],FarmUnit[1. Identifiant interne d’exploitation agricole*],0)),FALSE,TRUE))</f>
        <v>1</v>
      </c>
      <c r="AF646" s="9" t="str">
        <f t="shared" si="30"/>
        <v>MALMOUSSA  SALIF</v>
      </c>
      <c r="AG646" s="243" t="str">
        <f t="shared" si="31"/>
        <v>21/8/2021</v>
      </c>
      <c r="AH646" s="51">
        <f>COUNTIFS(Z:Z,Z646,AG:AG,AG646)</f>
        <v>5</v>
      </c>
      <c r="AI646" s="49">
        <f t="shared" si="32"/>
        <v>0</v>
      </c>
    </row>
    <row r="647" spans="1:35" ht="15" x14ac:dyDescent="0.2">
      <c r="A647" s="193" t="s">
        <v>2447</v>
      </c>
      <c r="B647" s="146" t="s">
        <v>668</v>
      </c>
      <c r="C647" s="193" t="s">
        <v>2447</v>
      </c>
      <c r="D647" s="200" t="s">
        <v>1853</v>
      </c>
      <c r="E647" s="146" t="s">
        <v>670</v>
      </c>
      <c r="F647" s="146" t="s">
        <v>671</v>
      </c>
      <c r="G647" s="146" t="s">
        <v>672</v>
      </c>
      <c r="H647" s="148">
        <v>3</v>
      </c>
      <c r="I647" s="146" t="s">
        <v>673</v>
      </c>
      <c r="J647" s="149">
        <v>1</v>
      </c>
      <c r="K647" s="150">
        <v>2021</v>
      </c>
      <c r="L647" s="199" t="s">
        <v>2448</v>
      </c>
      <c r="M647" s="199" t="s">
        <v>1766</v>
      </c>
      <c r="N647" s="172"/>
      <c r="O647" s="199" t="s">
        <v>2449</v>
      </c>
      <c r="P647" s="204" t="s">
        <v>676</v>
      </c>
      <c r="Q647" s="150">
        <v>1981</v>
      </c>
      <c r="R647" s="155">
        <v>9</v>
      </c>
      <c r="S647" s="168"/>
      <c r="T647" s="168"/>
      <c r="U647" s="146"/>
      <c r="V647" s="146"/>
      <c r="W647" s="146"/>
      <c r="X647" s="156">
        <v>0</v>
      </c>
      <c r="Y647" s="156">
        <v>0</v>
      </c>
      <c r="Z647" s="157" t="s">
        <v>2160</v>
      </c>
      <c r="AA647" s="158">
        <v>2021</v>
      </c>
      <c r="AB647" s="158">
        <v>8</v>
      </c>
      <c r="AC647" s="158">
        <v>19</v>
      </c>
      <c r="AD647" s="122" t="b">
        <f>IF(ISBLANK(GroupMember[[#This Row],[1. Identifiant interne d’exploitation agricole*]]),"",IF(ISERROR(MATCH(GroupMember[[#This Row],[1. Identifiant interne d’exploitation agricole*]],CertifiedCrop[1. Identifiant interne d’exploitation agricole*],0)),FALSE,TRUE))</f>
        <v>1</v>
      </c>
      <c r="AE647" s="122" t="b">
        <f>IF(ISBLANK(GroupMember[[#This Row],[1. Identifiant interne d’exploitation agricole*]]),"",IF(ISERROR(MATCH(GroupMember[[#This Row],[1. Identifiant interne d’exploitation agricole*]],FarmUnit[1. Identifiant interne d’exploitation agricole*],0)),FALSE,TRUE))</f>
        <v>1</v>
      </c>
      <c r="AF647" s="9" t="str">
        <f t="shared" si="30"/>
        <v>BAGAYAN  IBRAHIM</v>
      </c>
      <c r="AG647" s="243" t="str">
        <f t="shared" si="31"/>
        <v>19/8/2021</v>
      </c>
      <c r="AH647" s="51">
        <f>COUNTIFS(Z:Z,Z647,AG:AG,AG647)</f>
        <v>2</v>
      </c>
      <c r="AI647" s="49">
        <f t="shared" si="32"/>
        <v>0</v>
      </c>
    </row>
    <row r="648" spans="1:35" ht="15" x14ac:dyDescent="0.2">
      <c r="A648" s="193" t="s">
        <v>2450</v>
      </c>
      <c r="B648" s="146" t="s">
        <v>668</v>
      </c>
      <c r="C648" s="193" t="s">
        <v>2450</v>
      </c>
      <c r="D648" s="200" t="s">
        <v>1853</v>
      </c>
      <c r="E648" s="146" t="s">
        <v>670</v>
      </c>
      <c r="F648" s="146" t="s">
        <v>671</v>
      </c>
      <c r="G648" s="146" t="s">
        <v>672</v>
      </c>
      <c r="H648" s="148">
        <v>2.0099999999999998</v>
      </c>
      <c r="I648" s="146" t="s">
        <v>673</v>
      </c>
      <c r="J648" s="149">
        <v>1</v>
      </c>
      <c r="K648" s="150">
        <v>2021</v>
      </c>
      <c r="L648" s="199" t="s">
        <v>2451</v>
      </c>
      <c r="M648" s="199" t="s">
        <v>2452</v>
      </c>
      <c r="N648" s="172"/>
      <c r="O648" s="199" t="s">
        <v>2453</v>
      </c>
      <c r="P648" s="204" t="s">
        <v>676</v>
      </c>
      <c r="Q648" s="150">
        <v>1981</v>
      </c>
      <c r="R648" s="155">
        <v>6</v>
      </c>
      <c r="S648" s="168"/>
      <c r="T648" s="168"/>
      <c r="U648" s="146"/>
      <c r="V648" s="146"/>
      <c r="W648" s="146"/>
      <c r="X648" s="156">
        <v>0</v>
      </c>
      <c r="Y648" s="156">
        <v>0</v>
      </c>
      <c r="Z648" s="157" t="s">
        <v>2160</v>
      </c>
      <c r="AA648" s="158">
        <v>2021</v>
      </c>
      <c r="AB648" s="158">
        <v>8</v>
      </c>
      <c r="AC648" s="158">
        <v>13</v>
      </c>
      <c r="AD648" s="122" t="b">
        <f>IF(ISBLANK(GroupMember[[#This Row],[1. Identifiant interne d’exploitation agricole*]]),"",IF(ISERROR(MATCH(GroupMember[[#This Row],[1. Identifiant interne d’exploitation agricole*]],CertifiedCrop[1. Identifiant interne d’exploitation agricole*],0)),FALSE,TRUE))</f>
        <v>1</v>
      </c>
      <c r="AE648" s="122" t="b">
        <f>IF(ISBLANK(GroupMember[[#This Row],[1. Identifiant interne d’exploitation agricole*]]),"",IF(ISERROR(MATCH(GroupMember[[#This Row],[1. Identifiant interne d’exploitation agricole*]],FarmUnit[1. Identifiant interne d’exploitation agricole*],0)),FALSE,TRUE))</f>
        <v>1</v>
      </c>
      <c r="AF648" s="9" t="str">
        <f t="shared" si="30"/>
        <v>DIEU KUH MARIUS</v>
      </c>
      <c r="AG648" s="243" t="str">
        <f t="shared" si="31"/>
        <v>13/8/2021</v>
      </c>
      <c r="AH648" s="51">
        <f>COUNTIFS(Z:Z,Z648,AG:AG,AG648)</f>
        <v>4</v>
      </c>
      <c r="AI648" s="49">
        <f t="shared" si="32"/>
        <v>0</v>
      </c>
    </row>
    <row r="649" spans="1:35" ht="15" x14ac:dyDescent="0.2">
      <c r="A649" s="193" t="s">
        <v>2454</v>
      </c>
      <c r="B649" s="146" t="s">
        <v>668</v>
      </c>
      <c r="C649" s="193" t="s">
        <v>2454</v>
      </c>
      <c r="D649" s="200" t="s">
        <v>1853</v>
      </c>
      <c r="E649" s="146" t="s">
        <v>670</v>
      </c>
      <c r="F649" s="146" t="s">
        <v>671</v>
      </c>
      <c r="G649" s="146" t="s">
        <v>672</v>
      </c>
      <c r="H649" s="148">
        <v>1.88</v>
      </c>
      <c r="I649" s="146" t="s">
        <v>673</v>
      </c>
      <c r="J649" s="149">
        <v>1</v>
      </c>
      <c r="K649" s="150">
        <v>2021</v>
      </c>
      <c r="L649" s="199" t="s">
        <v>948</v>
      </c>
      <c r="M649" s="199" t="s">
        <v>2455</v>
      </c>
      <c r="N649" s="172"/>
      <c r="O649" s="199" t="s">
        <v>2456</v>
      </c>
      <c r="P649" s="204" t="s">
        <v>676</v>
      </c>
      <c r="Q649" s="150">
        <v>1991</v>
      </c>
      <c r="R649" s="155">
        <v>7</v>
      </c>
      <c r="S649" s="168"/>
      <c r="T649" s="168"/>
      <c r="U649" s="146"/>
      <c r="V649" s="146"/>
      <c r="W649" s="146"/>
      <c r="X649" s="156">
        <v>0</v>
      </c>
      <c r="Y649" s="156">
        <v>0</v>
      </c>
      <c r="Z649" s="157" t="s">
        <v>2160</v>
      </c>
      <c r="AA649" s="158">
        <v>2021</v>
      </c>
      <c r="AB649" s="158">
        <v>8</v>
      </c>
      <c r="AC649" s="158">
        <v>9</v>
      </c>
      <c r="AD649" s="122" t="b">
        <f>IF(ISBLANK(GroupMember[[#This Row],[1. Identifiant interne d’exploitation agricole*]]),"",IF(ISERROR(MATCH(GroupMember[[#This Row],[1. Identifiant interne d’exploitation agricole*]],CertifiedCrop[1. Identifiant interne d’exploitation agricole*],0)),FALSE,TRUE))</f>
        <v>1</v>
      </c>
      <c r="AE649" s="122" t="b">
        <f>IF(ISBLANK(GroupMember[[#This Row],[1. Identifiant interne d’exploitation agricole*]]),"",IF(ISERROR(MATCH(GroupMember[[#This Row],[1. Identifiant interne d’exploitation agricole*]],FarmUnit[1. Identifiant interne d’exploitation agricole*],0)),FALSE,TRUE))</f>
        <v>1</v>
      </c>
      <c r="AF649" s="9" t="str">
        <f t="shared" si="30"/>
        <v>SAWADOGO  SOMBARI</v>
      </c>
      <c r="AG649" s="243" t="str">
        <f t="shared" si="31"/>
        <v>9/8/2021</v>
      </c>
      <c r="AH649" s="51">
        <f>COUNTIFS(Z:Z,Z649,AG:AG,AG649)</f>
        <v>5</v>
      </c>
      <c r="AI649" s="49">
        <f t="shared" si="32"/>
        <v>0</v>
      </c>
    </row>
    <row r="650" spans="1:35" ht="15" x14ac:dyDescent="0.2">
      <c r="A650" s="193" t="s">
        <v>2457</v>
      </c>
      <c r="B650" s="146" t="s">
        <v>668</v>
      </c>
      <c r="C650" s="193" t="s">
        <v>2457</v>
      </c>
      <c r="D650" s="200" t="s">
        <v>1853</v>
      </c>
      <c r="E650" s="146" t="s">
        <v>670</v>
      </c>
      <c r="F650" s="146" t="s">
        <v>671</v>
      </c>
      <c r="G650" s="146" t="s">
        <v>672</v>
      </c>
      <c r="H650" s="148">
        <v>3.01</v>
      </c>
      <c r="I650" s="146" t="s">
        <v>673</v>
      </c>
      <c r="J650" s="149">
        <v>2</v>
      </c>
      <c r="K650" s="150">
        <v>2021</v>
      </c>
      <c r="L650" s="199" t="s">
        <v>1063</v>
      </c>
      <c r="M650" s="199" t="s">
        <v>2458</v>
      </c>
      <c r="N650" s="172" t="s">
        <v>2459</v>
      </c>
      <c r="O650" s="209"/>
      <c r="P650" s="204" t="s">
        <v>676</v>
      </c>
      <c r="Q650" s="299"/>
      <c r="R650" s="155">
        <v>5</v>
      </c>
      <c r="S650" s="168"/>
      <c r="T650" s="168"/>
      <c r="U650" s="146"/>
      <c r="V650" s="146"/>
      <c r="W650" s="146"/>
      <c r="X650" s="156">
        <v>0</v>
      </c>
      <c r="Y650" s="156">
        <v>0</v>
      </c>
      <c r="Z650" s="157" t="s">
        <v>2160</v>
      </c>
      <c r="AA650" s="158">
        <v>2021</v>
      </c>
      <c r="AB650" s="158">
        <v>8</v>
      </c>
      <c r="AC650" s="158">
        <v>21</v>
      </c>
      <c r="AD650" s="122" t="b">
        <f>IF(ISBLANK(GroupMember[[#This Row],[1. Identifiant interne d’exploitation agricole*]]),"",IF(ISERROR(MATCH(GroupMember[[#This Row],[1. Identifiant interne d’exploitation agricole*]],CertifiedCrop[1. Identifiant interne d’exploitation agricole*],0)),FALSE,TRUE))</f>
        <v>1</v>
      </c>
      <c r="AE650" s="122" t="b">
        <f>IF(ISBLANK(GroupMember[[#This Row],[1. Identifiant interne d’exploitation agricole*]]),"",IF(ISERROR(MATCH(GroupMember[[#This Row],[1. Identifiant interne d’exploitation agricole*]],FarmUnit[1. Identifiant interne d’exploitation agricole*],0)),FALSE,TRUE))</f>
        <v>1</v>
      </c>
      <c r="AF650" s="9" t="str">
        <f t="shared" si="30"/>
        <v>ZONGO  ALIDOU</v>
      </c>
      <c r="AG650" s="243" t="str">
        <f t="shared" si="31"/>
        <v>21/8/2021</v>
      </c>
      <c r="AH650" s="51">
        <f>COUNTIFS(Z:Z,Z650,AG:AG,AG650)</f>
        <v>5</v>
      </c>
      <c r="AI650" s="49">
        <f t="shared" si="32"/>
        <v>0</v>
      </c>
    </row>
    <row r="651" spans="1:35" ht="15" x14ac:dyDescent="0.2">
      <c r="A651" s="193" t="s">
        <v>2460</v>
      </c>
      <c r="B651" s="146" t="s">
        <v>668</v>
      </c>
      <c r="C651" s="193" t="s">
        <v>2460</v>
      </c>
      <c r="D651" s="200" t="s">
        <v>1853</v>
      </c>
      <c r="E651" s="146" t="s">
        <v>670</v>
      </c>
      <c r="F651" s="146" t="s">
        <v>671</v>
      </c>
      <c r="G651" s="146" t="s">
        <v>672</v>
      </c>
      <c r="H651" s="148">
        <v>1.84</v>
      </c>
      <c r="I651" s="146" t="s">
        <v>673</v>
      </c>
      <c r="J651" s="149">
        <v>1</v>
      </c>
      <c r="K651" s="150">
        <v>2021</v>
      </c>
      <c r="L651" s="199" t="s">
        <v>2461</v>
      </c>
      <c r="M651" s="199" t="s">
        <v>2462</v>
      </c>
      <c r="N651" s="172" t="s">
        <v>2463</v>
      </c>
      <c r="O651" s="199"/>
      <c r="P651" s="204" t="s">
        <v>676</v>
      </c>
      <c r="Q651" s="150"/>
      <c r="R651" s="155">
        <v>8</v>
      </c>
      <c r="S651" s="168"/>
      <c r="T651" s="168"/>
      <c r="U651" s="146"/>
      <c r="V651" s="146"/>
      <c r="W651" s="146"/>
      <c r="X651" s="156">
        <v>0</v>
      </c>
      <c r="Y651" s="156">
        <v>0</v>
      </c>
      <c r="Z651" s="157" t="s">
        <v>2160</v>
      </c>
      <c r="AA651" s="158">
        <v>2021</v>
      </c>
      <c r="AB651" s="158">
        <v>8</v>
      </c>
      <c r="AC651" s="158">
        <v>20</v>
      </c>
      <c r="AD651" s="122" t="b">
        <f>IF(ISBLANK(GroupMember[[#This Row],[1. Identifiant interne d’exploitation agricole*]]),"",IF(ISERROR(MATCH(GroupMember[[#This Row],[1. Identifiant interne d’exploitation agricole*]],CertifiedCrop[1. Identifiant interne d’exploitation agricole*],0)),FALSE,TRUE))</f>
        <v>1</v>
      </c>
      <c r="AE651" s="122" t="b">
        <f>IF(ISBLANK(GroupMember[[#This Row],[1. Identifiant interne d’exploitation agricole*]]),"",IF(ISERROR(MATCH(GroupMember[[#This Row],[1. Identifiant interne d’exploitation agricole*]],FarmUnit[1. Identifiant interne d’exploitation agricole*],0)),FALSE,TRUE))</f>
        <v>1</v>
      </c>
      <c r="AF651" s="9" t="str">
        <f t="shared" si="30"/>
        <v>CHERBORGOR  MOUMOUNI</v>
      </c>
      <c r="AG651" s="243" t="str">
        <f t="shared" si="31"/>
        <v>20/8/2021</v>
      </c>
      <c r="AH651" s="51">
        <f>COUNTIFS(Z:Z,Z651,AG:AG,AG651)</f>
        <v>3</v>
      </c>
      <c r="AI651" s="49">
        <f t="shared" si="32"/>
        <v>0</v>
      </c>
    </row>
    <row r="652" spans="1:35" ht="15" x14ac:dyDescent="0.2">
      <c r="A652" s="193" t="s">
        <v>2464</v>
      </c>
      <c r="B652" s="146" t="s">
        <v>668</v>
      </c>
      <c r="C652" s="193" t="s">
        <v>2464</v>
      </c>
      <c r="D652" s="200" t="s">
        <v>1853</v>
      </c>
      <c r="E652" s="146" t="s">
        <v>670</v>
      </c>
      <c r="F652" s="146" t="s">
        <v>671</v>
      </c>
      <c r="G652" s="146" t="s">
        <v>672</v>
      </c>
      <c r="H652" s="148">
        <v>2</v>
      </c>
      <c r="I652" s="146" t="s">
        <v>673</v>
      </c>
      <c r="J652" s="149">
        <v>1</v>
      </c>
      <c r="K652" s="150">
        <v>2021</v>
      </c>
      <c r="L652" s="199" t="s">
        <v>948</v>
      </c>
      <c r="M652" s="199" t="s">
        <v>2015</v>
      </c>
      <c r="N652" s="172"/>
      <c r="O652" s="199"/>
      <c r="P652" s="204" t="s">
        <v>676</v>
      </c>
      <c r="Q652" s="150"/>
      <c r="R652" s="155">
        <v>6</v>
      </c>
      <c r="S652" s="168"/>
      <c r="T652" s="168"/>
      <c r="U652" s="146"/>
      <c r="V652" s="146"/>
      <c r="W652" s="146"/>
      <c r="X652" s="156">
        <v>0</v>
      </c>
      <c r="Y652" s="156">
        <v>0</v>
      </c>
      <c r="Z652" s="157" t="s">
        <v>2160</v>
      </c>
      <c r="AA652" s="158">
        <v>2021</v>
      </c>
      <c r="AB652" s="158">
        <v>8</v>
      </c>
      <c r="AC652" s="158">
        <v>22</v>
      </c>
      <c r="AD652" s="122" t="b">
        <f>IF(ISBLANK(GroupMember[[#This Row],[1. Identifiant interne d’exploitation agricole*]]),"",IF(ISERROR(MATCH(GroupMember[[#This Row],[1. Identifiant interne d’exploitation agricole*]],CertifiedCrop[1. Identifiant interne d’exploitation agricole*],0)),FALSE,TRUE))</f>
        <v>1</v>
      </c>
      <c r="AE652" s="122" t="b">
        <f>IF(ISBLANK(GroupMember[[#This Row],[1. Identifiant interne d’exploitation agricole*]]),"",IF(ISERROR(MATCH(GroupMember[[#This Row],[1. Identifiant interne d’exploitation agricole*]],FarmUnit[1. Identifiant interne d’exploitation agricole*],0)),FALSE,TRUE))</f>
        <v>1</v>
      </c>
      <c r="AF652" s="9" t="str">
        <f t="shared" si="30"/>
        <v>SAWADOGO  MICHEL</v>
      </c>
      <c r="AG652" s="243" t="str">
        <f t="shared" si="31"/>
        <v>22/8/2021</v>
      </c>
      <c r="AH652" s="51">
        <f>COUNTIFS(Z:Z,Z652,AG:AG,AG652)</f>
        <v>1</v>
      </c>
      <c r="AI652" s="49">
        <f t="shared" si="32"/>
        <v>0</v>
      </c>
    </row>
    <row r="653" spans="1:35" ht="15" x14ac:dyDescent="0.2">
      <c r="A653" s="193" t="s">
        <v>2465</v>
      </c>
      <c r="B653" s="146" t="s">
        <v>668</v>
      </c>
      <c r="C653" s="193" t="s">
        <v>2465</v>
      </c>
      <c r="D653" s="200" t="s">
        <v>1853</v>
      </c>
      <c r="E653" s="146" t="s">
        <v>670</v>
      </c>
      <c r="F653" s="146" t="s">
        <v>671</v>
      </c>
      <c r="G653" s="146" t="s">
        <v>672</v>
      </c>
      <c r="H653" s="148">
        <v>2</v>
      </c>
      <c r="I653" s="146" t="s">
        <v>673</v>
      </c>
      <c r="J653" s="149">
        <v>1</v>
      </c>
      <c r="K653" s="150">
        <v>2021</v>
      </c>
      <c r="L653" s="199" t="s">
        <v>2466</v>
      </c>
      <c r="M653" s="199" t="s">
        <v>2467</v>
      </c>
      <c r="N653" s="172"/>
      <c r="O653" s="199" t="s">
        <v>2468</v>
      </c>
      <c r="P653" s="204" t="s">
        <v>676</v>
      </c>
      <c r="Q653" s="150">
        <v>1973</v>
      </c>
      <c r="R653" s="155">
        <v>10</v>
      </c>
      <c r="S653" s="168"/>
      <c r="T653" s="168"/>
      <c r="U653" s="146"/>
      <c r="V653" s="146"/>
      <c r="W653" s="146"/>
      <c r="X653" s="156">
        <v>0</v>
      </c>
      <c r="Y653" s="156">
        <v>0</v>
      </c>
      <c r="Z653" s="157" t="s">
        <v>2160</v>
      </c>
      <c r="AA653" s="158">
        <v>2021</v>
      </c>
      <c r="AB653" s="158">
        <v>8</v>
      </c>
      <c r="AC653" s="158">
        <v>21</v>
      </c>
      <c r="AD653" s="122" t="b">
        <f>IF(ISBLANK(GroupMember[[#This Row],[1. Identifiant interne d’exploitation agricole*]]),"",IF(ISERROR(MATCH(GroupMember[[#This Row],[1. Identifiant interne d’exploitation agricole*]],CertifiedCrop[1. Identifiant interne d’exploitation agricole*],0)),FALSE,TRUE))</f>
        <v>1</v>
      </c>
      <c r="AE653" s="122" t="b">
        <f>IF(ISBLANK(GroupMember[[#This Row],[1. Identifiant interne d’exploitation agricole*]]),"",IF(ISERROR(MATCH(GroupMember[[#This Row],[1. Identifiant interne d’exploitation agricole*]],FarmUnit[1. Identifiant interne d’exploitation agricole*],0)),FALSE,TRUE))</f>
        <v>1</v>
      </c>
      <c r="AF653" s="9" t="str">
        <f t="shared" si="30"/>
        <v>SARNA  ADAMAN</v>
      </c>
      <c r="AG653" s="243" t="str">
        <f t="shared" si="31"/>
        <v>21/8/2021</v>
      </c>
      <c r="AH653" s="51">
        <f>COUNTIFS(Z:Z,Z653,AG:AG,AG653)</f>
        <v>5</v>
      </c>
      <c r="AI653" s="49">
        <f t="shared" si="32"/>
        <v>0</v>
      </c>
    </row>
    <row r="654" spans="1:35" ht="15" x14ac:dyDescent="0.2">
      <c r="A654" s="193" t="s">
        <v>2469</v>
      </c>
      <c r="B654" s="146" t="s">
        <v>668</v>
      </c>
      <c r="C654" s="193" t="s">
        <v>2469</v>
      </c>
      <c r="D654" s="200" t="s">
        <v>1853</v>
      </c>
      <c r="E654" s="146" t="s">
        <v>670</v>
      </c>
      <c r="F654" s="146" t="s">
        <v>671</v>
      </c>
      <c r="G654" s="146" t="s">
        <v>672</v>
      </c>
      <c r="H654" s="148">
        <v>3</v>
      </c>
      <c r="I654" s="146" t="s">
        <v>673</v>
      </c>
      <c r="J654" s="149">
        <v>1</v>
      </c>
      <c r="K654" s="150">
        <v>2021</v>
      </c>
      <c r="L654" s="199" t="s">
        <v>707</v>
      </c>
      <c r="M654" s="199" t="s">
        <v>2470</v>
      </c>
      <c r="N654" s="172"/>
      <c r="O654" s="199" t="s">
        <v>2471</v>
      </c>
      <c r="P654" s="204" t="s">
        <v>676</v>
      </c>
      <c r="Q654" s="150">
        <v>1996</v>
      </c>
      <c r="R654" s="155">
        <v>5</v>
      </c>
      <c r="S654" s="168"/>
      <c r="T654" s="168"/>
      <c r="U654" s="146"/>
      <c r="V654" s="146"/>
      <c r="W654" s="146"/>
      <c r="X654" s="156">
        <v>0</v>
      </c>
      <c r="Y654" s="156">
        <v>0</v>
      </c>
      <c r="Z654" s="157" t="s">
        <v>2160</v>
      </c>
      <c r="AA654" s="158">
        <v>2021</v>
      </c>
      <c r="AB654" s="158">
        <v>8</v>
      </c>
      <c r="AC654" s="158">
        <v>20</v>
      </c>
      <c r="AD654" s="122" t="b">
        <f>IF(ISBLANK(GroupMember[[#This Row],[1. Identifiant interne d’exploitation agricole*]]),"",IF(ISERROR(MATCH(GroupMember[[#This Row],[1. Identifiant interne d’exploitation agricole*]],CertifiedCrop[1. Identifiant interne d’exploitation agricole*],0)),FALSE,TRUE))</f>
        <v>1</v>
      </c>
      <c r="AE654" s="122" t="b">
        <f>IF(ISBLANK(GroupMember[[#This Row],[1. Identifiant interne d’exploitation agricole*]]),"",IF(ISERROR(MATCH(GroupMember[[#This Row],[1. Identifiant interne d’exploitation agricole*]],FarmUnit[1. Identifiant interne d’exploitation agricole*],0)),FALSE,TRUE))</f>
        <v>1</v>
      </c>
      <c r="AF654" s="9" t="str">
        <f t="shared" si="30"/>
        <v>OUEDRAOGO  BERNARD</v>
      </c>
      <c r="AG654" s="243" t="str">
        <f t="shared" si="31"/>
        <v>20/8/2021</v>
      </c>
      <c r="AH654" s="51">
        <f>COUNTIFS(Z:Z,Z654,AG:AG,AG654)</f>
        <v>3</v>
      </c>
      <c r="AI654" s="49">
        <f t="shared" si="32"/>
        <v>0</v>
      </c>
    </row>
    <row r="655" spans="1:35" ht="15" x14ac:dyDescent="0.2">
      <c r="A655" s="193" t="s">
        <v>2472</v>
      </c>
      <c r="B655" s="146" t="s">
        <v>668</v>
      </c>
      <c r="C655" s="193" t="s">
        <v>2472</v>
      </c>
      <c r="D655" s="200" t="s">
        <v>1853</v>
      </c>
      <c r="E655" s="146" t="s">
        <v>670</v>
      </c>
      <c r="F655" s="146" t="s">
        <v>671</v>
      </c>
      <c r="G655" s="146" t="s">
        <v>672</v>
      </c>
      <c r="H655" s="148">
        <v>2.0699999999999998</v>
      </c>
      <c r="I655" s="146" t="s">
        <v>673</v>
      </c>
      <c r="J655" s="149">
        <v>1</v>
      </c>
      <c r="K655" s="150">
        <v>2021</v>
      </c>
      <c r="L655" s="199" t="s">
        <v>707</v>
      </c>
      <c r="M655" s="199" t="s">
        <v>2473</v>
      </c>
      <c r="N655" s="172" t="s">
        <v>2474</v>
      </c>
      <c r="O655" s="209"/>
      <c r="P655" s="204" t="s">
        <v>676</v>
      </c>
      <c r="Q655" s="299"/>
      <c r="R655" s="155">
        <v>6</v>
      </c>
      <c r="S655" s="168"/>
      <c r="T655" s="168"/>
      <c r="U655" s="146"/>
      <c r="V655" s="146"/>
      <c r="W655" s="146"/>
      <c r="X655" s="156">
        <v>0</v>
      </c>
      <c r="Y655" s="156">
        <v>0</v>
      </c>
      <c r="Z655" s="157" t="s">
        <v>2160</v>
      </c>
      <c r="AA655" s="158">
        <v>2021</v>
      </c>
      <c r="AB655" s="158">
        <v>8</v>
      </c>
      <c r="AC655" s="158">
        <v>21</v>
      </c>
      <c r="AD655" s="122" t="b">
        <f>IF(ISBLANK(GroupMember[[#This Row],[1. Identifiant interne d’exploitation agricole*]]),"",IF(ISERROR(MATCH(GroupMember[[#This Row],[1. Identifiant interne d’exploitation agricole*]],CertifiedCrop[1. Identifiant interne d’exploitation agricole*],0)),FALSE,TRUE))</f>
        <v>1</v>
      </c>
      <c r="AE655" s="122" t="b">
        <f>IF(ISBLANK(GroupMember[[#This Row],[1. Identifiant interne d’exploitation agricole*]]),"",IF(ISERROR(MATCH(GroupMember[[#This Row],[1. Identifiant interne d’exploitation agricole*]],FarmUnit[1. Identifiant interne d’exploitation agricole*],0)),FALSE,TRUE))</f>
        <v>1</v>
      </c>
      <c r="AF655" s="9" t="str">
        <f t="shared" si="30"/>
        <v>OUEDRAOGO  WENDINMETTE</v>
      </c>
      <c r="AG655" s="243" t="str">
        <f t="shared" si="31"/>
        <v>21/8/2021</v>
      </c>
      <c r="AH655" s="51">
        <f>COUNTIFS(Z:Z,Z655,AG:AG,AG655)</f>
        <v>5</v>
      </c>
      <c r="AI655" s="49">
        <f t="shared" si="32"/>
        <v>0</v>
      </c>
    </row>
    <row r="656" spans="1:35" ht="15" x14ac:dyDescent="0.2">
      <c r="A656" s="193" t="s">
        <v>2475</v>
      </c>
      <c r="B656" s="146" t="s">
        <v>668</v>
      </c>
      <c r="C656" s="193" t="s">
        <v>2475</v>
      </c>
      <c r="D656" s="200" t="s">
        <v>1853</v>
      </c>
      <c r="E656" s="146" t="s">
        <v>670</v>
      </c>
      <c r="F656" s="146" t="s">
        <v>671</v>
      </c>
      <c r="G656" s="146" t="s">
        <v>672</v>
      </c>
      <c r="H656" s="148">
        <v>5</v>
      </c>
      <c r="I656" s="146" t="s">
        <v>673</v>
      </c>
      <c r="J656" s="149">
        <v>1</v>
      </c>
      <c r="K656" s="150">
        <v>2021</v>
      </c>
      <c r="L656" s="199" t="s">
        <v>707</v>
      </c>
      <c r="M656" s="199" t="s">
        <v>2476</v>
      </c>
      <c r="N656" s="172" t="s">
        <v>2477</v>
      </c>
      <c r="O656" s="199"/>
      <c r="P656" s="204" t="s">
        <v>676</v>
      </c>
      <c r="Q656" s="150"/>
      <c r="R656" s="155">
        <v>5</v>
      </c>
      <c r="S656" s="168"/>
      <c r="T656" s="168"/>
      <c r="U656" s="146"/>
      <c r="V656" s="146"/>
      <c r="W656" s="146"/>
      <c r="X656" s="156">
        <v>0</v>
      </c>
      <c r="Y656" s="156">
        <v>0</v>
      </c>
      <c r="Z656" s="157" t="s">
        <v>2160</v>
      </c>
      <c r="AA656" s="158">
        <v>2021</v>
      </c>
      <c r="AB656" s="158">
        <v>8</v>
      </c>
      <c r="AC656" s="158">
        <v>21</v>
      </c>
      <c r="AD656" s="122" t="b">
        <f>IF(ISBLANK(GroupMember[[#This Row],[1. Identifiant interne d’exploitation agricole*]]),"",IF(ISERROR(MATCH(GroupMember[[#This Row],[1. Identifiant interne d’exploitation agricole*]],CertifiedCrop[1. Identifiant interne d’exploitation agricole*],0)),FALSE,TRUE))</f>
        <v>1</v>
      </c>
      <c r="AE656" s="122" t="b">
        <f>IF(ISBLANK(GroupMember[[#This Row],[1. Identifiant interne d’exploitation agricole*]]),"",IF(ISERROR(MATCH(GroupMember[[#This Row],[1. Identifiant interne d’exploitation agricole*]],FarmUnit[1. Identifiant interne d’exploitation agricole*],0)),FALSE,TRUE))</f>
        <v>1</v>
      </c>
      <c r="AF656" s="9" t="str">
        <f t="shared" si="30"/>
        <v>OUEDRAOGO  ISSOUFOU</v>
      </c>
      <c r="AG656" s="243" t="str">
        <f t="shared" si="31"/>
        <v>21/8/2021</v>
      </c>
      <c r="AH656" s="51">
        <f>COUNTIFS(Z:Z,Z656,AG:AG,AG656)</f>
        <v>5</v>
      </c>
      <c r="AI656" s="49">
        <f t="shared" si="32"/>
        <v>0</v>
      </c>
    </row>
    <row r="657" spans="1:35" ht="15" x14ac:dyDescent="0.2">
      <c r="A657" s="193" t="s">
        <v>2478</v>
      </c>
      <c r="B657" s="146" t="s">
        <v>668</v>
      </c>
      <c r="C657" s="193" t="s">
        <v>2478</v>
      </c>
      <c r="D657" s="200" t="s">
        <v>1853</v>
      </c>
      <c r="E657" s="146" t="s">
        <v>670</v>
      </c>
      <c r="F657" s="146" t="s">
        <v>671</v>
      </c>
      <c r="G657" s="146" t="s">
        <v>672</v>
      </c>
      <c r="H657" s="148">
        <v>4.26</v>
      </c>
      <c r="I657" s="146" t="s">
        <v>673</v>
      </c>
      <c r="J657" s="149">
        <v>1</v>
      </c>
      <c r="K657" s="150">
        <v>2021</v>
      </c>
      <c r="L657" s="199" t="s">
        <v>948</v>
      </c>
      <c r="M657" s="199" t="s">
        <v>2479</v>
      </c>
      <c r="N657" s="172" t="s">
        <v>2480</v>
      </c>
      <c r="O657" s="199"/>
      <c r="P657" s="204" t="s">
        <v>676</v>
      </c>
      <c r="Q657" s="150"/>
      <c r="R657" s="155">
        <v>8</v>
      </c>
      <c r="S657" s="168"/>
      <c r="T657" s="168"/>
      <c r="U657" s="146"/>
      <c r="V657" s="146"/>
      <c r="W657" s="146"/>
      <c r="X657" s="156">
        <v>0</v>
      </c>
      <c r="Y657" s="156">
        <v>0</v>
      </c>
      <c r="Z657" s="157" t="s">
        <v>2160</v>
      </c>
      <c r="AA657" s="158">
        <v>2021</v>
      </c>
      <c r="AB657" s="158">
        <v>8</v>
      </c>
      <c r="AC657" s="158">
        <v>20</v>
      </c>
      <c r="AD657" s="122" t="b">
        <f>IF(ISBLANK(GroupMember[[#This Row],[1. Identifiant interne d’exploitation agricole*]]),"",IF(ISERROR(MATCH(GroupMember[[#This Row],[1. Identifiant interne d’exploitation agricole*]],CertifiedCrop[1. Identifiant interne d’exploitation agricole*],0)),FALSE,TRUE))</f>
        <v>1</v>
      </c>
      <c r="AE657" s="122" t="b">
        <f>IF(ISBLANK(GroupMember[[#This Row],[1. Identifiant interne d’exploitation agricole*]]),"",IF(ISERROR(MATCH(GroupMember[[#This Row],[1. Identifiant interne d’exploitation agricole*]],FarmUnit[1. Identifiant interne d’exploitation agricole*],0)),FALSE,TRUE))</f>
        <v>1</v>
      </c>
      <c r="AF657" s="9" t="str">
        <f t="shared" si="30"/>
        <v>SAWADOGO  KIRISSI</v>
      </c>
      <c r="AG657" s="243" t="str">
        <f t="shared" si="31"/>
        <v>20/8/2021</v>
      </c>
      <c r="AH657" s="51">
        <f>COUNTIFS(Z:Z,Z657,AG:AG,AG657)</f>
        <v>3</v>
      </c>
      <c r="AI657" s="49">
        <f t="shared" si="32"/>
        <v>0</v>
      </c>
    </row>
    <row r="658" spans="1:35" ht="15" x14ac:dyDescent="0.2">
      <c r="A658" s="193" t="s">
        <v>2481</v>
      </c>
      <c r="B658" s="146" t="s">
        <v>668</v>
      </c>
      <c r="C658" s="193" t="s">
        <v>2481</v>
      </c>
      <c r="D658" s="200" t="s">
        <v>1853</v>
      </c>
      <c r="E658" s="146" t="s">
        <v>670</v>
      </c>
      <c r="F658" s="146" t="s">
        <v>671</v>
      </c>
      <c r="G658" s="146" t="s">
        <v>672</v>
      </c>
      <c r="H658" s="148">
        <v>2.0099999999999998</v>
      </c>
      <c r="I658" s="146" t="s">
        <v>673</v>
      </c>
      <c r="J658" s="149">
        <v>1</v>
      </c>
      <c r="K658" s="150">
        <v>2021</v>
      </c>
      <c r="L658" s="199" t="s">
        <v>707</v>
      </c>
      <c r="M658" s="199" t="s">
        <v>1563</v>
      </c>
      <c r="N658" s="172" t="s">
        <v>2482</v>
      </c>
      <c r="O658" s="199"/>
      <c r="P658" s="204" t="s">
        <v>676</v>
      </c>
      <c r="Q658" s="150"/>
      <c r="R658" s="155">
        <v>7</v>
      </c>
      <c r="S658" s="168"/>
      <c r="T658" s="168"/>
      <c r="U658" s="146"/>
      <c r="V658" s="146"/>
      <c r="W658" s="146"/>
      <c r="X658" s="156">
        <v>0</v>
      </c>
      <c r="Y658" s="156">
        <v>0</v>
      </c>
      <c r="Z658" s="157" t="s">
        <v>2160</v>
      </c>
      <c r="AA658" s="158">
        <v>2021</v>
      </c>
      <c r="AB658" s="158">
        <v>7</v>
      </c>
      <c r="AC658" s="158">
        <v>16</v>
      </c>
      <c r="AD658" s="122" t="b">
        <f>IF(ISBLANK(GroupMember[[#This Row],[1. Identifiant interne d’exploitation agricole*]]),"",IF(ISERROR(MATCH(GroupMember[[#This Row],[1. Identifiant interne d’exploitation agricole*]],CertifiedCrop[1. Identifiant interne d’exploitation agricole*],0)),FALSE,TRUE))</f>
        <v>1</v>
      </c>
      <c r="AE658" s="122" t="b">
        <f>IF(ISBLANK(GroupMember[[#This Row],[1. Identifiant interne d’exploitation agricole*]]),"",IF(ISERROR(MATCH(GroupMember[[#This Row],[1. Identifiant interne d’exploitation agricole*]],FarmUnit[1. Identifiant interne d’exploitation agricole*],0)),FALSE,TRUE))</f>
        <v>1</v>
      </c>
      <c r="AF658" s="9" t="str">
        <f t="shared" si="30"/>
        <v>OUEDRAOGO  PAUL</v>
      </c>
      <c r="AG658" s="243" t="str">
        <f t="shared" si="31"/>
        <v>16/7/2021</v>
      </c>
      <c r="AH658" s="51">
        <f>COUNTIFS(Z:Z,Z658,AG:AG,AG658)</f>
        <v>4</v>
      </c>
      <c r="AI658" s="49">
        <f t="shared" si="32"/>
        <v>0</v>
      </c>
    </row>
    <row r="659" spans="1:35" ht="15" x14ac:dyDescent="0.2">
      <c r="A659" s="193" t="s">
        <v>2483</v>
      </c>
      <c r="B659" s="146" t="s">
        <v>668</v>
      </c>
      <c r="C659" s="193" t="s">
        <v>2483</v>
      </c>
      <c r="D659" s="200" t="s">
        <v>1853</v>
      </c>
      <c r="E659" s="146" t="s">
        <v>670</v>
      </c>
      <c r="F659" s="146" t="s">
        <v>671</v>
      </c>
      <c r="G659" s="146" t="s">
        <v>672</v>
      </c>
      <c r="H659" s="148">
        <v>1.46</v>
      </c>
      <c r="I659" s="146" t="s">
        <v>673</v>
      </c>
      <c r="J659" s="149">
        <v>1</v>
      </c>
      <c r="K659" s="150">
        <v>2021</v>
      </c>
      <c r="L659" s="199" t="s">
        <v>707</v>
      </c>
      <c r="M659" s="199" t="s">
        <v>2484</v>
      </c>
      <c r="N659" s="172" t="s">
        <v>2485</v>
      </c>
      <c r="O659" s="199"/>
      <c r="P659" s="204" t="s">
        <v>676</v>
      </c>
      <c r="Q659" s="150"/>
      <c r="R659" s="155">
        <v>4</v>
      </c>
      <c r="S659" s="168"/>
      <c r="T659" s="168"/>
      <c r="U659" s="146"/>
      <c r="V659" s="146"/>
      <c r="W659" s="146"/>
      <c r="X659" s="156">
        <v>0</v>
      </c>
      <c r="Y659" s="156">
        <v>0</v>
      </c>
      <c r="Z659" s="157" t="s">
        <v>2160</v>
      </c>
      <c r="AA659" s="158">
        <v>2021</v>
      </c>
      <c r="AB659" s="158">
        <v>7</v>
      </c>
      <c r="AC659" s="158">
        <v>9</v>
      </c>
      <c r="AD659" s="122" t="b">
        <f>IF(ISBLANK(GroupMember[[#This Row],[1. Identifiant interne d’exploitation agricole*]]),"",IF(ISERROR(MATCH(GroupMember[[#This Row],[1. Identifiant interne d’exploitation agricole*]],CertifiedCrop[1. Identifiant interne d’exploitation agricole*],0)),FALSE,TRUE))</f>
        <v>1</v>
      </c>
      <c r="AE659" s="122" t="b">
        <f>IF(ISBLANK(GroupMember[[#This Row],[1. Identifiant interne d’exploitation agricole*]]),"",IF(ISERROR(MATCH(GroupMember[[#This Row],[1. Identifiant interne d’exploitation agricole*]],FarmUnit[1. Identifiant interne d’exploitation agricole*],0)),FALSE,TRUE))</f>
        <v>1</v>
      </c>
      <c r="AF659" s="9" t="str">
        <f t="shared" si="30"/>
        <v>OUEDRAOGO  SOMPAVIGUDI</v>
      </c>
      <c r="AG659" s="243" t="str">
        <f t="shared" si="31"/>
        <v>9/7/2021</v>
      </c>
      <c r="AH659" s="51">
        <f>COUNTIFS(Z:Z,Z659,AG:AG,AG659)</f>
        <v>4</v>
      </c>
      <c r="AI659" s="49">
        <f t="shared" si="32"/>
        <v>0</v>
      </c>
    </row>
    <row r="660" spans="1:35" ht="15" x14ac:dyDescent="0.2">
      <c r="A660" s="193" t="s">
        <v>2486</v>
      </c>
      <c r="B660" s="146" t="s">
        <v>668</v>
      </c>
      <c r="C660" s="193" t="s">
        <v>2486</v>
      </c>
      <c r="D660" s="200" t="s">
        <v>1853</v>
      </c>
      <c r="E660" s="146" t="s">
        <v>670</v>
      </c>
      <c r="F660" s="146" t="s">
        <v>671</v>
      </c>
      <c r="G660" s="146" t="s">
        <v>672</v>
      </c>
      <c r="H660" s="148">
        <v>5</v>
      </c>
      <c r="I660" s="146" t="s">
        <v>673</v>
      </c>
      <c r="J660" s="149">
        <v>1</v>
      </c>
      <c r="K660" s="150">
        <v>2021</v>
      </c>
      <c r="L660" s="199" t="s">
        <v>948</v>
      </c>
      <c r="M660" s="199" t="s">
        <v>2183</v>
      </c>
      <c r="N660" s="172"/>
      <c r="O660" s="199" t="s">
        <v>2487</v>
      </c>
      <c r="P660" s="204" t="s">
        <v>676</v>
      </c>
      <c r="Q660" s="150">
        <v>1988</v>
      </c>
      <c r="R660" s="155">
        <v>6</v>
      </c>
      <c r="S660" s="168"/>
      <c r="T660" s="168"/>
      <c r="U660" s="146"/>
      <c r="V660" s="146"/>
      <c r="W660" s="146"/>
      <c r="X660" s="156">
        <v>0</v>
      </c>
      <c r="Y660" s="156">
        <v>0</v>
      </c>
      <c r="Z660" s="157" t="s">
        <v>2160</v>
      </c>
      <c r="AA660" s="158">
        <v>2021</v>
      </c>
      <c r="AB660" s="158">
        <v>8</v>
      </c>
      <c r="AC660" s="158">
        <v>23</v>
      </c>
      <c r="AD660" s="122" t="b">
        <f>IF(ISBLANK(GroupMember[[#This Row],[1. Identifiant interne d’exploitation agricole*]]),"",IF(ISERROR(MATCH(GroupMember[[#This Row],[1. Identifiant interne d’exploitation agricole*]],CertifiedCrop[1. Identifiant interne d’exploitation agricole*],0)),FALSE,TRUE))</f>
        <v>1</v>
      </c>
      <c r="AE660" s="122" t="b">
        <f>IF(ISBLANK(GroupMember[[#This Row],[1. Identifiant interne d’exploitation agricole*]]),"",IF(ISERROR(MATCH(GroupMember[[#This Row],[1. Identifiant interne d’exploitation agricole*]],FarmUnit[1. Identifiant interne d’exploitation agricole*],0)),FALSE,TRUE))</f>
        <v>1</v>
      </c>
      <c r="AF660" s="9" t="str">
        <f t="shared" si="30"/>
        <v>SAWADOGO IDRISSA</v>
      </c>
      <c r="AG660" s="243" t="str">
        <f t="shared" si="31"/>
        <v>23/8/2021</v>
      </c>
      <c r="AH660" s="51">
        <f>COUNTIFS(Z:Z,Z660,AG:AG,AG660)</f>
        <v>4</v>
      </c>
      <c r="AI660" s="49">
        <f t="shared" si="32"/>
        <v>0</v>
      </c>
    </row>
    <row r="661" spans="1:35" ht="15" x14ac:dyDescent="0.2">
      <c r="A661" s="193" t="s">
        <v>2488</v>
      </c>
      <c r="B661" s="146" t="s">
        <v>668</v>
      </c>
      <c r="C661" s="193" t="s">
        <v>2488</v>
      </c>
      <c r="D661" s="200" t="s">
        <v>1853</v>
      </c>
      <c r="E661" s="146" t="s">
        <v>670</v>
      </c>
      <c r="F661" s="146" t="s">
        <v>671</v>
      </c>
      <c r="G661" s="146" t="s">
        <v>672</v>
      </c>
      <c r="H661" s="148">
        <v>6.2</v>
      </c>
      <c r="I661" s="146" t="s">
        <v>673</v>
      </c>
      <c r="J661" s="149">
        <v>1</v>
      </c>
      <c r="K661" s="150">
        <v>2021</v>
      </c>
      <c r="L661" s="199" t="s">
        <v>948</v>
      </c>
      <c r="M661" s="199" t="s">
        <v>2489</v>
      </c>
      <c r="N661" s="172" t="s">
        <v>2490</v>
      </c>
      <c r="O661" s="199"/>
      <c r="P661" s="204" t="s">
        <v>676</v>
      </c>
      <c r="Q661" s="299"/>
      <c r="R661" s="155">
        <v>5</v>
      </c>
      <c r="S661" s="168"/>
      <c r="T661" s="168"/>
      <c r="U661" s="146"/>
      <c r="V661" s="146"/>
      <c r="W661" s="146"/>
      <c r="X661" s="156">
        <v>0</v>
      </c>
      <c r="Y661" s="156">
        <v>0</v>
      </c>
      <c r="Z661" s="157" t="s">
        <v>2160</v>
      </c>
      <c r="AA661" s="158">
        <v>2021</v>
      </c>
      <c r="AB661" s="158">
        <v>8</v>
      </c>
      <c r="AC661" s="158">
        <v>24</v>
      </c>
      <c r="AD661" s="122" t="b">
        <f>IF(ISBLANK(GroupMember[[#This Row],[1. Identifiant interne d’exploitation agricole*]]),"",IF(ISERROR(MATCH(GroupMember[[#This Row],[1. Identifiant interne d’exploitation agricole*]],CertifiedCrop[1. Identifiant interne d’exploitation agricole*],0)),FALSE,TRUE))</f>
        <v>1</v>
      </c>
      <c r="AE661" s="122" t="b">
        <f>IF(ISBLANK(GroupMember[[#This Row],[1. Identifiant interne d’exploitation agricole*]]),"",IF(ISERROR(MATCH(GroupMember[[#This Row],[1. Identifiant interne d’exploitation agricole*]],FarmUnit[1. Identifiant interne d’exploitation agricole*],0)),FALSE,TRUE))</f>
        <v>1</v>
      </c>
      <c r="AF661" s="9" t="str">
        <f t="shared" si="30"/>
        <v>SAWADOGO JOSEPH</v>
      </c>
      <c r="AG661" s="243" t="str">
        <f t="shared" si="31"/>
        <v>24/8/2021</v>
      </c>
      <c r="AH661" s="51">
        <f>COUNTIFS(Z:Z,Z661,AG:AG,AG661)</f>
        <v>3</v>
      </c>
      <c r="AI661" s="49">
        <f t="shared" si="32"/>
        <v>0</v>
      </c>
    </row>
    <row r="662" spans="1:35" ht="15" x14ac:dyDescent="0.2">
      <c r="A662" s="193" t="s">
        <v>2491</v>
      </c>
      <c r="B662" s="146" t="s">
        <v>668</v>
      </c>
      <c r="C662" s="193" t="s">
        <v>2491</v>
      </c>
      <c r="D662" s="200" t="s">
        <v>1853</v>
      </c>
      <c r="E662" s="146" t="s">
        <v>670</v>
      </c>
      <c r="F662" s="146" t="s">
        <v>671</v>
      </c>
      <c r="G662" s="146" t="s">
        <v>672</v>
      </c>
      <c r="H662" s="148">
        <v>4.95</v>
      </c>
      <c r="I662" s="146" t="s">
        <v>673</v>
      </c>
      <c r="J662" s="149">
        <v>1</v>
      </c>
      <c r="K662" s="150">
        <v>2021</v>
      </c>
      <c r="L662" s="199" t="s">
        <v>948</v>
      </c>
      <c r="M662" s="199" t="s">
        <v>2492</v>
      </c>
      <c r="N662" s="172"/>
      <c r="O662" s="199" t="s">
        <v>2493</v>
      </c>
      <c r="P662" s="204" t="s">
        <v>676</v>
      </c>
      <c r="Q662" s="150">
        <v>1974</v>
      </c>
      <c r="R662" s="155">
        <v>4</v>
      </c>
      <c r="S662" s="168"/>
      <c r="T662" s="168"/>
      <c r="U662" s="146"/>
      <c r="V662" s="146"/>
      <c r="W662" s="146"/>
      <c r="X662" s="156">
        <v>0</v>
      </c>
      <c r="Y662" s="156">
        <v>0</v>
      </c>
      <c r="Z662" s="157" t="s">
        <v>2160</v>
      </c>
      <c r="AA662" s="158">
        <v>2021</v>
      </c>
      <c r="AB662" s="158">
        <v>8</v>
      </c>
      <c r="AC662" s="158">
        <v>26</v>
      </c>
      <c r="AD662" s="122" t="b">
        <f>IF(ISBLANK(GroupMember[[#This Row],[1. Identifiant interne d’exploitation agricole*]]),"",IF(ISERROR(MATCH(GroupMember[[#This Row],[1. Identifiant interne d’exploitation agricole*]],CertifiedCrop[1. Identifiant interne d’exploitation agricole*],0)),FALSE,TRUE))</f>
        <v>1</v>
      </c>
      <c r="AE662" s="122" t="b">
        <f>IF(ISBLANK(GroupMember[[#This Row],[1. Identifiant interne d’exploitation agricole*]]),"",IF(ISERROR(MATCH(GroupMember[[#This Row],[1. Identifiant interne d’exploitation agricole*]],FarmUnit[1. Identifiant interne d’exploitation agricole*],0)),FALSE,TRUE))</f>
        <v>1</v>
      </c>
      <c r="AF662" s="9" t="str">
        <f t="shared" si="30"/>
        <v xml:space="preserve">SAWADOGO  NORAOGO </v>
      </c>
      <c r="AG662" s="243" t="str">
        <f t="shared" si="31"/>
        <v>26/8/2021</v>
      </c>
      <c r="AH662" s="51">
        <f>COUNTIFS(Z:Z,Z662,AG:AG,AG662)</f>
        <v>3</v>
      </c>
      <c r="AI662" s="49">
        <f t="shared" si="32"/>
        <v>0</v>
      </c>
    </row>
    <row r="663" spans="1:35" ht="15" x14ac:dyDescent="0.2">
      <c r="A663" s="193" t="s">
        <v>2494</v>
      </c>
      <c r="B663" s="146" t="s">
        <v>668</v>
      </c>
      <c r="C663" s="193" t="s">
        <v>2494</v>
      </c>
      <c r="D663" s="200" t="s">
        <v>1853</v>
      </c>
      <c r="E663" s="146" t="s">
        <v>670</v>
      </c>
      <c r="F663" s="146" t="s">
        <v>671</v>
      </c>
      <c r="G663" s="146" t="s">
        <v>672</v>
      </c>
      <c r="H663" s="148">
        <v>1.46</v>
      </c>
      <c r="I663" s="146" t="s">
        <v>673</v>
      </c>
      <c r="J663" s="149">
        <v>1</v>
      </c>
      <c r="K663" s="150">
        <v>2021</v>
      </c>
      <c r="L663" s="199" t="s">
        <v>2495</v>
      </c>
      <c r="M663" s="199" t="s">
        <v>2496</v>
      </c>
      <c r="N663" s="172"/>
      <c r="O663" s="199" t="s">
        <v>2497</v>
      </c>
      <c r="P663" s="204" t="s">
        <v>676</v>
      </c>
      <c r="Q663" s="150">
        <v>1986</v>
      </c>
      <c r="R663" s="155">
        <v>6</v>
      </c>
      <c r="S663" s="168"/>
      <c r="T663" s="168"/>
      <c r="U663" s="146"/>
      <c r="V663" s="146"/>
      <c r="W663" s="146"/>
      <c r="X663" s="156">
        <v>0</v>
      </c>
      <c r="Y663" s="156">
        <v>0</v>
      </c>
      <c r="Z663" s="157" t="s">
        <v>2160</v>
      </c>
      <c r="AA663" s="158">
        <v>2021</v>
      </c>
      <c r="AB663" s="158">
        <v>7</v>
      </c>
      <c r="AC663" s="158">
        <v>17</v>
      </c>
      <c r="AD663" s="122" t="b">
        <f>IF(ISBLANK(GroupMember[[#This Row],[1. Identifiant interne d’exploitation agricole*]]),"",IF(ISERROR(MATCH(GroupMember[[#This Row],[1. Identifiant interne d’exploitation agricole*]],CertifiedCrop[1. Identifiant interne d’exploitation agricole*],0)),FALSE,TRUE))</f>
        <v>1</v>
      </c>
      <c r="AE663" s="122" t="b">
        <f>IF(ISBLANK(GroupMember[[#This Row],[1. Identifiant interne d’exploitation agricole*]]),"",IF(ISERROR(MATCH(GroupMember[[#This Row],[1. Identifiant interne d’exploitation agricole*]],FarmUnit[1. Identifiant interne d’exploitation agricole*],0)),FALSE,TRUE))</f>
        <v>1</v>
      </c>
      <c r="AF663" s="9" t="str">
        <f t="shared" si="30"/>
        <v xml:space="preserve">OUOBA DAHALY </v>
      </c>
      <c r="AG663" s="243" t="str">
        <f t="shared" si="31"/>
        <v>17/7/2021</v>
      </c>
      <c r="AH663" s="51">
        <f>COUNTIFS(Z:Z,Z663,AG:AG,AG663)</f>
        <v>4</v>
      </c>
      <c r="AI663" s="49">
        <f t="shared" si="32"/>
        <v>0</v>
      </c>
    </row>
    <row r="664" spans="1:35" ht="15" x14ac:dyDescent="0.2">
      <c r="A664" s="193" t="s">
        <v>2498</v>
      </c>
      <c r="B664" s="146" t="s">
        <v>668</v>
      </c>
      <c r="C664" s="193" t="s">
        <v>2498</v>
      </c>
      <c r="D664" s="200" t="s">
        <v>1853</v>
      </c>
      <c r="E664" s="146" t="s">
        <v>670</v>
      </c>
      <c r="F664" s="146" t="s">
        <v>671</v>
      </c>
      <c r="G664" s="146" t="s">
        <v>672</v>
      </c>
      <c r="H664" s="148">
        <v>3.73</v>
      </c>
      <c r="I664" s="146" t="s">
        <v>673</v>
      </c>
      <c r="J664" s="149">
        <v>1</v>
      </c>
      <c r="K664" s="150">
        <v>2021</v>
      </c>
      <c r="L664" s="199" t="s">
        <v>707</v>
      </c>
      <c r="M664" s="199" t="s">
        <v>1837</v>
      </c>
      <c r="N664" s="172"/>
      <c r="O664" s="199" t="s">
        <v>2499</v>
      </c>
      <c r="P664" s="204" t="s">
        <v>676</v>
      </c>
      <c r="Q664" s="150">
        <v>1993</v>
      </c>
      <c r="R664" s="155">
        <v>6</v>
      </c>
      <c r="S664" s="168"/>
      <c r="T664" s="168"/>
      <c r="U664" s="146"/>
      <c r="V664" s="146"/>
      <c r="W664" s="146"/>
      <c r="X664" s="156">
        <v>0</v>
      </c>
      <c r="Y664" s="156">
        <v>0</v>
      </c>
      <c r="Z664" s="157" t="s">
        <v>2160</v>
      </c>
      <c r="AA664" s="158">
        <v>2021</v>
      </c>
      <c r="AB664" s="158">
        <v>8</v>
      </c>
      <c r="AC664" s="158">
        <v>23</v>
      </c>
      <c r="AD664" s="122" t="b">
        <f>IF(ISBLANK(GroupMember[[#This Row],[1. Identifiant interne d’exploitation agricole*]]),"",IF(ISERROR(MATCH(GroupMember[[#This Row],[1. Identifiant interne d’exploitation agricole*]],CertifiedCrop[1. Identifiant interne d’exploitation agricole*],0)),FALSE,TRUE))</f>
        <v>1</v>
      </c>
      <c r="AE664" s="122" t="b">
        <f>IF(ISBLANK(GroupMember[[#This Row],[1. Identifiant interne d’exploitation agricole*]]),"",IF(ISERROR(MATCH(GroupMember[[#This Row],[1. Identifiant interne d’exploitation agricole*]],FarmUnit[1. Identifiant interne d’exploitation agricole*],0)),FALSE,TRUE))</f>
        <v>1</v>
      </c>
      <c r="AF664" s="9" t="str">
        <f t="shared" si="30"/>
        <v>OUEDRAOGO  MARCEL</v>
      </c>
      <c r="AG664" s="243" t="str">
        <f t="shared" si="31"/>
        <v>23/8/2021</v>
      </c>
      <c r="AH664" s="51">
        <f>COUNTIFS(Z:Z,Z664,AG:AG,AG664)</f>
        <v>4</v>
      </c>
      <c r="AI664" s="49">
        <f t="shared" si="32"/>
        <v>0</v>
      </c>
    </row>
    <row r="665" spans="1:35" ht="15" x14ac:dyDescent="0.2">
      <c r="A665" s="193" t="s">
        <v>2500</v>
      </c>
      <c r="B665" s="146" t="s">
        <v>668</v>
      </c>
      <c r="C665" s="193" t="s">
        <v>2500</v>
      </c>
      <c r="D665" s="200" t="s">
        <v>1853</v>
      </c>
      <c r="E665" s="146" t="s">
        <v>670</v>
      </c>
      <c r="F665" s="146" t="s">
        <v>671</v>
      </c>
      <c r="G665" s="146" t="s">
        <v>672</v>
      </c>
      <c r="H665" s="148">
        <v>1.87</v>
      </c>
      <c r="I665" s="146" t="s">
        <v>673</v>
      </c>
      <c r="J665" s="149">
        <v>1</v>
      </c>
      <c r="K665" s="150">
        <v>2021</v>
      </c>
      <c r="L665" s="199" t="s">
        <v>2501</v>
      </c>
      <c r="M665" s="199" t="s">
        <v>2502</v>
      </c>
      <c r="N665" s="172"/>
      <c r="O665" s="199" t="s">
        <v>2503</v>
      </c>
      <c r="P665" s="204" t="s">
        <v>676</v>
      </c>
      <c r="Q665" s="150">
        <v>1976</v>
      </c>
      <c r="R665" s="155">
        <v>7</v>
      </c>
      <c r="S665" s="168"/>
      <c r="T665" s="168"/>
      <c r="U665" s="146"/>
      <c r="V665" s="146"/>
      <c r="W665" s="146"/>
      <c r="X665" s="156">
        <v>0</v>
      </c>
      <c r="Y665" s="156">
        <v>0</v>
      </c>
      <c r="Z665" s="157" t="s">
        <v>2160</v>
      </c>
      <c r="AA665" s="158">
        <v>2021</v>
      </c>
      <c r="AB665" s="158">
        <v>8</v>
      </c>
      <c r="AC665" s="158">
        <v>27</v>
      </c>
      <c r="AD665" s="122" t="b">
        <f>IF(ISBLANK(GroupMember[[#This Row],[1. Identifiant interne d’exploitation agricole*]]),"",IF(ISERROR(MATCH(GroupMember[[#This Row],[1. Identifiant interne d’exploitation agricole*]],CertifiedCrop[1. Identifiant interne d’exploitation agricole*],0)),FALSE,TRUE))</f>
        <v>1</v>
      </c>
      <c r="AE665" s="122" t="b">
        <f>IF(ISBLANK(GroupMember[[#This Row],[1. Identifiant interne d’exploitation agricole*]]),"",IF(ISERROR(MATCH(GroupMember[[#This Row],[1. Identifiant interne d’exploitation agricole*]],FarmUnit[1. Identifiant interne d’exploitation agricole*],0)),FALSE,TRUE))</f>
        <v>1</v>
      </c>
      <c r="AF665" s="9" t="str">
        <f t="shared" si="30"/>
        <v>SOBOGO  NIKIEMA</v>
      </c>
      <c r="AG665" s="243" t="str">
        <f t="shared" si="31"/>
        <v>27/8/2021</v>
      </c>
      <c r="AH665" s="51">
        <f>COUNTIFS(Z:Z,Z665,AG:AG,AG665)</f>
        <v>4</v>
      </c>
      <c r="AI665" s="49">
        <f t="shared" si="32"/>
        <v>0</v>
      </c>
    </row>
    <row r="666" spans="1:35" ht="15" x14ac:dyDescent="0.2">
      <c r="A666" s="193" t="s">
        <v>2504</v>
      </c>
      <c r="B666" s="146" t="s">
        <v>668</v>
      </c>
      <c r="C666" s="193" t="s">
        <v>2504</v>
      </c>
      <c r="D666" s="200" t="s">
        <v>1853</v>
      </c>
      <c r="E666" s="146" t="s">
        <v>670</v>
      </c>
      <c r="F666" s="146" t="s">
        <v>671</v>
      </c>
      <c r="G666" s="146" t="s">
        <v>672</v>
      </c>
      <c r="H666" s="148">
        <v>2.5</v>
      </c>
      <c r="I666" s="146" t="s">
        <v>673</v>
      </c>
      <c r="J666" s="149">
        <v>1</v>
      </c>
      <c r="K666" s="150">
        <v>2021</v>
      </c>
      <c r="L666" s="199" t="s">
        <v>948</v>
      </c>
      <c r="M666" s="199" t="s">
        <v>1841</v>
      </c>
      <c r="N666" s="172" t="s">
        <v>2505</v>
      </c>
      <c r="O666" s="199"/>
      <c r="P666" s="204" t="s">
        <v>676</v>
      </c>
      <c r="Q666" s="299"/>
      <c r="R666" s="155">
        <v>5</v>
      </c>
      <c r="S666" s="168"/>
      <c r="T666" s="168"/>
      <c r="U666" s="146"/>
      <c r="V666" s="146"/>
      <c r="W666" s="146"/>
      <c r="X666" s="156">
        <v>0</v>
      </c>
      <c r="Y666" s="156">
        <v>0</v>
      </c>
      <c r="Z666" s="157" t="s">
        <v>2160</v>
      </c>
      <c r="AA666" s="158">
        <v>2021</v>
      </c>
      <c r="AB666" s="158">
        <v>8</v>
      </c>
      <c r="AC666" s="158">
        <v>28</v>
      </c>
      <c r="AD666" s="122" t="b">
        <f>IF(ISBLANK(GroupMember[[#This Row],[1. Identifiant interne d’exploitation agricole*]]),"",IF(ISERROR(MATCH(GroupMember[[#This Row],[1. Identifiant interne d’exploitation agricole*]],CertifiedCrop[1. Identifiant interne d’exploitation agricole*],0)),FALSE,TRUE))</f>
        <v>1</v>
      </c>
      <c r="AE666" s="122" t="b">
        <f>IF(ISBLANK(GroupMember[[#This Row],[1. Identifiant interne d’exploitation agricole*]]),"",IF(ISERROR(MATCH(GroupMember[[#This Row],[1. Identifiant interne d’exploitation agricole*]],FarmUnit[1. Identifiant interne d’exploitation agricole*],0)),FALSE,TRUE))</f>
        <v>1</v>
      </c>
      <c r="AF666" s="9" t="str">
        <f t="shared" si="30"/>
        <v>SAWADOGO MARCEL</v>
      </c>
      <c r="AG666" s="243" t="str">
        <f t="shared" si="31"/>
        <v>28/8/2021</v>
      </c>
      <c r="AH666" s="51">
        <f>COUNTIFS(Z:Z,Z666,AG:AG,AG666)</f>
        <v>4</v>
      </c>
      <c r="AI666" s="49">
        <f t="shared" si="32"/>
        <v>0</v>
      </c>
    </row>
    <row r="667" spans="1:35" ht="15" x14ac:dyDescent="0.2">
      <c r="A667" s="193" t="s">
        <v>2506</v>
      </c>
      <c r="B667" s="146" t="s">
        <v>668</v>
      </c>
      <c r="C667" s="193" t="s">
        <v>2506</v>
      </c>
      <c r="D667" s="200" t="s">
        <v>1853</v>
      </c>
      <c r="E667" s="146" t="s">
        <v>670</v>
      </c>
      <c r="F667" s="146" t="s">
        <v>671</v>
      </c>
      <c r="G667" s="146" t="s">
        <v>672</v>
      </c>
      <c r="H667" s="148">
        <v>3</v>
      </c>
      <c r="I667" s="146" t="s">
        <v>673</v>
      </c>
      <c r="J667" s="149">
        <v>1</v>
      </c>
      <c r="K667" s="150">
        <v>2021</v>
      </c>
      <c r="L667" s="199" t="s">
        <v>948</v>
      </c>
      <c r="M667" s="199" t="s">
        <v>2507</v>
      </c>
      <c r="N667" s="172"/>
      <c r="O667" s="199" t="s">
        <v>2508</v>
      </c>
      <c r="P667" s="204" t="s">
        <v>676</v>
      </c>
      <c r="Q667" s="150">
        <v>1974</v>
      </c>
      <c r="R667" s="155">
        <v>6</v>
      </c>
      <c r="S667" s="168"/>
      <c r="T667" s="168"/>
      <c r="U667" s="146"/>
      <c r="V667" s="146"/>
      <c r="W667" s="146"/>
      <c r="X667" s="156">
        <v>0</v>
      </c>
      <c r="Y667" s="156">
        <v>0</v>
      </c>
      <c r="Z667" s="157" t="s">
        <v>2160</v>
      </c>
      <c r="AA667" s="158">
        <v>2021</v>
      </c>
      <c r="AB667" s="158">
        <v>8</v>
      </c>
      <c r="AC667" s="158">
        <v>23</v>
      </c>
      <c r="AD667" s="122" t="b">
        <f>IF(ISBLANK(GroupMember[[#This Row],[1. Identifiant interne d’exploitation agricole*]]),"",IF(ISERROR(MATCH(GroupMember[[#This Row],[1. Identifiant interne d’exploitation agricole*]],CertifiedCrop[1. Identifiant interne d’exploitation agricole*],0)),FALSE,TRUE))</f>
        <v>1</v>
      </c>
      <c r="AE667" s="122" t="b">
        <f>IF(ISBLANK(GroupMember[[#This Row],[1. Identifiant interne d’exploitation agricole*]]),"",IF(ISERROR(MATCH(GroupMember[[#This Row],[1. Identifiant interne d’exploitation agricole*]],FarmUnit[1. Identifiant interne d’exploitation agricole*],0)),FALSE,TRUE))</f>
        <v>1</v>
      </c>
      <c r="AF667" s="9" t="str">
        <f t="shared" si="30"/>
        <v>SAWADOGO  ALKALI SOULEYMANE</v>
      </c>
      <c r="AG667" s="243" t="str">
        <f t="shared" si="31"/>
        <v>23/8/2021</v>
      </c>
      <c r="AH667" s="51">
        <f>COUNTIFS(Z:Z,Z667,AG:AG,AG667)</f>
        <v>4</v>
      </c>
      <c r="AI667" s="49">
        <f t="shared" si="32"/>
        <v>0</v>
      </c>
    </row>
    <row r="668" spans="1:35" ht="15" x14ac:dyDescent="0.2">
      <c r="A668" s="193" t="s">
        <v>2509</v>
      </c>
      <c r="B668" s="146" t="s">
        <v>668</v>
      </c>
      <c r="C668" s="193" t="s">
        <v>2509</v>
      </c>
      <c r="D668" s="200" t="s">
        <v>1853</v>
      </c>
      <c r="E668" s="146" t="s">
        <v>670</v>
      </c>
      <c r="F668" s="146" t="s">
        <v>671</v>
      </c>
      <c r="G668" s="146" t="s">
        <v>672</v>
      </c>
      <c r="H668" s="148">
        <v>3</v>
      </c>
      <c r="I668" s="146" t="s">
        <v>673</v>
      </c>
      <c r="J668" s="149">
        <v>1</v>
      </c>
      <c r="K668" s="150">
        <v>2021</v>
      </c>
      <c r="L668" s="199" t="s">
        <v>2510</v>
      </c>
      <c r="M668" s="199" t="s">
        <v>2511</v>
      </c>
      <c r="N668" s="172"/>
      <c r="O668" s="199" t="s">
        <v>2512</v>
      </c>
      <c r="P668" s="204" t="s">
        <v>676</v>
      </c>
      <c r="Q668" s="150">
        <v>1976</v>
      </c>
      <c r="R668" s="155">
        <v>4</v>
      </c>
      <c r="S668" s="168"/>
      <c r="T668" s="168"/>
      <c r="U668" s="146"/>
      <c r="V668" s="146"/>
      <c r="W668" s="146"/>
      <c r="X668" s="156">
        <v>0</v>
      </c>
      <c r="Y668" s="156">
        <v>0</v>
      </c>
      <c r="Z668" s="157" t="s">
        <v>2160</v>
      </c>
      <c r="AA668" s="158">
        <v>2021</v>
      </c>
      <c r="AB668" s="158">
        <v>8</v>
      </c>
      <c r="AC668" s="158">
        <v>27</v>
      </c>
      <c r="AD668" s="122" t="b">
        <f>IF(ISBLANK(GroupMember[[#This Row],[1. Identifiant interne d’exploitation agricole*]]),"",IF(ISERROR(MATCH(GroupMember[[#This Row],[1. Identifiant interne d’exploitation agricole*]],CertifiedCrop[1. Identifiant interne d’exploitation agricole*],0)),FALSE,TRUE))</f>
        <v>1</v>
      </c>
      <c r="AE668" s="122" t="b">
        <f>IF(ISBLANK(GroupMember[[#This Row],[1. Identifiant interne d’exploitation agricole*]]),"",IF(ISERROR(MATCH(GroupMember[[#This Row],[1. Identifiant interne d’exploitation agricole*]],FarmUnit[1. Identifiant interne d’exploitation agricole*],0)),FALSE,TRUE))</f>
        <v>1</v>
      </c>
      <c r="AF668" s="9" t="str">
        <f t="shared" si="30"/>
        <v>KORGO  RAGOAME</v>
      </c>
      <c r="AG668" s="243" t="str">
        <f t="shared" si="31"/>
        <v>27/8/2021</v>
      </c>
      <c r="AH668" s="51">
        <f>COUNTIFS(Z:Z,Z668,AG:AG,AG668)</f>
        <v>4</v>
      </c>
      <c r="AI668" s="49">
        <f t="shared" si="32"/>
        <v>0</v>
      </c>
    </row>
    <row r="669" spans="1:35" ht="15" x14ac:dyDescent="0.2">
      <c r="A669" s="193" t="s">
        <v>2513</v>
      </c>
      <c r="B669" s="146" t="s">
        <v>668</v>
      </c>
      <c r="C669" s="193" t="s">
        <v>2513</v>
      </c>
      <c r="D669" s="200" t="s">
        <v>1853</v>
      </c>
      <c r="E669" s="146" t="s">
        <v>670</v>
      </c>
      <c r="F669" s="146" t="s">
        <v>671</v>
      </c>
      <c r="G669" s="146" t="s">
        <v>672</v>
      </c>
      <c r="H669" s="148">
        <v>1.99</v>
      </c>
      <c r="I669" s="146" t="s">
        <v>673</v>
      </c>
      <c r="J669" s="149">
        <v>1</v>
      </c>
      <c r="K669" s="150">
        <v>2021</v>
      </c>
      <c r="L669" s="199" t="s">
        <v>948</v>
      </c>
      <c r="M669" s="199" t="s">
        <v>2514</v>
      </c>
      <c r="N669" s="172"/>
      <c r="O669" s="199"/>
      <c r="P669" s="204" t="s">
        <v>676</v>
      </c>
      <c r="Q669" s="299"/>
      <c r="R669" s="155">
        <v>5</v>
      </c>
      <c r="S669" s="168"/>
      <c r="T669" s="168"/>
      <c r="U669" s="146"/>
      <c r="V669" s="146"/>
      <c r="W669" s="146"/>
      <c r="X669" s="156">
        <v>0</v>
      </c>
      <c r="Y669" s="156">
        <v>0</v>
      </c>
      <c r="Z669" s="157" t="s">
        <v>2160</v>
      </c>
      <c r="AA669" s="158">
        <v>2021</v>
      </c>
      <c r="AB669" s="158">
        <v>7</v>
      </c>
      <c r="AC669" s="158">
        <v>9</v>
      </c>
      <c r="AD669" s="122" t="b">
        <f>IF(ISBLANK(GroupMember[[#This Row],[1. Identifiant interne d’exploitation agricole*]]),"",IF(ISERROR(MATCH(GroupMember[[#This Row],[1. Identifiant interne d’exploitation agricole*]],CertifiedCrop[1. Identifiant interne d’exploitation agricole*],0)),FALSE,TRUE))</f>
        <v>1</v>
      </c>
      <c r="AE669" s="122" t="b">
        <f>IF(ISBLANK(GroupMember[[#This Row],[1. Identifiant interne d’exploitation agricole*]]),"",IF(ISERROR(MATCH(GroupMember[[#This Row],[1. Identifiant interne d’exploitation agricole*]],FarmUnit[1. Identifiant interne d’exploitation agricole*],0)),FALSE,TRUE))</f>
        <v>1</v>
      </c>
      <c r="AF669" s="9" t="str">
        <f t="shared" si="30"/>
        <v>SAWADOGO  SOURNOMA</v>
      </c>
      <c r="AG669" s="243" t="str">
        <f t="shared" si="31"/>
        <v>9/7/2021</v>
      </c>
      <c r="AH669" s="51">
        <f>COUNTIFS(Z:Z,Z669,AG:AG,AG669)</f>
        <v>4</v>
      </c>
      <c r="AI669" s="49">
        <f t="shared" si="32"/>
        <v>0</v>
      </c>
    </row>
    <row r="670" spans="1:35" ht="15" x14ac:dyDescent="0.2">
      <c r="A670" s="193" t="s">
        <v>2515</v>
      </c>
      <c r="B670" s="146" t="s">
        <v>668</v>
      </c>
      <c r="C670" s="193" t="s">
        <v>2515</v>
      </c>
      <c r="D670" s="200" t="s">
        <v>1853</v>
      </c>
      <c r="E670" s="146" t="s">
        <v>670</v>
      </c>
      <c r="F670" s="146" t="s">
        <v>671</v>
      </c>
      <c r="G670" s="146" t="s">
        <v>672</v>
      </c>
      <c r="H670" s="148">
        <v>11.09</v>
      </c>
      <c r="I670" s="146" t="s">
        <v>673</v>
      </c>
      <c r="J670" s="149">
        <v>2</v>
      </c>
      <c r="K670" s="150">
        <v>2021</v>
      </c>
      <c r="L670" s="199" t="s">
        <v>948</v>
      </c>
      <c r="M670" s="199" t="s">
        <v>2516</v>
      </c>
      <c r="N670" s="172"/>
      <c r="O670" s="199"/>
      <c r="P670" s="204" t="s">
        <v>676</v>
      </c>
      <c r="Q670" s="150"/>
      <c r="R670" s="155">
        <v>6</v>
      </c>
      <c r="S670" s="168"/>
      <c r="T670" s="168"/>
      <c r="U670" s="146"/>
      <c r="V670" s="146"/>
      <c r="W670" s="146"/>
      <c r="X670" s="156">
        <v>0</v>
      </c>
      <c r="Y670" s="156">
        <v>1</v>
      </c>
      <c r="Z670" s="157" t="s">
        <v>2160</v>
      </c>
      <c r="AA670" s="158">
        <v>2021</v>
      </c>
      <c r="AB670" s="158">
        <v>7</v>
      </c>
      <c r="AC670" s="158">
        <v>17</v>
      </c>
      <c r="AD670" s="122" t="b">
        <f>IF(ISBLANK(GroupMember[[#This Row],[1. Identifiant interne d’exploitation agricole*]]),"",IF(ISERROR(MATCH(GroupMember[[#This Row],[1. Identifiant interne d’exploitation agricole*]],CertifiedCrop[1. Identifiant interne d’exploitation agricole*],0)),FALSE,TRUE))</f>
        <v>1</v>
      </c>
      <c r="AE670" s="122" t="b">
        <f>IF(ISBLANK(GroupMember[[#This Row],[1. Identifiant interne d’exploitation agricole*]]),"",IF(ISERROR(MATCH(GroupMember[[#This Row],[1. Identifiant interne d’exploitation agricole*]],FarmUnit[1. Identifiant interne d’exploitation agricole*],0)),FALSE,TRUE))</f>
        <v>1</v>
      </c>
      <c r="AF670" s="9" t="str">
        <f t="shared" si="30"/>
        <v>SAWADOGO  GOAMPABOUSDI</v>
      </c>
      <c r="AG670" s="243" t="str">
        <f t="shared" si="31"/>
        <v>17/7/2021</v>
      </c>
      <c r="AH670" s="51">
        <f>COUNTIFS(Z:Z,Z670,AG:AG,AG670)</f>
        <v>4</v>
      </c>
      <c r="AI670" s="49">
        <f t="shared" si="32"/>
        <v>8.3333333333333329E-2</v>
      </c>
    </row>
    <row r="671" spans="1:35" ht="15" x14ac:dyDescent="0.2">
      <c r="A671" s="193" t="s">
        <v>2517</v>
      </c>
      <c r="B671" s="146" t="s">
        <v>668</v>
      </c>
      <c r="C671" s="193" t="s">
        <v>2517</v>
      </c>
      <c r="D671" s="200" t="s">
        <v>1853</v>
      </c>
      <c r="E671" s="146" t="s">
        <v>670</v>
      </c>
      <c r="F671" s="146" t="s">
        <v>671</v>
      </c>
      <c r="G671" s="146" t="s">
        <v>672</v>
      </c>
      <c r="H671" s="148">
        <v>2.5</v>
      </c>
      <c r="I671" s="146" t="s">
        <v>673</v>
      </c>
      <c r="J671" s="149">
        <v>1</v>
      </c>
      <c r="K671" s="150">
        <v>2021</v>
      </c>
      <c r="L671" s="199" t="s">
        <v>707</v>
      </c>
      <c r="M671" s="199" t="s">
        <v>2518</v>
      </c>
      <c r="N671" s="172"/>
      <c r="O671" s="199"/>
      <c r="P671" s="204" t="s">
        <v>676</v>
      </c>
      <c r="Q671" s="150"/>
      <c r="R671" s="155">
        <v>4</v>
      </c>
      <c r="S671" s="168"/>
      <c r="T671" s="168"/>
      <c r="U671" s="146"/>
      <c r="V671" s="146"/>
      <c r="W671" s="146"/>
      <c r="X671" s="156">
        <v>0</v>
      </c>
      <c r="Y671" s="156">
        <v>0</v>
      </c>
      <c r="Z671" s="157" t="s">
        <v>2160</v>
      </c>
      <c r="AA671" s="158">
        <v>2021</v>
      </c>
      <c r="AB671" s="158">
        <v>8</v>
      </c>
      <c r="AC671" s="158">
        <v>28</v>
      </c>
      <c r="AD671" s="122" t="b">
        <f>IF(ISBLANK(GroupMember[[#This Row],[1. Identifiant interne d’exploitation agricole*]]),"",IF(ISERROR(MATCH(GroupMember[[#This Row],[1. Identifiant interne d’exploitation agricole*]],CertifiedCrop[1. Identifiant interne d’exploitation agricole*],0)),FALSE,TRUE))</f>
        <v>1</v>
      </c>
      <c r="AE671" s="122" t="b">
        <f>IF(ISBLANK(GroupMember[[#This Row],[1. Identifiant interne d’exploitation agricole*]]),"",IF(ISERROR(MATCH(GroupMember[[#This Row],[1. Identifiant interne d’exploitation agricole*]],FarmUnit[1. Identifiant interne d’exploitation agricole*],0)),FALSE,TRUE))</f>
        <v>1</v>
      </c>
      <c r="AF671" s="9" t="str">
        <f t="shared" si="30"/>
        <v>OUEDRAOGO RIMSORE</v>
      </c>
      <c r="AG671" s="243" t="str">
        <f t="shared" si="31"/>
        <v>28/8/2021</v>
      </c>
      <c r="AH671" s="51">
        <f>COUNTIFS(Z:Z,Z671,AG:AG,AG671)</f>
        <v>4</v>
      </c>
      <c r="AI671" s="49">
        <f t="shared" si="32"/>
        <v>0</v>
      </c>
    </row>
    <row r="672" spans="1:35" ht="15" x14ac:dyDescent="0.2">
      <c r="A672" s="193" t="s">
        <v>2519</v>
      </c>
      <c r="B672" s="146" t="s">
        <v>668</v>
      </c>
      <c r="C672" s="193" t="s">
        <v>2519</v>
      </c>
      <c r="D672" s="200" t="s">
        <v>1853</v>
      </c>
      <c r="E672" s="146" t="s">
        <v>670</v>
      </c>
      <c r="F672" s="146" t="s">
        <v>671</v>
      </c>
      <c r="G672" s="146" t="s">
        <v>672</v>
      </c>
      <c r="H672" s="148">
        <v>1.87</v>
      </c>
      <c r="I672" s="146" t="s">
        <v>673</v>
      </c>
      <c r="J672" s="149">
        <v>1</v>
      </c>
      <c r="K672" s="150">
        <v>2021</v>
      </c>
      <c r="L672" s="199" t="s">
        <v>948</v>
      </c>
      <c r="M672" s="199" t="s">
        <v>1636</v>
      </c>
      <c r="N672" s="172" t="s">
        <v>2520</v>
      </c>
      <c r="O672" s="199" t="s">
        <v>2521</v>
      </c>
      <c r="P672" s="204" t="s">
        <v>676</v>
      </c>
      <c r="Q672" s="150">
        <v>1974</v>
      </c>
      <c r="R672" s="155">
        <v>6</v>
      </c>
      <c r="S672" s="168"/>
      <c r="T672" s="168"/>
      <c r="U672" s="146"/>
      <c r="V672" s="146"/>
      <c r="W672" s="146"/>
      <c r="X672" s="156">
        <v>0</v>
      </c>
      <c r="Y672" s="156">
        <v>0</v>
      </c>
      <c r="Z672" s="157" t="s">
        <v>2160</v>
      </c>
      <c r="AA672" s="158">
        <v>2021</v>
      </c>
      <c r="AB672" s="158">
        <v>8</v>
      </c>
      <c r="AC672" s="158">
        <v>27</v>
      </c>
      <c r="AD672" s="122" t="b">
        <f>IF(ISBLANK(GroupMember[[#This Row],[1. Identifiant interne d’exploitation agricole*]]),"",IF(ISERROR(MATCH(GroupMember[[#This Row],[1. Identifiant interne d’exploitation agricole*]],CertifiedCrop[1. Identifiant interne d’exploitation agricole*],0)),FALSE,TRUE))</f>
        <v>1</v>
      </c>
      <c r="AE672" s="122" t="b">
        <f>IF(ISBLANK(GroupMember[[#This Row],[1. Identifiant interne d’exploitation agricole*]]),"",IF(ISERROR(MATCH(GroupMember[[#This Row],[1. Identifiant interne d’exploitation agricole*]],FarmUnit[1. Identifiant interne d’exploitation agricole*],0)),FALSE,TRUE))</f>
        <v>1</v>
      </c>
      <c r="AF672" s="9" t="str">
        <f t="shared" si="30"/>
        <v>SAWADOGO  JEAN</v>
      </c>
      <c r="AG672" s="243" t="str">
        <f t="shared" si="31"/>
        <v>27/8/2021</v>
      </c>
      <c r="AH672" s="51">
        <f>COUNTIFS(Z:Z,Z672,AG:AG,AG672)</f>
        <v>4</v>
      </c>
      <c r="AI672" s="49">
        <f t="shared" si="32"/>
        <v>0</v>
      </c>
    </row>
    <row r="673" spans="1:35" ht="15" x14ac:dyDescent="0.2">
      <c r="A673" s="193" t="s">
        <v>2522</v>
      </c>
      <c r="B673" s="146" t="s">
        <v>668</v>
      </c>
      <c r="C673" s="193" t="s">
        <v>2522</v>
      </c>
      <c r="D673" s="200" t="s">
        <v>669</v>
      </c>
      <c r="E673" s="146" t="s">
        <v>670</v>
      </c>
      <c r="F673" s="146" t="s">
        <v>671</v>
      </c>
      <c r="G673" s="146" t="s">
        <v>672</v>
      </c>
      <c r="H673" s="148">
        <v>2.37</v>
      </c>
      <c r="I673" s="146" t="s">
        <v>673</v>
      </c>
      <c r="J673" s="149">
        <v>1</v>
      </c>
      <c r="K673" s="150">
        <v>2021</v>
      </c>
      <c r="L673" s="199" t="s">
        <v>948</v>
      </c>
      <c r="M673" s="199" t="s">
        <v>2523</v>
      </c>
      <c r="N673" s="172"/>
      <c r="O673" s="199" t="s">
        <v>2524</v>
      </c>
      <c r="P673" s="204" t="s">
        <v>676</v>
      </c>
      <c r="Q673" s="150">
        <v>1978</v>
      </c>
      <c r="R673" s="155">
        <v>5</v>
      </c>
      <c r="S673" s="168"/>
      <c r="T673" s="168"/>
      <c r="U673" s="146"/>
      <c r="V673" s="146"/>
      <c r="W673" s="146"/>
      <c r="X673" s="156">
        <v>0</v>
      </c>
      <c r="Y673" s="156">
        <v>0</v>
      </c>
      <c r="Z673" s="157" t="s">
        <v>2160</v>
      </c>
      <c r="AA673" s="158">
        <v>2021</v>
      </c>
      <c r="AB673" s="158">
        <v>8</v>
      </c>
      <c r="AC673" s="158">
        <v>28</v>
      </c>
      <c r="AD673" s="122" t="b">
        <f>IF(ISBLANK(GroupMember[[#This Row],[1. Identifiant interne d’exploitation agricole*]]),"",IF(ISERROR(MATCH(GroupMember[[#This Row],[1. Identifiant interne d’exploitation agricole*]],CertifiedCrop[1. Identifiant interne d’exploitation agricole*],0)),FALSE,TRUE))</f>
        <v>1</v>
      </c>
      <c r="AE673" s="122" t="b">
        <f>IF(ISBLANK(GroupMember[[#This Row],[1. Identifiant interne d’exploitation agricole*]]),"",IF(ISERROR(MATCH(GroupMember[[#This Row],[1. Identifiant interne d’exploitation agricole*]],FarmUnit[1. Identifiant interne d’exploitation agricole*],0)),FALSE,TRUE))</f>
        <v>1</v>
      </c>
      <c r="AF673" s="9" t="str">
        <f t="shared" si="30"/>
        <v>SAWADOGO  MOUSSA DIT ELI</v>
      </c>
      <c r="AG673" s="243" t="str">
        <f t="shared" si="31"/>
        <v>28/8/2021</v>
      </c>
      <c r="AH673" s="51">
        <f>COUNTIFS(Z:Z,Z673,AG:AG,AG673)</f>
        <v>4</v>
      </c>
      <c r="AI673" s="49">
        <f t="shared" si="32"/>
        <v>0</v>
      </c>
    </row>
    <row r="674" spans="1:35" ht="15" x14ac:dyDescent="0.2">
      <c r="A674" s="193" t="s">
        <v>2525</v>
      </c>
      <c r="B674" s="146" t="s">
        <v>668</v>
      </c>
      <c r="C674" s="193" t="s">
        <v>2525</v>
      </c>
      <c r="D674" s="200" t="s">
        <v>669</v>
      </c>
      <c r="E674" s="146" t="s">
        <v>670</v>
      </c>
      <c r="F674" s="146" t="s">
        <v>671</v>
      </c>
      <c r="G674" s="146" t="s">
        <v>672</v>
      </c>
      <c r="H674" s="148">
        <v>2.95</v>
      </c>
      <c r="I674" s="146" t="s">
        <v>673</v>
      </c>
      <c r="J674" s="149">
        <v>1</v>
      </c>
      <c r="K674" s="150">
        <v>2021</v>
      </c>
      <c r="L674" s="199" t="s">
        <v>922</v>
      </c>
      <c r="M674" s="199" t="s">
        <v>2526</v>
      </c>
      <c r="N674" s="172" t="s">
        <v>2527</v>
      </c>
      <c r="O674" s="199" t="s">
        <v>2528</v>
      </c>
      <c r="P674" s="204" t="s">
        <v>676</v>
      </c>
      <c r="Q674" s="150">
        <v>1963</v>
      </c>
      <c r="R674" s="155">
        <v>8</v>
      </c>
      <c r="S674" s="168"/>
      <c r="T674" s="168"/>
      <c r="U674" s="146"/>
      <c r="V674" s="146"/>
      <c r="W674" s="146"/>
      <c r="X674" s="156">
        <v>0</v>
      </c>
      <c r="Y674" s="156">
        <v>0</v>
      </c>
      <c r="Z674" s="157" t="s">
        <v>2160</v>
      </c>
      <c r="AA674" s="158">
        <v>2021</v>
      </c>
      <c r="AB674" s="158">
        <v>8</v>
      </c>
      <c r="AC674" s="158">
        <v>28</v>
      </c>
      <c r="AD674" s="122" t="b">
        <f>IF(ISBLANK(GroupMember[[#This Row],[1. Identifiant interne d’exploitation agricole*]]),"",IF(ISERROR(MATCH(GroupMember[[#This Row],[1. Identifiant interne d’exploitation agricole*]],CertifiedCrop[1. Identifiant interne d’exploitation agricole*],0)),FALSE,TRUE))</f>
        <v>1</v>
      </c>
      <c r="AE674" s="122" t="b">
        <f>IF(ISBLANK(GroupMember[[#This Row],[1. Identifiant interne d’exploitation agricole*]]),"",IF(ISERROR(MATCH(GroupMember[[#This Row],[1. Identifiant interne d’exploitation agricole*]],FarmUnit[1. Identifiant interne d’exploitation agricole*],0)),FALSE,TRUE))</f>
        <v>1</v>
      </c>
      <c r="AF674" s="9" t="str">
        <f t="shared" si="30"/>
        <v xml:space="preserve">DEMY  GOKE AUGUSTIN </v>
      </c>
      <c r="AG674" s="243" t="str">
        <f t="shared" si="31"/>
        <v>28/8/2021</v>
      </c>
      <c r="AH674" s="51">
        <f>COUNTIFS(Z:Z,Z674,AG:AG,AG674)</f>
        <v>4</v>
      </c>
      <c r="AI674" s="49">
        <f t="shared" si="32"/>
        <v>0</v>
      </c>
    </row>
    <row r="675" spans="1:35" ht="15" x14ac:dyDescent="0.2">
      <c r="A675" s="193" t="s">
        <v>2529</v>
      </c>
      <c r="B675" s="146" t="s">
        <v>668</v>
      </c>
      <c r="C675" s="193" t="s">
        <v>2529</v>
      </c>
      <c r="D675" s="200" t="s">
        <v>669</v>
      </c>
      <c r="E675" s="146" t="s">
        <v>670</v>
      </c>
      <c r="F675" s="146" t="s">
        <v>671</v>
      </c>
      <c r="G675" s="146" t="s">
        <v>672</v>
      </c>
      <c r="H675" s="148">
        <v>2</v>
      </c>
      <c r="I675" s="146" t="s">
        <v>673</v>
      </c>
      <c r="J675" s="149">
        <v>1</v>
      </c>
      <c r="K675" s="150">
        <v>2021</v>
      </c>
      <c r="L675" s="199" t="s">
        <v>2530</v>
      </c>
      <c r="M675" s="199" t="s">
        <v>2531</v>
      </c>
      <c r="N675" s="172"/>
      <c r="O675" s="199"/>
      <c r="P675" s="204" t="s">
        <v>676</v>
      </c>
      <c r="Q675" s="299"/>
      <c r="R675" s="155">
        <v>7</v>
      </c>
      <c r="S675" s="168"/>
      <c r="T675" s="168"/>
      <c r="U675" s="146"/>
      <c r="V675" s="146"/>
      <c r="W675" s="146"/>
      <c r="X675" s="156">
        <v>0</v>
      </c>
      <c r="Y675" s="156">
        <v>0</v>
      </c>
      <c r="Z675" s="157" t="s">
        <v>2160</v>
      </c>
      <c r="AA675" s="158">
        <v>2021</v>
      </c>
      <c r="AB675" s="158">
        <v>8</v>
      </c>
      <c r="AC675" s="158">
        <v>30</v>
      </c>
      <c r="AD675" s="122" t="b">
        <f>IF(ISBLANK(GroupMember[[#This Row],[1. Identifiant interne d’exploitation agricole*]]),"",IF(ISERROR(MATCH(GroupMember[[#This Row],[1. Identifiant interne d’exploitation agricole*]],CertifiedCrop[1. Identifiant interne d’exploitation agricole*],0)),FALSE,TRUE))</f>
        <v>1</v>
      </c>
      <c r="AE675" s="122" t="b">
        <f>IF(ISBLANK(GroupMember[[#This Row],[1. Identifiant interne d’exploitation agricole*]]),"",IF(ISERROR(MATCH(GroupMember[[#This Row],[1. Identifiant interne d’exploitation agricole*]],FarmUnit[1. Identifiant interne d’exploitation agricole*],0)),FALSE,TRUE))</f>
        <v>1</v>
      </c>
      <c r="AF675" s="9" t="str">
        <f t="shared" si="30"/>
        <v>GONGOME  VILASCO</v>
      </c>
      <c r="AG675" s="243" t="str">
        <f t="shared" si="31"/>
        <v>30/8/2021</v>
      </c>
      <c r="AH675" s="51">
        <f>COUNTIFS(Z:Z,Z675,AG:AG,AG675)</f>
        <v>1</v>
      </c>
      <c r="AI675" s="49">
        <f t="shared" si="32"/>
        <v>0</v>
      </c>
    </row>
    <row r="676" spans="1:35" ht="15" x14ac:dyDescent="0.2">
      <c r="A676" s="193" t="s">
        <v>2532</v>
      </c>
      <c r="B676" s="146" t="s">
        <v>668</v>
      </c>
      <c r="C676" s="193" t="s">
        <v>2532</v>
      </c>
      <c r="D676" s="200" t="s">
        <v>669</v>
      </c>
      <c r="E676" s="146" t="s">
        <v>670</v>
      </c>
      <c r="F676" s="146" t="s">
        <v>671</v>
      </c>
      <c r="G676" s="146" t="s">
        <v>672</v>
      </c>
      <c r="H676" s="148">
        <v>2</v>
      </c>
      <c r="I676" s="146" t="s">
        <v>673</v>
      </c>
      <c r="J676" s="149">
        <v>1</v>
      </c>
      <c r="K676" s="150">
        <v>2021</v>
      </c>
      <c r="L676" s="199" t="s">
        <v>2533</v>
      </c>
      <c r="M676" s="199" t="s">
        <v>2534</v>
      </c>
      <c r="N676" s="172"/>
      <c r="O676" s="199"/>
      <c r="P676" s="204" t="s">
        <v>676</v>
      </c>
      <c r="Q676" s="150"/>
      <c r="R676" s="155">
        <v>5</v>
      </c>
      <c r="S676" s="168"/>
      <c r="T676" s="168"/>
      <c r="U676" s="146"/>
      <c r="V676" s="146"/>
      <c r="W676" s="146"/>
      <c r="X676" s="156">
        <v>0</v>
      </c>
      <c r="Y676" s="156">
        <v>0</v>
      </c>
      <c r="Z676" s="157" t="s">
        <v>2160</v>
      </c>
      <c r="AA676" s="158">
        <v>2021</v>
      </c>
      <c r="AB676" s="158">
        <v>8</v>
      </c>
      <c r="AC676" s="158">
        <v>26</v>
      </c>
      <c r="AD676" s="122" t="b">
        <f>IF(ISBLANK(GroupMember[[#This Row],[1. Identifiant interne d’exploitation agricole*]]),"",IF(ISERROR(MATCH(GroupMember[[#This Row],[1. Identifiant interne d’exploitation agricole*]],CertifiedCrop[1. Identifiant interne d’exploitation agricole*],0)),FALSE,TRUE))</f>
        <v>1</v>
      </c>
      <c r="AE676" s="122" t="b">
        <f>IF(ISBLANK(GroupMember[[#This Row],[1. Identifiant interne d’exploitation agricole*]]),"",IF(ISERROR(MATCH(GroupMember[[#This Row],[1. Identifiant interne d’exploitation agricole*]],FarmUnit[1. Identifiant interne d’exploitation agricole*],0)),FALSE,TRUE))</f>
        <v>1</v>
      </c>
      <c r="AF676" s="9" t="str">
        <f t="shared" si="30"/>
        <v>TOKOLA  SEIDOU</v>
      </c>
      <c r="AG676" s="243" t="str">
        <f t="shared" si="31"/>
        <v>26/8/2021</v>
      </c>
      <c r="AH676" s="51">
        <f>COUNTIFS(Z:Z,Z676,AG:AG,AG676)</f>
        <v>3</v>
      </c>
      <c r="AI676" s="49">
        <f t="shared" si="32"/>
        <v>0</v>
      </c>
    </row>
    <row r="677" spans="1:35" ht="15" x14ac:dyDescent="0.2">
      <c r="A677" s="193" t="s">
        <v>2535</v>
      </c>
      <c r="B677" s="146" t="s">
        <v>668</v>
      </c>
      <c r="C677" s="193" t="s">
        <v>2535</v>
      </c>
      <c r="D677" s="200" t="s">
        <v>669</v>
      </c>
      <c r="E677" s="146" t="s">
        <v>670</v>
      </c>
      <c r="F677" s="146" t="s">
        <v>671</v>
      </c>
      <c r="G677" s="146" t="s">
        <v>672</v>
      </c>
      <c r="H677" s="148">
        <v>2.74</v>
      </c>
      <c r="I677" s="146" t="s">
        <v>673</v>
      </c>
      <c r="J677" s="149">
        <v>2</v>
      </c>
      <c r="K677" s="150">
        <v>2021</v>
      </c>
      <c r="L677" s="199" t="s">
        <v>1101</v>
      </c>
      <c r="M677" s="199" t="s">
        <v>712</v>
      </c>
      <c r="N677" s="172"/>
      <c r="O677" s="199" t="s">
        <v>2536</v>
      </c>
      <c r="P677" s="204" t="s">
        <v>676</v>
      </c>
      <c r="Q677" s="150">
        <v>1969</v>
      </c>
      <c r="R677" s="155">
        <v>8</v>
      </c>
      <c r="S677" s="168"/>
      <c r="T677" s="168"/>
      <c r="U677" s="146"/>
      <c r="V677" s="146"/>
      <c r="W677" s="146"/>
      <c r="X677" s="156">
        <v>0</v>
      </c>
      <c r="Y677" s="156">
        <v>0</v>
      </c>
      <c r="Z677" s="157" t="s">
        <v>2160</v>
      </c>
      <c r="AA677" s="158">
        <v>2021</v>
      </c>
      <c r="AB677" s="158">
        <v>7</v>
      </c>
      <c r="AC677" s="158">
        <v>9</v>
      </c>
      <c r="AD677" s="122" t="b">
        <f>IF(ISBLANK(GroupMember[[#This Row],[1. Identifiant interne d’exploitation agricole*]]),"",IF(ISERROR(MATCH(GroupMember[[#This Row],[1. Identifiant interne d’exploitation agricole*]],CertifiedCrop[1. Identifiant interne d’exploitation agricole*],0)),FALSE,TRUE))</f>
        <v>1</v>
      </c>
      <c r="AE677" s="122" t="b">
        <f>IF(ISBLANK(GroupMember[[#This Row],[1. Identifiant interne d’exploitation agricole*]]),"",IF(ISERROR(MATCH(GroupMember[[#This Row],[1. Identifiant interne d’exploitation agricole*]],FarmUnit[1. Identifiant interne d’exploitation agricole*],0)),FALSE,TRUE))</f>
        <v>1</v>
      </c>
      <c r="AF677" s="9" t="str">
        <f t="shared" si="30"/>
        <v>BAKAYOKO  SIAKA</v>
      </c>
      <c r="AG677" s="243" t="str">
        <f t="shared" si="31"/>
        <v>9/7/2021</v>
      </c>
      <c r="AH677" s="51">
        <f>COUNTIFS(Z:Z,Z677,AG:AG,AG677)</f>
        <v>4</v>
      </c>
      <c r="AI677" s="49">
        <f t="shared" si="32"/>
        <v>0</v>
      </c>
    </row>
    <row r="678" spans="1:35" ht="15" x14ac:dyDescent="0.2">
      <c r="A678" s="193" t="s">
        <v>2537</v>
      </c>
      <c r="B678" s="146" t="s">
        <v>668</v>
      </c>
      <c r="C678" s="193" t="s">
        <v>2537</v>
      </c>
      <c r="D678" s="200" t="s">
        <v>669</v>
      </c>
      <c r="E678" s="146" t="s">
        <v>670</v>
      </c>
      <c r="F678" s="146" t="s">
        <v>671</v>
      </c>
      <c r="G678" s="146" t="s">
        <v>672</v>
      </c>
      <c r="H678" s="148">
        <v>3.67</v>
      </c>
      <c r="I678" s="146" t="s">
        <v>673</v>
      </c>
      <c r="J678" s="149">
        <v>1</v>
      </c>
      <c r="K678" s="150">
        <v>2021</v>
      </c>
      <c r="L678" s="199" t="s">
        <v>1420</v>
      </c>
      <c r="M678" s="199" t="s">
        <v>1923</v>
      </c>
      <c r="N678" s="172"/>
      <c r="O678" s="209"/>
      <c r="P678" s="204" t="s">
        <v>676</v>
      </c>
      <c r="Q678" s="299"/>
      <c r="R678" s="155">
        <v>4</v>
      </c>
      <c r="S678" s="168"/>
      <c r="T678" s="168"/>
      <c r="U678" s="146"/>
      <c r="V678" s="146"/>
      <c r="W678" s="146"/>
      <c r="X678" s="156">
        <v>0</v>
      </c>
      <c r="Y678" s="156">
        <v>0</v>
      </c>
      <c r="Z678" s="157" t="s">
        <v>2160</v>
      </c>
      <c r="AA678" s="158">
        <v>2021</v>
      </c>
      <c r="AB678" s="158">
        <v>8</v>
      </c>
      <c r="AC678" s="158">
        <v>24</v>
      </c>
      <c r="AD678" s="122" t="b">
        <f>IF(ISBLANK(GroupMember[[#This Row],[1. Identifiant interne d’exploitation agricole*]]),"",IF(ISERROR(MATCH(GroupMember[[#This Row],[1. Identifiant interne d’exploitation agricole*]],CertifiedCrop[1. Identifiant interne d’exploitation agricole*],0)),FALSE,TRUE))</f>
        <v>1</v>
      </c>
      <c r="AE678" s="122" t="b">
        <f>IF(ISBLANK(GroupMember[[#This Row],[1. Identifiant interne d’exploitation agricole*]]),"",IF(ISERROR(MATCH(GroupMember[[#This Row],[1. Identifiant interne d’exploitation agricole*]],FarmUnit[1. Identifiant interne d’exploitation agricole*],0)),FALSE,TRUE))</f>
        <v>1</v>
      </c>
      <c r="AF678" s="9" t="str">
        <f t="shared" si="30"/>
        <v>NAYAGA  ALASSANE</v>
      </c>
      <c r="AG678" s="243" t="str">
        <f t="shared" si="31"/>
        <v>24/8/2021</v>
      </c>
      <c r="AH678" s="51">
        <f>COUNTIFS(Z:Z,Z678,AG:AG,AG678)</f>
        <v>3</v>
      </c>
      <c r="AI678" s="49">
        <f t="shared" si="32"/>
        <v>0</v>
      </c>
    </row>
    <row r="679" spans="1:35" ht="15" x14ac:dyDescent="0.2">
      <c r="A679" s="193" t="s">
        <v>2538</v>
      </c>
      <c r="B679" s="146" t="s">
        <v>668</v>
      </c>
      <c r="C679" s="193" t="s">
        <v>2538</v>
      </c>
      <c r="D679" s="200" t="s">
        <v>669</v>
      </c>
      <c r="E679" s="146" t="s">
        <v>670</v>
      </c>
      <c r="F679" s="146" t="s">
        <v>671</v>
      </c>
      <c r="G679" s="146" t="s">
        <v>672</v>
      </c>
      <c r="H679" s="148">
        <v>6.79</v>
      </c>
      <c r="I679" s="146" t="s">
        <v>673</v>
      </c>
      <c r="J679" s="149">
        <v>1</v>
      </c>
      <c r="K679" s="150">
        <v>2021</v>
      </c>
      <c r="L679" s="199" t="s">
        <v>2539</v>
      </c>
      <c r="M679" s="199" t="s">
        <v>2540</v>
      </c>
      <c r="N679" s="172"/>
      <c r="O679" s="199" t="s">
        <v>2541</v>
      </c>
      <c r="P679" s="204" t="s">
        <v>676</v>
      </c>
      <c r="Q679" s="150">
        <v>1979</v>
      </c>
      <c r="R679" s="155">
        <v>6</v>
      </c>
      <c r="S679" s="168"/>
      <c r="T679" s="168"/>
      <c r="U679" s="146"/>
      <c r="V679" s="146"/>
      <c r="W679" s="146"/>
      <c r="X679" s="156">
        <v>0</v>
      </c>
      <c r="Y679" s="156">
        <v>0</v>
      </c>
      <c r="Z679" s="157" t="s">
        <v>2160</v>
      </c>
      <c r="AA679" s="158">
        <v>2021</v>
      </c>
      <c r="AB679" s="158">
        <v>7</v>
      </c>
      <c r="AC679" s="158">
        <v>17</v>
      </c>
      <c r="AD679" s="122" t="b">
        <f>IF(ISBLANK(GroupMember[[#This Row],[1. Identifiant interne d’exploitation agricole*]]),"",IF(ISERROR(MATCH(GroupMember[[#This Row],[1. Identifiant interne d’exploitation agricole*]],CertifiedCrop[1. Identifiant interne d’exploitation agricole*],0)),FALSE,TRUE))</f>
        <v>1</v>
      </c>
      <c r="AE679" s="122" t="b">
        <f>IF(ISBLANK(GroupMember[[#This Row],[1. Identifiant interne d’exploitation agricole*]]),"",IF(ISERROR(MATCH(GroupMember[[#This Row],[1. Identifiant interne d’exploitation agricole*]],FarmUnit[1. Identifiant interne d’exploitation agricole*],0)),FALSE,TRUE))</f>
        <v>1</v>
      </c>
      <c r="AF679" s="9" t="str">
        <f t="shared" si="30"/>
        <v>PEZINGO DESIRE</v>
      </c>
      <c r="AG679" s="243" t="str">
        <f t="shared" si="31"/>
        <v>17/7/2021</v>
      </c>
      <c r="AH679" s="51">
        <f>COUNTIFS(Z:Z,Z679,AG:AG,AG679)</f>
        <v>4</v>
      </c>
      <c r="AI679" s="49">
        <f t="shared" si="32"/>
        <v>0</v>
      </c>
    </row>
    <row r="680" spans="1:35" ht="15" x14ac:dyDescent="0.2">
      <c r="A680" s="193" t="s">
        <v>2542</v>
      </c>
      <c r="B680" s="146" t="s">
        <v>668</v>
      </c>
      <c r="C680" s="193" t="s">
        <v>2542</v>
      </c>
      <c r="D680" s="200" t="s">
        <v>669</v>
      </c>
      <c r="E680" s="146" t="s">
        <v>670</v>
      </c>
      <c r="F680" s="146" t="s">
        <v>671</v>
      </c>
      <c r="G680" s="146" t="s">
        <v>672</v>
      </c>
      <c r="H680" s="148">
        <v>11</v>
      </c>
      <c r="I680" s="146" t="s">
        <v>673</v>
      </c>
      <c r="J680" s="149">
        <v>1</v>
      </c>
      <c r="K680" s="150">
        <v>2021</v>
      </c>
      <c r="L680" s="199" t="s">
        <v>682</v>
      </c>
      <c r="M680" s="199" t="s">
        <v>2543</v>
      </c>
      <c r="N680" s="172"/>
      <c r="O680" s="199"/>
      <c r="P680" s="204" t="s">
        <v>676</v>
      </c>
      <c r="Q680" s="299"/>
      <c r="R680" s="155">
        <v>9</v>
      </c>
      <c r="S680" s="168"/>
      <c r="T680" s="168"/>
      <c r="U680" s="146"/>
      <c r="V680" s="146"/>
      <c r="W680" s="146"/>
      <c r="X680" s="156">
        <v>0</v>
      </c>
      <c r="Y680" s="156">
        <v>0</v>
      </c>
      <c r="Z680" s="157" t="s">
        <v>2160</v>
      </c>
      <c r="AA680" s="158">
        <v>2021</v>
      </c>
      <c r="AB680" s="158">
        <v>8</v>
      </c>
      <c r="AC680" s="158">
        <v>27</v>
      </c>
      <c r="AD680" s="122" t="b">
        <f>IF(ISBLANK(GroupMember[[#This Row],[1. Identifiant interne d’exploitation agricole*]]),"",IF(ISERROR(MATCH(GroupMember[[#This Row],[1. Identifiant interne d’exploitation agricole*]],CertifiedCrop[1. Identifiant interne d’exploitation agricole*],0)),FALSE,TRUE))</f>
        <v>1</v>
      </c>
      <c r="AE680" s="122" t="b">
        <f>IF(ISBLANK(GroupMember[[#This Row],[1. Identifiant interne d’exploitation agricole*]]),"",IF(ISERROR(MATCH(GroupMember[[#This Row],[1. Identifiant interne d’exploitation agricole*]],FarmUnit[1. Identifiant interne d’exploitation agricole*],0)),FALSE,TRUE))</f>
        <v>1</v>
      </c>
      <c r="AF680" s="9" t="str">
        <f t="shared" si="30"/>
        <v>SANGARE  CHEICKMAN</v>
      </c>
      <c r="AG680" s="243" t="str">
        <f t="shared" si="31"/>
        <v>27/8/2021</v>
      </c>
      <c r="AH680" s="51">
        <f>COUNTIFS(Z:Z,Z680,AG:AG,AG680)</f>
        <v>4</v>
      </c>
      <c r="AI680" s="49">
        <f t="shared" si="32"/>
        <v>0</v>
      </c>
    </row>
    <row r="681" spans="1:35" ht="15" x14ac:dyDescent="0.2">
      <c r="A681" s="193" t="s">
        <v>2544</v>
      </c>
      <c r="B681" s="146" t="s">
        <v>668</v>
      </c>
      <c r="C681" s="193" t="s">
        <v>2544</v>
      </c>
      <c r="D681" s="200" t="s">
        <v>669</v>
      </c>
      <c r="E681" s="146" t="s">
        <v>670</v>
      </c>
      <c r="F681" s="146" t="s">
        <v>671</v>
      </c>
      <c r="G681" s="146" t="s">
        <v>672</v>
      </c>
      <c r="H681" s="148">
        <v>5</v>
      </c>
      <c r="I681" s="146" t="s">
        <v>673</v>
      </c>
      <c r="J681" s="149">
        <v>1</v>
      </c>
      <c r="K681" s="150">
        <v>2021</v>
      </c>
      <c r="L681" s="199" t="s">
        <v>2302</v>
      </c>
      <c r="M681" s="199" t="s">
        <v>2545</v>
      </c>
      <c r="N681" s="172"/>
      <c r="O681" s="199"/>
      <c r="P681" s="204" t="s">
        <v>676</v>
      </c>
      <c r="Q681" s="150"/>
      <c r="R681" s="155">
        <v>5</v>
      </c>
      <c r="S681" s="168"/>
      <c r="T681" s="168"/>
      <c r="U681" s="146"/>
      <c r="V681" s="146"/>
      <c r="W681" s="146"/>
      <c r="X681" s="156">
        <v>0</v>
      </c>
      <c r="Y681" s="156">
        <v>0</v>
      </c>
      <c r="Z681" s="157" t="s">
        <v>2160</v>
      </c>
      <c r="AA681" s="158">
        <v>2021</v>
      </c>
      <c r="AB681" s="158">
        <v>8</v>
      </c>
      <c r="AC681" s="158">
        <v>26</v>
      </c>
      <c r="AD681" s="122" t="b">
        <f>IF(ISBLANK(GroupMember[[#This Row],[1. Identifiant interne d’exploitation agricole*]]),"",IF(ISERROR(MATCH(GroupMember[[#This Row],[1. Identifiant interne d’exploitation agricole*]],CertifiedCrop[1. Identifiant interne d’exploitation agricole*],0)),FALSE,TRUE))</f>
        <v>1</v>
      </c>
      <c r="AE681" s="122" t="b">
        <f>IF(ISBLANK(GroupMember[[#This Row],[1. Identifiant interne d’exploitation agricole*]]),"",IF(ISERROR(MATCH(GroupMember[[#This Row],[1. Identifiant interne d’exploitation agricole*]],FarmUnit[1. Identifiant interne d’exploitation agricole*],0)),FALSE,TRUE))</f>
        <v>1</v>
      </c>
      <c r="AF681" s="9" t="str">
        <f t="shared" si="30"/>
        <v>DAH PERPITE</v>
      </c>
      <c r="AG681" s="243" t="str">
        <f t="shared" si="31"/>
        <v>26/8/2021</v>
      </c>
      <c r="AH681" s="51">
        <f>COUNTIFS(Z:Z,Z681,AG:AG,AG681)</f>
        <v>3</v>
      </c>
      <c r="AI681" s="49">
        <f t="shared" si="32"/>
        <v>0</v>
      </c>
    </row>
    <row r="682" spans="1:35" ht="15" x14ac:dyDescent="0.2">
      <c r="A682" s="193" t="s">
        <v>2546</v>
      </c>
      <c r="B682" s="146" t="s">
        <v>668</v>
      </c>
      <c r="C682" s="193" t="s">
        <v>2546</v>
      </c>
      <c r="D682" s="200" t="s">
        <v>669</v>
      </c>
      <c r="E682" s="146" t="s">
        <v>670</v>
      </c>
      <c r="F682" s="146" t="s">
        <v>671</v>
      </c>
      <c r="G682" s="146" t="s">
        <v>672</v>
      </c>
      <c r="H682" s="148">
        <v>4</v>
      </c>
      <c r="I682" s="146" t="s">
        <v>673</v>
      </c>
      <c r="J682" s="149">
        <v>1</v>
      </c>
      <c r="K682" s="150">
        <v>2021</v>
      </c>
      <c r="L682" s="199" t="s">
        <v>2547</v>
      </c>
      <c r="M682" s="199" t="s">
        <v>2548</v>
      </c>
      <c r="N682" s="172"/>
      <c r="O682" s="209"/>
      <c r="P682" s="204" t="s">
        <v>676</v>
      </c>
      <c r="Q682" s="150"/>
      <c r="R682" s="155">
        <v>5</v>
      </c>
      <c r="S682" s="168"/>
      <c r="T682" s="168"/>
      <c r="U682" s="146"/>
      <c r="V682" s="146"/>
      <c r="W682" s="146"/>
      <c r="X682" s="156">
        <v>0</v>
      </c>
      <c r="Y682" s="156">
        <v>0</v>
      </c>
      <c r="Z682" s="157" t="s">
        <v>2160</v>
      </c>
      <c r="AA682" s="158">
        <v>2021</v>
      </c>
      <c r="AB682" s="158">
        <v>8</v>
      </c>
      <c r="AC682" s="158">
        <v>24</v>
      </c>
      <c r="AD682" s="122" t="b">
        <f>IF(ISBLANK(GroupMember[[#This Row],[1. Identifiant interne d’exploitation agricole*]]),"",IF(ISERROR(MATCH(GroupMember[[#This Row],[1. Identifiant interne d’exploitation agricole*]],CertifiedCrop[1. Identifiant interne d’exploitation agricole*],0)),FALSE,TRUE))</f>
        <v>1</v>
      </c>
      <c r="AE682" s="122" t="b">
        <f>IF(ISBLANK(GroupMember[[#This Row],[1. Identifiant interne d’exploitation agricole*]]),"",IF(ISERROR(MATCH(GroupMember[[#This Row],[1. Identifiant interne d’exploitation agricole*]],FarmUnit[1. Identifiant interne d’exploitation agricole*],0)),FALSE,TRUE))</f>
        <v>1</v>
      </c>
      <c r="AF682" s="9" t="str">
        <f t="shared" si="30"/>
        <v>KAH  TROH ARSENE</v>
      </c>
      <c r="AG682" s="243" t="str">
        <f t="shared" si="31"/>
        <v>24/8/2021</v>
      </c>
      <c r="AH682" s="51">
        <f>COUNTIFS(Z:Z,Z682,AG:AG,AG682)</f>
        <v>3</v>
      </c>
      <c r="AI682" s="49">
        <f t="shared" si="32"/>
        <v>0</v>
      </c>
    </row>
    <row r="683" spans="1:35" ht="15" x14ac:dyDescent="0.2">
      <c r="A683" s="193" t="s">
        <v>2549</v>
      </c>
      <c r="B683" s="146" t="s">
        <v>668</v>
      </c>
      <c r="C683" s="193" t="s">
        <v>2549</v>
      </c>
      <c r="D683" s="200" t="s">
        <v>669</v>
      </c>
      <c r="E683" s="146" t="s">
        <v>670</v>
      </c>
      <c r="F683" s="146" t="s">
        <v>671</v>
      </c>
      <c r="G683" s="146" t="s">
        <v>672</v>
      </c>
      <c r="H683" s="148">
        <v>3.5</v>
      </c>
      <c r="I683" s="146" t="s">
        <v>673</v>
      </c>
      <c r="J683" s="149">
        <v>1</v>
      </c>
      <c r="K683" s="150">
        <v>2021</v>
      </c>
      <c r="L683" s="199" t="s">
        <v>2550</v>
      </c>
      <c r="M683" s="199" t="s">
        <v>1340</v>
      </c>
      <c r="N683" s="172"/>
      <c r="O683" s="199"/>
      <c r="P683" s="204" t="s">
        <v>676</v>
      </c>
      <c r="Q683" s="150"/>
      <c r="R683" s="155">
        <v>4</v>
      </c>
      <c r="S683" s="168"/>
      <c r="T683" s="168"/>
      <c r="U683" s="146"/>
      <c r="V683" s="146"/>
      <c r="W683" s="146"/>
      <c r="X683" s="156">
        <v>0</v>
      </c>
      <c r="Y683" s="156">
        <v>0</v>
      </c>
      <c r="Z683" s="157" t="s">
        <v>2160</v>
      </c>
      <c r="AA683" s="158">
        <v>2021</v>
      </c>
      <c r="AB683" s="158">
        <v>7</v>
      </c>
      <c r="AC683" s="158">
        <v>19</v>
      </c>
      <c r="AD683" s="122" t="b">
        <f>IF(ISBLANK(GroupMember[[#This Row],[1. Identifiant interne d’exploitation agricole*]]),"",IF(ISERROR(MATCH(GroupMember[[#This Row],[1. Identifiant interne d’exploitation agricole*]],CertifiedCrop[1. Identifiant interne d’exploitation agricole*],0)),FALSE,TRUE))</f>
        <v>1</v>
      </c>
      <c r="AE683" s="122" t="b">
        <f>IF(ISBLANK(GroupMember[[#This Row],[1. Identifiant interne d’exploitation agricole*]]),"",IF(ISERROR(MATCH(GroupMember[[#This Row],[1. Identifiant interne d’exploitation agricole*]],FarmUnit[1. Identifiant interne d’exploitation agricole*],0)),FALSE,TRUE))</f>
        <v>1</v>
      </c>
      <c r="AF683" s="9" t="str">
        <f t="shared" si="30"/>
        <v>BARRY  HAROUNA</v>
      </c>
      <c r="AG683" s="243" t="str">
        <f t="shared" si="31"/>
        <v>19/7/2021</v>
      </c>
      <c r="AH683" s="51">
        <f>COUNTIFS(Z:Z,Z683,AG:AG,AG683)</f>
        <v>4</v>
      </c>
      <c r="AI683" s="49">
        <f t="shared" si="32"/>
        <v>0</v>
      </c>
    </row>
    <row r="684" spans="1:35" ht="15" x14ac:dyDescent="0.2">
      <c r="A684" s="193" t="s">
        <v>2551</v>
      </c>
      <c r="B684" s="146" t="s">
        <v>668</v>
      </c>
      <c r="C684" s="193" t="s">
        <v>2551</v>
      </c>
      <c r="D684" s="200" t="s">
        <v>669</v>
      </c>
      <c r="E684" s="146" t="s">
        <v>670</v>
      </c>
      <c r="F684" s="146" t="s">
        <v>671</v>
      </c>
      <c r="G684" s="146" t="s">
        <v>672</v>
      </c>
      <c r="H684" s="148">
        <v>2.63</v>
      </c>
      <c r="I684" s="146" t="s">
        <v>673</v>
      </c>
      <c r="J684" s="149">
        <v>1</v>
      </c>
      <c r="K684" s="150">
        <v>2021</v>
      </c>
      <c r="L684" s="199" t="s">
        <v>948</v>
      </c>
      <c r="M684" s="199" t="s">
        <v>2552</v>
      </c>
      <c r="N684" s="172"/>
      <c r="O684" s="199"/>
      <c r="P684" s="204" t="s">
        <v>676</v>
      </c>
      <c r="Q684" s="150"/>
      <c r="R684" s="155">
        <v>4</v>
      </c>
      <c r="S684" s="168"/>
      <c r="T684" s="168"/>
      <c r="U684" s="146"/>
      <c r="V684" s="146"/>
      <c r="W684" s="146"/>
      <c r="X684" s="156">
        <v>0</v>
      </c>
      <c r="Y684" s="156">
        <v>0</v>
      </c>
      <c r="Z684" s="157" t="s">
        <v>2160</v>
      </c>
      <c r="AA684" s="158">
        <v>2021</v>
      </c>
      <c r="AB684" s="158">
        <v>7</v>
      </c>
      <c r="AC684" s="158">
        <v>9</v>
      </c>
      <c r="AD684" s="122" t="b">
        <f>IF(ISBLANK(GroupMember[[#This Row],[1. Identifiant interne d’exploitation agricole*]]),"",IF(ISERROR(MATCH(GroupMember[[#This Row],[1. Identifiant interne d’exploitation agricole*]],CertifiedCrop[1. Identifiant interne d’exploitation agricole*],0)),FALSE,TRUE))</f>
        <v>1</v>
      </c>
      <c r="AE684" s="122" t="b">
        <f>IF(ISBLANK(GroupMember[[#This Row],[1. Identifiant interne d’exploitation agricole*]]),"",IF(ISERROR(MATCH(GroupMember[[#This Row],[1. Identifiant interne d’exploitation agricole*]],FarmUnit[1. Identifiant interne d’exploitation agricole*],0)),FALSE,TRUE))</f>
        <v>1</v>
      </c>
      <c r="AF684" s="9" t="str">
        <f t="shared" si="30"/>
        <v>SAWADOGO  SAMUEL</v>
      </c>
      <c r="AG684" s="243" t="str">
        <f t="shared" si="31"/>
        <v>9/7/2021</v>
      </c>
      <c r="AH684" s="51">
        <f>COUNTIFS(Z:Z,Z684,AG:AG,AG684)</f>
        <v>4</v>
      </c>
      <c r="AI684" s="49">
        <f t="shared" si="32"/>
        <v>0</v>
      </c>
    </row>
    <row r="685" spans="1:35" ht="15" x14ac:dyDescent="0.2">
      <c r="A685" s="193" t="s">
        <v>2553</v>
      </c>
      <c r="B685" s="146" t="s">
        <v>668</v>
      </c>
      <c r="C685" s="193" t="s">
        <v>2553</v>
      </c>
      <c r="D685" s="200" t="s">
        <v>669</v>
      </c>
      <c r="E685" s="146" t="s">
        <v>670</v>
      </c>
      <c r="F685" s="146" t="s">
        <v>671</v>
      </c>
      <c r="G685" s="146" t="s">
        <v>672</v>
      </c>
      <c r="H685" s="148">
        <v>2.11</v>
      </c>
      <c r="I685" s="146" t="s">
        <v>673</v>
      </c>
      <c r="J685" s="149">
        <v>1</v>
      </c>
      <c r="K685" s="150">
        <v>2021</v>
      </c>
      <c r="L685" s="199" t="s">
        <v>948</v>
      </c>
      <c r="M685" s="199" t="s">
        <v>1064</v>
      </c>
      <c r="N685" s="172"/>
      <c r="O685" s="199"/>
      <c r="P685" s="204" t="s">
        <v>676</v>
      </c>
      <c r="Q685" s="150"/>
      <c r="R685" s="155">
        <v>5</v>
      </c>
      <c r="S685" s="168"/>
      <c r="T685" s="168"/>
      <c r="U685" s="146"/>
      <c r="V685" s="146"/>
      <c r="W685" s="146"/>
      <c r="X685" s="156">
        <v>0</v>
      </c>
      <c r="Y685" s="156">
        <v>0</v>
      </c>
      <c r="Z685" s="157" t="s">
        <v>2160</v>
      </c>
      <c r="AA685" s="158">
        <v>2021</v>
      </c>
      <c r="AB685" s="158">
        <v>7</v>
      </c>
      <c r="AC685" s="158">
        <v>19</v>
      </c>
      <c r="AD685" s="122" t="b">
        <f>IF(ISBLANK(GroupMember[[#This Row],[1. Identifiant interne d’exploitation agricole*]]),"",IF(ISERROR(MATCH(GroupMember[[#This Row],[1. Identifiant interne d’exploitation agricole*]],CertifiedCrop[1. Identifiant interne d’exploitation agricole*],0)),FALSE,TRUE))</f>
        <v>1</v>
      </c>
      <c r="AE685" s="122" t="b">
        <f>IF(ISBLANK(GroupMember[[#This Row],[1. Identifiant interne d’exploitation agricole*]]),"",IF(ISERROR(MATCH(GroupMember[[#This Row],[1. Identifiant interne d’exploitation agricole*]],FarmUnit[1. Identifiant interne d’exploitation agricole*],0)),FALSE,TRUE))</f>
        <v>1</v>
      </c>
      <c r="AF685" s="9" t="str">
        <f t="shared" si="30"/>
        <v>SAWADOGO  PASCAL</v>
      </c>
      <c r="AG685" s="243" t="str">
        <f t="shared" si="31"/>
        <v>19/7/2021</v>
      </c>
      <c r="AH685" s="51">
        <f>COUNTIFS(Z:Z,Z685,AG:AG,AG685)</f>
        <v>4</v>
      </c>
      <c r="AI685" s="49">
        <f t="shared" si="32"/>
        <v>0</v>
      </c>
    </row>
    <row r="686" spans="1:35" ht="15" x14ac:dyDescent="0.2">
      <c r="A686" s="193" t="s">
        <v>2554</v>
      </c>
      <c r="B686" s="146" t="s">
        <v>668</v>
      </c>
      <c r="C686" s="193" t="s">
        <v>2554</v>
      </c>
      <c r="D686" s="200" t="s">
        <v>669</v>
      </c>
      <c r="E686" s="146" t="s">
        <v>670</v>
      </c>
      <c r="F686" s="146" t="s">
        <v>671</v>
      </c>
      <c r="G686" s="146" t="s">
        <v>672</v>
      </c>
      <c r="H686" s="148">
        <v>2</v>
      </c>
      <c r="I686" s="146" t="s">
        <v>673</v>
      </c>
      <c r="J686" s="149">
        <v>1</v>
      </c>
      <c r="K686" s="150">
        <v>2021</v>
      </c>
      <c r="L686" s="210" t="s">
        <v>2555</v>
      </c>
      <c r="M686" s="211" t="s">
        <v>1474</v>
      </c>
      <c r="N686" s="212"/>
      <c r="O686" s="211"/>
      <c r="P686" s="208" t="s">
        <v>676</v>
      </c>
      <c r="Q686" s="278"/>
      <c r="R686" s="155">
        <v>8</v>
      </c>
      <c r="S686" s="168"/>
      <c r="T686" s="168"/>
      <c r="U686" s="146"/>
      <c r="V686" s="146"/>
      <c r="W686" s="146"/>
      <c r="X686" s="156">
        <v>0</v>
      </c>
      <c r="Y686" s="156">
        <v>0</v>
      </c>
      <c r="Z686" s="157" t="s">
        <v>2160</v>
      </c>
      <c r="AA686" s="158">
        <v>2021</v>
      </c>
      <c r="AB686" s="158">
        <v>7</v>
      </c>
      <c r="AC686" s="158">
        <v>17</v>
      </c>
      <c r="AD686" s="122" t="b">
        <f>IF(ISBLANK(GroupMember[[#This Row],[1. Identifiant interne d’exploitation agricole*]]),"",IF(ISERROR(MATCH(GroupMember[[#This Row],[1. Identifiant interne d’exploitation agricole*]],CertifiedCrop[1. Identifiant interne d’exploitation agricole*],0)),FALSE,TRUE))</f>
        <v>1</v>
      </c>
      <c r="AE686" s="122" t="b">
        <f>IF(ISBLANK(GroupMember[[#This Row],[1. Identifiant interne d’exploitation agricole*]]),"",IF(ISERROR(MATCH(GroupMember[[#This Row],[1. Identifiant interne d’exploitation agricole*]],FarmUnit[1. Identifiant interne d’exploitation agricole*],0)),FALSE,TRUE))</f>
        <v>1</v>
      </c>
      <c r="AF686" s="9" t="str">
        <f t="shared" si="30"/>
        <v>SANHMA BERNARD</v>
      </c>
      <c r="AG686" s="243" t="str">
        <f t="shared" si="31"/>
        <v>17/7/2021</v>
      </c>
      <c r="AH686" s="51">
        <f>COUNTIFS(Z:Z,Z686,AG:AG,AG686)</f>
        <v>4</v>
      </c>
      <c r="AI686" s="49">
        <f t="shared" si="32"/>
        <v>0</v>
      </c>
    </row>
    <row r="687" spans="1:35" ht="15" x14ac:dyDescent="0.2">
      <c r="A687" s="193" t="s">
        <v>2556</v>
      </c>
      <c r="B687" s="146" t="s">
        <v>668</v>
      </c>
      <c r="C687" s="193" t="s">
        <v>2556</v>
      </c>
      <c r="D687" s="200" t="s">
        <v>669</v>
      </c>
      <c r="E687" s="146" t="s">
        <v>670</v>
      </c>
      <c r="F687" s="146" t="s">
        <v>671</v>
      </c>
      <c r="G687" s="146" t="s">
        <v>672</v>
      </c>
      <c r="H687" s="148">
        <v>4</v>
      </c>
      <c r="I687" s="146" t="s">
        <v>673</v>
      </c>
      <c r="J687" s="149">
        <v>2</v>
      </c>
      <c r="K687" s="150">
        <v>2021</v>
      </c>
      <c r="L687" s="210" t="s">
        <v>2557</v>
      </c>
      <c r="M687" s="211" t="s">
        <v>2558</v>
      </c>
      <c r="N687" s="212"/>
      <c r="O687" s="211"/>
      <c r="P687" s="208" t="s">
        <v>676</v>
      </c>
      <c r="Q687" s="150"/>
      <c r="R687" s="155">
        <v>6</v>
      </c>
      <c r="S687" s="168"/>
      <c r="T687" s="168"/>
      <c r="U687" s="146"/>
      <c r="V687" s="146"/>
      <c r="W687" s="146"/>
      <c r="X687" s="156">
        <v>0</v>
      </c>
      <c r="Y687" s="156">
        <v>0</v>
      </c>
      <c r="Z687" s="157" t="s">
        <v>2160</v>
      </c>
      <c r="AA687" s="174">
        <v>2021</v>
      </c>
      <c r="AB687" s="174">
        <v>7</v>
      </c>
      <c r="AC687" s="174">
        <v>26</v>
      </c>
      <c r="AD687" s="122" t="b">
        <f>IF(ISBLANK(GroupMember[[#This Row],[1. Identifiant interne d’exploitation agricole*]]),"",IF(ISERROR(MATCH(GroupMember[[#This Row],[1. Identifiant interne d’exploitation agricole*]],CertifiedCrop[1. Identifiant interne d’exploitation agricole*],0)),FALSE,TRUE))</f>
        <v>1</v>
      </c>
      <c r="AE687" s="122" t="b">
        <f>IF(ISBLANK(GroupMember[[#This Row],[1. Identifiant interne d’exploitation agricole*]]),"",IF(ISERROR(MATCH(GroupMember[[#This Row],[1. Identifiant interne d’exploitation agricole*]],FarmUnit[1. Identifiant interne d’exploitation agricole*],0)),FALSE,TRUE))</f>
        <v>1</v>
      </c>
      <c r="AF687" s="9" t="str">
        <f t="shared" si="30"/>
        <v>SARMAN ALBERT</v>
      </c>
      <c r="AG687" s="243" t="str">
        <f t="shared" si="31"/>
        <v>26/7/2021</v>
      </c>
      <c r="AH687" s="51">
        <f>COUNTIFS(Z:Z,Z687,AG:AG,AG687)</f>
        <v>4</v>
      </c>
      <c r="AI687" s="49">
        <f t="shared" si="32"/>
        <v>0</v>
      </c>
    </row>
    <row r="688" spans="1:35" ht="15" x14ac:dyDescent="0.2">
      <c r="A688" s="193" t="s">
        <v>2559</v>
      </c>
      <c r="B688" s="146" t="s">
        <v>668</v>
      </c>
      <c r="C688" s="193" t="s">
        <v>2559</v>
      </c>
      <c r="D688" s="211" t="s">
        <v>2349</v>
      </c>
      <c r="E688" s="146" t="s">
        <v>670</v>
      </c>
      <c r="F688" s="146" t="s">
        <v>671</v>
      </c>
      <c r="G688" s="146" t="s">
        <v>672</v>
      </c>
      <c r="H688" s="148">
        <v>3.31</v>
      </c>
      <c r="I688" s="146" t="s">
        <v>673</v>
      </c>
      <c r="J688" s="149">
        <v>1</v>
      </c>
      <c r="K688" s="150">
        <v>2021</v>
      </c>
      <c r="L688" s="210" t="s">
        <v>2560</v>
      </c>
      <c r="M688" s="211" t="s">
        <v>2561</v>
      </c>
      <c r="N688" s="212"/>
      <c r="O688" s="211"/>
      <c r="P688" s="208" t="s">
        <v>676</v>
      </c>
      <c r="Q688" s="150"/>
      <c r="R688" s="155">
        <v>9</v>
      </c>
      <c r="S688" s="168"/>
      <c r="T688" s="168"/>
      <c r="U688" s="146"/>
      <c r="V688" s="146"/>
      <c r="W688" s="146"/>
      <c r="X688" s="156">
        <v>0</v>
      </c>
      <c r="Y688" s="156">
        <v>0</v>
      </c>
      <c r="Z688" s="157" t="s">
        <v>2160</v>
      </c>
      <c r="AA688" s="174">
        <v>2021</v>
      </c>
      <c r="AB688" s="175">
        <v>9</v>
      </c>
      <c r="AC688" s="175">
        <v>8</v>
      </c>
      <c r="AD688" s="122" t="b">
        <f>IF(ISBLANK(GroupMember[[#This Row],[1. Identifiant interne d’exploitation agricole*]]),"",IF(ISERROR(MATCH(GroupMember[[#This Row],[1. Identifiant interne d’exploitation agricole*]],CertifiedCrop[1. Identifiant interne d’exploitation agricole*],0)),FALSE,TRUE))</f>
        <v>1</v>
      </c>
      <c r="AE688" s="122" t="b">
        <f>IF(ISBLANK(GroupMember[[#This Row],[1. Identifiant interne d’exploitation agricole*]]),"",IF(ISERROR(MATCH(GroupMember[[#This Row],[1. Identifiant interne d’exploitation agricole*]],FarmUnit[1. Identifiant interne d’exploitation agricole*],0)),FALSE,TRUE))</f>
        <v>1</v>
      </c>
      <c r="AF688" s="9" t="str">
        <f t="shared" si="30"/>
        <v>WEHI ZEKAGON ANTOINE</v>
      </c>
      <c r="AG688" s="243" t="str">
        <f t="shared" si="31"/>
        <v>8/9/2021</v>
      </c>
      <c r="AH688" s="51">
        <f>COUNTIFS(Z:Z,Z688,AG:AG,AG688)</f>
        <v>5</v>
      </c>
      <c r="AI688" s="49">
        <f t="shared" si="32"/>
        <v>0</v>
      </c>
    </row>
    <row r="689" spans="1:35" ht="15" x14ac:dyDescent="0.2">
      <c r="A689" s="193" t="s">
        <v>2562</v>
      </c>
      <c r="B689" s="146" t="s">
        <v>668</v>
      </c>
      <c r="C689" s="193" t="s">
        <v>2562</v>
      </c>
      <c r="D689" s="211" t="s">
        <v>2349</v>
      </c>
      <c r="E689" s="146" t="s">
        <v>670</v>
      </c>
      <c r="F689" s="146" t="s">
        <v>671</v>
      </c>
      <c r="G689" s="146" t="s">
        <v>672</v>
      </c>
      <c r="H689" s="148">
        <v>4.91</v>
      </c>
      <c r="I689" s="146" t="s">
        <v>673</v>
      </c>
      <c r="J689" s="149">
        <v>1</v>
      </c>
      <c r="K689" s="150">
        <v>2021</v>
      </c>
      <c r="L689" s="210" t="s">
        <v>765</v>
      </c>
      <c r="M689" s="211" t="s">
        <v>2563</v>
      </c>
      <c r="N689" s="212"/>
      <c r="O689" s="217" t="s">
        <v>3324</v>
      </c>
      <c r="P689" s="208" t="s">
        <v>676</v>
      </c>
      <c r="Q689" s="217">
        <v>1984</v>
      </c>
      <c r="R689" s="155">
        <v>5</v>
      </c>
      <c r="S689" s="168"/>
      <c r="T689" s="168"/>
      <c r="U689" s="146"/>
      <c r="V689" s="146"/>
      <c r="W689" s="146"/>
      <c r="X689" s="156">
        <v>0</v>
      </c>
      <c r="Y689" s="156">
        <v>0</v>
      </c>
      <c r="Z689" s="157" t="s">
        <v>2160</v>
      </c>
      <c r="AA689" s="174">
        <v>2021</v>
      </c>
      <c r="AB689" s="175">
        <v>9</v>
      </c>
      <c r="AC689" s="175">
        <v>18</v>
      </c>
      <c r="AD689" s="122" t="b">
        <f>IF(ISBLANK(GroupMember[[#This Row],[1. Identifiant interne d’exploitation agricole*]]),"",IF(ISERROR(MATCH(GroupMember[[#This Row],[1. Identifiant interne d’exploitation agricole*]],CertifiedCrop[1. Identifiant interne d’exploitation agricole*],0)),FALSE,TRUE))</f>
        <v>1</v>
      </c>
      <c r="AE689" s="122" t="b">
        <f>IF(ISBLANK(GroupMember[[#This Row],[1. Identifiant interne d’exploitation agricole*]]),"",IF(ISERROR(MATCH(GroupMember[[#This Row],[1. Identifiant interne d’exploitation agricole*]],FarmUnit[1. Identifiant interne d’exploitation agricole*],0)),FALSE,TRUE))</f>
        <v>1</v>
      </c>
      <c r="AF689" s="9" t="str">
        <f t="shared" si="30"/>
        <v>KONE AYOUBA</v>
      </c>
      <c r="AG689" s="243" t="str">
        <f t="shared" si="31"/>
        <v>18/9/2021</v>
      </c>
      <c r="AH689" s="51">
        <f>COUNTIFS(Z:Z,Z689,AG:AG,AG689)</f>
        <v>4</v>
      </c>
      <c r="AI689" s="49">
        <f t="shared" si="32"/>
        <v>0</v>
      </c>
    </row>
    <row r="690" spans="1:35" ht="15" x14ac:dyDescent="0.2">
      <c r="A690" s="193" t="s">
        <v>2564</v>
      </c>
      <c r="B690" s="146" t="s">
        <v>668</v>
      </c>
      <c r="C690" s="193" t="s">
        <v>2564</v>
      </c>
      <c r="D690" s="211" t="s">
        <v>2349</v>
      </c>
      <c r="E690" s="146" t="s">
        <v>670</v>
      </c>
      <c r="F690" s="146" t="s">
        <v>671</v>
      </c>
      <c r="G690" s="146" t="s">
        <v>672</v>
      </c>
      <c r="H690" s="148">
        <v>1.38</v>
      </c>
      <c r="I690" s="146" t="s">
        <v>673</v>
      </c>
      <c r="J690" s="149">
        <v>1</v>
      </c>
      <c r="K690" s="150">
        <v>2021</v>
      </c>
      <c r="L690" s="210" t="s">
        <v>1193</v>
      </c>
      <c r="M690" s="211" t="s">
        <v>2565</v>
      </c>
      <c r="N690" s="212"/>
      <c r="O690" s="110" t="s">
        <v>3325</v>
      </c>
      <c r="P690" s="208" t="s">
        <v>751</v>
      </c>
      <c r="Q690" s="217">
        <v>1976</v>
      </c>
      <c r="R690" s="155">
        <v>7</v>
      </c>
      <c r="S690" s="168"/>
      <c r="T690" s="168"/>
      <c r="U690" s="146"/>
      <c r="V690" s="146"/>
      <c r="W690" s="146"/>
      <c r="X690" s="156">
        <v>0</v>
      </c>
      <c r="Y690" s="156">
        <v>0</v>
      </c>
      <c r="Z690" s="157" t="s">
        <v>2160</v>
      </c>
      <c r="AA690" s="174">
        <v>2021</v>
      </c>
      <c r="AB690" s="175">
        <v>9</v>
      </c>
      <c r="AC690" s="175">
        <v>3</v>
      </c>
      <c r="AD690" s="122" t="b">
        <f>IF(ISBLANK(GroupMember[[#This Row],[1. Identifiant interne d’exploitation agricole*]]),"",IF(ISERROR(MATCH(GroupMember[[#This Row],[1. Identifiant interne d’exploitation agricole*]],CertifiedCrop[1. Identifiant interne d’exploitation agricole*],0)),FALSE,TRUE))</f>
        <v>1</v>
      </c>
      <c r="AE690" s="122" t="b">
        <f>IF(ISBLANK(GroupMember[[#This Row],[1. Identifiant interne d’exploitation agricole*]]),"",IF(ISERROR(MATCH(GroupMember[[#This Row],[1. Identifiant interne d’exploitation agricole*]],FarmUnit[1. Identifiant interne d’exploitation agricole*],0)),FALSE,TRUE))</f>
        <v>1</v>
      </c>
      <c r="AF690" s="9" t="str">
        <f t="shared" si="30"/>
        <v>DIOMANDE SITA</v>
      </c>
      <c r="AG690" s="243" t="str">
        <f t="shared" si="31"/>
        <v>3/9/2021</v>
      </c>
      <c r="AH690" s="51">
        <f>COUNTIFS(Z:Z,Z690,AG:AG,AG690)</f>
        <v>5</v>
      </c>
      <c r="AI690" s="49">
        <f t="shared" si="32"/>
        <v>0</v>
      </c>
    </row>
    <row r="691" spans="1:35" ht="15" x14ac:dyDescent="0.2">
      <c r="A691" s="193" t="s">
        <v>2566</v>
      </c>
      <c r="B691" s="146" t="s">
        <v>668</v>
      </c>
      <c r="C691" s="193" t="s">
        <v>2566</v>
      </c>
      <c r="D691" s="211" t="s">
        <v>2349</v>
      </c>
      <c r="E691" s="146" t="s">
        <v>670</v>
      </c>
      <c r="F691" s="146" t="s">
        <v>671</v>
      </c>
      <c r="G691" s="146" t="s">
        <v>672</v>
      </c>
      <c r="H691" s="148">
        <v>2.4500000000000002</v>
      </c>
      <c r="I691" s="146" t="s">
        <v>673</v>
      </c>
      <c r="J691" s="149">
        <v>1</v>
      </c>
      <c r="K691" s="150">
        <v>2021</v>
      </c>
      <c r="L691" s="210" t="s">
        <v>701</v>
      </c>
      <c r="M691" s="211" t="s">
        <v>2567</v>
      </c>
      <c r="N691" s="212" t="s">
        <v>2568</v>
      </c>
      <c r="O691" s="282" t="s">
        <v>3326</v>
      </c>
      <c r="P691" s="208" t="s">
        <v>676</v>
      </c>
      <c r="Q691" s="217">
        <v>1982</v>
      </c>
      <c r="R691" s="155">
        <v>8</v>
      </c>
      <c r="S691" s="168"/>
      <c r="T691" s="168"/>
      <c r="U691" s="146"/>
      <c r="V691" s="146"/>
      <c r="W691" s="146"/>
      <c r="X691" s="156">
        <v>0</v>
      </c>
      <c r="Y691" s="156">
        <v>0</v>
      </c>
      <c r="Z691" s="157" t="s">
        <v>2160</v>
      </c>
      <c r="AA691" s="174">
        <v>2021</v>
      </c>
      <c r="AB691" s="175">
        <v>9</v>
      </c>
      <c r="AC691" s="175">
        <v>18</v>
      </c>
      <c r="AD691" s="122" t="b">
        <f>IF(ISBLANK(GroupMember[[#This Row],[1. Identifiant interne d’exploitation agricole*]]),"",IF(ISERROR(MATCH(GroupMember[[#This Row],[1. Identifiant interne d’exploitation agricole*]],CertifiedCrop[1. Identifiant interne d’exploitation agricole*],0)),FALSE,TRUE))</f>
        <v>1</v>
      </c>
      <c r="AE691" s="122" t="b">
        <f>IF(ISBLANK(GroupMember[[#This Row],[1. Identifiant interne d’exploitation agricole*]]),"",IF(ISERROR(MATCH(GroupMember[[#This Row],[1. Identifiant interne d’exploitation agricole*]],FarmUnit[1. Identifiant interne d’exploitation agricole*],0)),FALSE,TRUE))</f>
        <v>1</v>
      </c>
      <c r="AF691" s="9" t="str">
        <f t="shared" ref="AF691:AF754" si="33">IFERROR(CONCATENATE(L691," ",M691),"")</f>
        <v>OUATTARA LASSINA</v>
      </c>
      <c r="AG691" s="243" t="str">
        <f t="shared" ref="AG691:AG754" si="34">CONCATENATE(AC691,"/",AB691,"/",AA691)</f>
        <v>18/9/2021</v>
      </c>
      <c r="AH691" s="51">
        <f>COUNTIFS(Z:Z,Z691,AG:AG,AG691)</f>
        <v>4</v>
      </c>
      <c r="AI691" s="49">
        <f t="shared" ref="AI691:AI754" si="35">IF((X691+Y691/12)&lt;0,"",(X691+Y691/12))</f>
        <v>0</v>
      </c>
    </row>
    <row r="692" spans="1:35" ht="15" x14ac:dyDescent="0.2">
      <c r="A692" s="193" t="s">
        <v>2569</v>
      </c>
      <c r="B692" s="146" t="s">
        <v>668</v>
      </c>
      <c r="C692" s="193" t="s">
        <v>2569</v>
      </c>
      <c r="D692" s="211" t="s">
        <v>2349</v>
      </c>
      <c r="E692" s="146" t="s">
        <v>670</v>
      </c>
      <c r="F692" s="146" t="s">
        <v>671</v>
      </c>
      <c r="G692" s="146" t="s">
        <v>672</v>
      </c>
      <c r="H692" s="148">
        <v>1.5</v>
      </c>
      <c r="I692" s="146" t="s">
        <v>673</v>
      </c>
      <c r="J692" s="149">
        <v>1</v>
      </c>
      <c r="K692" s="150">
        <v>2021</v>
      </c>
      <c r="L692" s="210" t="s">
        <v>701</v>
      </c>
      <c r="M692" s="211" t="s">
        <v>2570</v>
      </c>
      <c r="N692" s="212"/>
      <c r="O692" s="110" t="s">
        <v>3327</v>
      </c>
      <c r="P692" s="208" t="s">
        <v>751</v>
      </c>
      <c r="Q692" s="217">
        <v>1973</v>
      </c>
      <c r="R692" s="155">
        <v>4</v>
      </c>
      <c r="S692" s="168"/>
      <c r="T692" s="168"/>
      <c r="U692" s="146"/>
      <c r="V692" s="146"/>
      <c r="W692" s="146"/>
      <c r="X692" s="156">
        <v>0</v>
      </c>
      <c r="Y692" s="156">
        <v>0</v>
      </c>
      <c r="Z692" s="157" t="s">
        <v>2160</v>
      </c>
      <c r="AA692" s="174">
        <v>2021</v>
      </c>
      <c r="AB692" s="175">
        <v>9</v>
      </c>
      <c r="AC692" s="175">
        <v>8</v>
      </c>
      <c r="AD692" s="122" t="b">
        <f>IF(ISBLANK(GroupMember[[#This Row],[1. Identifiant interne d’exploitation agricole*]]),"",IF(ISERROR(MATCH(GroupMember[[#This Row],[1. Identifiant interne d’exploitation agricole*]],CertifiedCrop[1. Identifiant interne d’exploitation agricole*],0)),FALSE,TRUE))</f>
        <v>1</v>
      </c>
      <c r="AE692" s="122" t="b">
        <f>IF(ISBLANK(GroupMember[[#This Row],[1. Identifiant interne d’exploitation agricole*]]),"",IF(ISERROR(MATCH(GroupMember[[#This Row],[1. Identifiant interne d’exploitation agricole*]],FarmUnit[1. Identifiant interne d’exploitation agricole*],0)),FALSE,TRUE))</f>
        <v>1</v>
      </c>
      <c r="AF692" s="9" t="str">
        <f t="shared" si="33"/>
        <v>OUATTARA MINATA</v>
      </c>
      <c r="AG692" s="243" t="str">
        <f t="shared" si="34"/>
        <v>8/9/2021</v>
      </c>
      <c r="AH692" s="51">
        <f>COUNTIFS(Z:Z,Z692,AG:AG,AG692)</f>
        <v>5</v>
      </c>
      <c r="AI692" s="49">
        <f t="shared" si="35"/>
        <v>0</v>
      </c>
    </row>
    <row r="693" spans="1:35" ht="15" x14ac:dyDescent="0.2">
      <c r="A693" s="193" t="s">
        <v>2571</v>
      </c>
      <c r="B693" s="146" t="s">
        <v>668</v>
      </c>
      <c r="C693" s="193" t="s">
        <v>2571</v>
      </c>
      <c r="D693" s="211" t="s">
        <v>2349</v>
      </c>
      <c r="E693" s="146" t="s">
        <v>670</v>
      </c>
      <c r="F693" s="146" t="s">
        <v>671</v>
      </c>
      <c r="G693" s="146" t="s">
        <v>672</v>
      </c>
      <c r="H693" s="148">
        <v>3.31</v>
      </c>
      <c r="I693" s="146" t="s">
        <v>673</v>
      </c>
      <c r="J693" s="149">
        <v>1</v>
      </c>
      <c r="K693" s="150">
        <v>2021</v>
      </c>
      <c r="L693" s="210" t="s">
        <v>2572</v>
      </c>
      <c r="M693" s="211" t="s">
        <v>2573</v>
      </c>
      <c r="N693" s="212"/>
      <c r="O693" s="217" t="s">
        <v>3328</v>
      </c>
      <c r="P693" s="208" t="s">
        <v>751</v>
      </c>
      <c r="Q693" s="217">
        <v>1985</v>
      </c>
      <c r="R693" s="155">
        <v>5</v>
      </c>
      <c r="S693" s="168"/>
      <c r="T693" s="168"/>
      <c r="U693" s="146"/>
      <c r="V693" s="146"/>
      <c r="W693" s="146"/>
      <c r="X693" s="156">
        <v>0</v>
      </c>
      <c r="Y693" s="156">
        <v>0</v>
      </c>
      <c r="Z693" s="157" t="s">
        <v>2160</v>
      </c>
      <c r="AA693" s="174">
        <v>2021</v>
      </c>
      <c r="AB693" s="175">
        <v>9</v>
      </c>
      <c r="AC693" s="175">
        <v>2</v>
      </c>
      <c r="AD693" s="122" t="b">
        <f>IF(ISBLANK(GroupMember[[#This Row],[1. Identifiant interne d’exploitation agricole*]]),"",IF(ISERROR(MATCH(GroupMember[[#This Row],[1. Identifiant interne d’exploitation agricole*]],CertifiedCrop[1. Identifiant interne d’exploitation agricole*],0)),FALSE,TRUE))</f>
        <v>1</v>
      </c>
      <c r="AE693" s="122" t="b">
        <f>IF(ISBLANK(GroupMember[[#This Row],[1. Identifiant interne d’exploitation agricole*]]),"",IF(ISERROR(MATCH(GroupMember[[#This Row],[1. Identifiant interne d’exploitation agricole*]],FarmUnit[1. Identifiant interne d’exploitation agricole*],0)),FALSE,TRUE))</f>
        <v>1</v>
      </c>
      <c r="AF693" s="9" t="str">
        <f t="shared" si="33"/>
        <v>SAKARA RACHELLE</v>
      </c>
      <c r="AG693" s="243" t="str">
        <f t="shared" si="34"/>
        <v>2/9/2021</v>
      </c>
      <c r="AH693" s="51">
        <f>COUNTIFS(Z:Z,Z693,AG:AG,AG693)</f>
        <v>4</v>
      </c>
      <c r="AI693" s="49">
        <f t="shared" si="35"/>
        <v>0</v>
      </c>
    </row>
    <row r="694" spans="1:35" ht="15" x14ac:dyDescent="0.2">
      <c r="A694" s="193" t="s">
        <v>2574</v>
      </c>
      <c r="B694" s="146" t="s">
        <v>668</v>
      </c>
      <c r="C694" s="193" t="s">
        <v>2574</v>
      </c>
      <c r="D694" s="211" t="s">
        <v>2349</v>
      </c>
      <c r="E694" s="146" t="s">
        <v>670</v>
      </c>
      <c r="F694" s="146" t="s">
        <v>671</v>
      </c>
      <c r="G694" s="146" t="s">
        <v>672</v>
      </c>
      <c r="H694" s="148">
        <v>3.86</v>
      </c>
      <c r="I694" s="146" t="s">
        <v>673</v>
      </c>
      <c r="J694" s="149">
        <v>1</v>
      </c>
      <c r="K694" s="150">
        <v>2021</v>
      </c>
      <c r="L694" s="210" t="s">
        <v>701</v>
      </c>
      <c r="M694" s="211" t="s">
        <v>2575</v>
      </c>
      <c r="N694" s="212" t="s">
        <v>2576</v>
      </c>
      <c r="O694" s="217" t="s">
        <v>3329</v>
      </c>
      <c r="P694" s="208" t="s">
        <v>676</v>
      </c>
      <c r="Q694" s="217">
        <v>1977</v>
      </c>
      <c r="R694" s="155">
        <v>4</v>
      </c>
      <c r="S694" s="168"/>
      <c r="T694" s="168"/>
      <c r="U694" s="146"/>
      <c r="V694" s="146"/>
      <c r="W694" s="146"/>
      <c r="X694" s="156">
        <v>0</v>
      </c>
      <c r="Y694" s="156">
        <v>0</v>
      </c>
      <c r="Z694" s="157" t="s">
        <v>2160</v>
      </c>
      <c r="AA694" s="174">
        <v>2021</v>
      </c>
      <c r="AB694" s="175">
        <v>9</v>
      </c>
      <c r="AC694" s="175">
        <v>13</v>
      </c>
      <c r="AD694" s="122" t="b">
        <f>IF(ISBLANK(GroupMember[[#This Row],[1. Identifiant interne d’exploitation agricole*]]),"",IF(ISERROR(MATCH(GroupMember[[#This Row],[1. Identifiant interne d’exploitation agricole*]],CertifiedCrop[1. Identifiant interne d’exploitation agricole*],0)),FALSE,TRUE))</f>
        <v>1</v>
      </c>
      <c r="AE694" s="122" t="b">
        <f>IF(ISBLANK(GroupMember[[#This Row],[1. Identifiant interne d’exploitation agricole*]]),"",IF(ISERROR(MATCH(GroupMember[[#This Row],[1. Identifiant interne d’exploitation agricole*]],FarmUnit[1. Identifiant interne d’exploitation agricole*],0)),FALSE,TRUE))</f>
        <v>1</v>
      </c>
      <c r="AF694" s="9" t="str">
        <f t="shared" si="33"/>
        <v>OUATTARA N'GOLO SOULEYMANE</v>
      </c>
      <c r="AG694" s="243" t="str">
        <f t="shared" si="34"/>
        <v>13/9/2021</v>
      </c>
      <c r="AH694" s="51">
        <f>COUNTIFS(Z:Z,Z694,AG:AG,AG694)</f>
        <v>5</v>
      </c>
      <c r="AI694" s="49">
        <f t="shared" si="35"/>
        <v>0</v>
      </c>
    </row>
    <row r="695" spans="1:35" ht="15" x14ac:dyDescent="0.2">
      <c r="A695" s="193" t="s">
        <v>2577</v>
      </c>
      <c r="B695" s="146" t="s">
        <v>668</v>
      </c>
      <c r="C695" s="193" t="s">
        <v>2577</v>
      </c>
      <c r="D695" s="211" t="s">
        <v>2349</v>
      </c>
      <c r="E695" s="146" t="s">
        <v>670</v>
      </c>
      <c r="F695" s="146" t="s">
        <v>671</v>
      </c>
      <c r="G695" s="146" t="s">
        <v>672</v>
      </c>
      <c r="H695" s="148">
        <v>2.5</v>
      </c>
      <c r="I695" s="146" t="s">
        <v>673</v>
      </c>
      <c r="J695" s="149">
        <v>1</v>
      </c>
      <c r="K695" s="150">
        <v>2021</v>
      </c>
      <c r="L695" s="210" t="s">
        <v>682</v>
      </c>
      <c r="M695" s="211" t="s">
        <v>2578</v>
      </c>
      <c r="N695" s="212" t="s">
        <v>2579</v>
      </c>
      <c r="O695" s="217" t="s">
        <v>3330</v>
      </c>
      <c r="P695" s="208" t="s">
        <v>676</v>
      </c>
      <c r="Q695" s="217">
        <v>1981</v>
      </c>
      <c r="R695" s="155">
        <v>5</v>
      </c>
      <c r="S695" s="168"/>
      <c r="T695" s="168"/>
      <c r="U695" s="146"/>
      <c r="V695" s="146"/>
      <c r="W695" s="146"/>
      <c r="X695" s="156">
        <v>0</v>
      </c>
      <c r="Y695" s="156">
        <v>0</v>
      </c>
      <c r="Z695" s="157" t="s">
        <v>2160</v>
      </c>
      <c r="AA695" s="174">
        <v>2021</v>
      </c>
      <c r="AB695" s="175">
        <v>9</v>
      </c>
      <c r="AC695" s="175">
        <v>7</v>
      </c>
      <c r="AD695" s="122" t="b">
        <f>IF(ISBLANK(GroupMember[[#This Row],[1. Identifiant interne d’exploitation agricole*]]),"",IF(ISERROR(MATCH(GroupMember[[#This Row],[1. Identifiant interne d’exploitation agricole*]],CertifiedCrop[1. Identifiant interne d’exploitation agricole*],0)),FALSE,TRUE))</f>
        <v>1</v>
      </c>
      <c r="AE695" s="122" t="b">
        <f>IF(ISBLANK(GroupMember[[#This Row],[1. Identifiant interne d’exploitation agricole*]]),"",IF(ISERROR(MATCH(GroupMember[[#This Row],[1. Identifiant interne d’exploitation agricole*]],FarmUnit[1. Identifiant interne d’exploitation agricole*],0)),FALSE,TRUE))</f>
        <v>1</v>
      </c>
      <c r="AF695" s="9" t="str">
        <f t="shared" si="33"/>
        <v>SANGARE ZOUMANAN</v>
      </c>
      <c r="AG695" s="243" t="str">
        <f t="shared" si="34"/>
        <v>7/9/2021</v>
      </c>
      <c r="AH695" s="51">
        <f>COUNTIFS(Z:Z,Z695,AG:AG,AG695)</f>
        <v>4</v>
      </c>
      <c r="AI695" s="49">
        <f t="shared" si="35"/>
        <v>0</v>
      </c>
    </row>
    <row r="696" spans="1:35" ht="15" x14ac:dyDescent="0.2">
      <c r="A696" s="193" t="s">
        <v>2580</v>
      </c>
      <c r="B696" s="146" t="s">
        <v>668</v>
      </c>
      <c r="C696" s="193" t="s">
        <v>2580</v>
      </c>
      <c r="D696" s="211" t="s">
        <v>2349</v>
      </c>
      <c r="E696" s="146" t="s">
        <v>670</v>
      </c>
      <c r="F696" s="146" t="s">
        <v>671</v>
      </c>
      <c r="G696" s="146" t="s">
        <v>672</v>
      </c>
      <c r="H696" s="148">
        <v>3.21</v>
      </c>
      <c r="I696" s="146" t="s">
        <v>673</v>
      </c>
      <c r="J696" s="149">
        <v>1</v>
      </c>
      <c r="K696" s="150">
        <v>2021</v>
      </c>
      <c r="L696" s="210" t="s">
        <v>715</v>
      </c>
      <c r="M696" s="211" t="s">
        <v>2581</v>
      </c>
      <c r="N696" s="212"/>
      <c r="O696" s="217" t="s">
        <v>3331</v>
      </c>
      <c r="P696" s="208" t="s">
        <v>676</v>
      </c>
      <c r="Q696" s="217">
        <v>1990</v>
      </c>
      <c r="R696" s="155">
        <v>5</v>
      </c>
      <c r="S696" s="168"/>
      <c r="T696" s="168"/>
      <c r="U696" s="146"/>
      <c r="V696" s="146"/>
      <c r="W696" s="146"/>
      <c r="X696" s="156">
        <v>0</v>
      </c>
      <c r="Y696" s="156">
        <v>0</v>
      </c>
      <c r="Z696" s="157" t="s">
        <v>2160</v>
      </c>
      <c r="AA696" s="174">
        <v>2021</v>
      </c>
      <c r="AB696" s="175">
        <v>9</v>
      </c>
      <c r="AC696" s="175">
        <v>13</v>
      </c>
      <c r="AD696" s="122" t="b">
        <f>IF(ISBLANK(GroupMember[[#This Row],[1. Identifiant interne d’exploitation agricole*]]),"",IF(ISERROR(MATCH(GroupMember[[#This Row],[1. Identifiant interne d’exploitation agricole*]],CertifiedCrop[1. Identifiant interne d’exploitation agricole*],0)),FALSE,TRUE))</f>
        <v>1</v>
      </c>
      <c r="AE696" s="122" t="b">
        <f>IF(ISBLANK(GroupMember[[#This Row],[1. Identifiant interne d’exploitation agricole*]]),"",IF(ISERROR(MATCH(GroupMember[[#This Row],[1. Identifiant interne d’exploitation agricole*]],FarmUnit[1. Identifiant interne d’exploitation agricole*],0)),FALSE,TRUE))</f>
        <v>1</v>
      </c>
      <c r="AF696" s="9" t="str">
        <f t="shared" si="33"/>
        <v>TRAORE DAOUDA 2</v>
      </c>
      <c r="AG696" s="243" t="str">
        <f t="shared" si="34"/>
        <v>13/9/2021</v>
      </c>
      <c r="AH696" s="51">
        <f>COUNTIFS(Z:Z,Z696,AG:AG,AG696)</f>
        <v>5</v>
      </c>
      <c r="AI696" s="49">
        <f t="shared" si="35"/>
        <v>0</v>
      </c>
    </row>
    <row r="697" spans="1:35" ht="15" x14ac:dyDescent="0.2">
      <c r="A697" s="193" t="s">
        <v>2582</v>
      </c>
      <c r="B697" s="146" t="s">
        <v>668</v>
      </c>
      <c r="C697" s="193" t="s">
        <v>2582</v>
      </c>
      <c r="D697" s="211" t="s">
        <v>2349</v>
      </c>
      <c r="E697" s="146" t="s">
        <v>670</v>
      </c>
      <c r="F697" s="146" t="s">
        <v>671</v>
      </c>
      <c r="G697" s="146" t="s">
        <v>672</v>
      </c>
      <c r="H697" s="148">
        <v>1.25</v>
      </c>
      <c r="I697" s="146" t="s">
        <v>673</v>
      </c>
      <c r="J697" s="149">
        <v>1</v>
      </c>
      <c r="K697" s="150">
        <v>2021</v>
      </c>
      <c r="L697" s="210" t="s">
        <v>701</v>
      </c>
      <c r="M697" s="211" t="s">
        <v>2583</v>
      </c>
      <c r="N697" s="212" t="s">
        <v>2584</v>
      </c>
      <c r="O697" s="217" t="s">
        <v>3332</v>
      </c>
      <c r="P697" s="208" t="s">
        <v>676</v>
      </c>
      <c r="Q697" s="217">
        <v>1989</v>
      </c>
      <c r="R697" s="155">
        <v>8</v>
      </c>
      <c r="S697" s="168"/>
      <c r="T697" s="168"/>
      <c r="U697" s="146"/>
      <c r="V697" s="146"/>
      <c r="W697" s="146"/>
      <c r="X697" s="156">
        <v>0</v>
      </c>
      <c r="Y697" s="156">
        <v>0</v>
      </c>
      <c r="Z697" s="157" t="s">
        <v>2160</v>
      </c>
      <c r="AA697" s="174">
        <v>2021</v>
      </c>
      <c r="AB697" s="175">
        <v>9</v>
      </c>
      <c r="AC697" s="175">
        <v>18</v>
      </c>
      <c r="AD697" s="122" t="b">
        <f>IF(ISBLANK(GroupMember[[#This Row],[1. Identifiant interne d’exploitation agricole*]]),"",IF(ISERROR(MATCH(GroupMember[[#This Row],[1. Identifiant interne d’exploitation agricole*]],CertifiedCrop[1. Identifiant interne d’exploitation agricole*],0)),FALSE,TRUE))</f>
        <v>1</v>
      </c>
      <c r="AE697" s="122" t="b">
        <f>IF(ISBLANK(GroupMember[[#This Row],[1. Identifiant interne d’exploitation agricole*]]),"",IF(ISERROR(MATCH(GroupMember[[#This Row],[1. Identifiant interne d’exploitation agricole*]],FarmUnit[1. Identifiant interne d’exploitation agricole*],0)),FALSE,TRUE))</f>
        <v>1</v>
      </c>
      <c r="AF697" s="9" t="str">
        <f t="shared" si="33"/>
        <v>OUATTARA BOUKARY</v>
      </c>
      <c r="AG697" s="243" t="str">
        <f t="shared" si="34"/>
        <v>18/9/2021</v>
      </c>
      <c r="AH697" s="51">
        <f>COUNTIFS(Z:Z,Z697,AG:AG,AG697)</f>
        <v>4</v>
      </c>
      <c r="AI697" s="49">
        <f t="shared" si="35"/>
        <v>0</v>
      </c>
    </row>
    <row r="698" spans="1:35" ht="15" x14ac:dyDescent="0.2">
      <c r="A698" s="193" t="s">
        <v>2585</v>
      </c>
      <c r="B698" s="146" t="s">
        <v>668</v>
      </c>
      <c r="C698" s="193" t="s">
        <v>2585</v>
      </c>
      <c r="D698" s="211" t="s">
        <v>2349</v>
      </c>
      <c r="E698" s="146" t="s">
        <v>670</v>
      </c>
      <c r="F698" s="146" t="s">
        <v>671</v>
      </c>
      <c r="G698" s="146" t="s">
        <v>672</v>
      </c>
      <c r="H698" s="148">
        <v>1.89</v>
      </c>
      <c r="I698" s="146" t="s">
        <v>673</v>
      </c>
      <c r="J698" s="149">
        <v>1</v>
      </c>
      <c r="K698" s="150">
        <v>2021</v>
      </c>
      <c r="L698" s="210" t="s">
        <v>701</v>
      </c>
      <c r="M698" s="211" t="s">
        <v>2586</v>
      </c>
      <c r="N698" s="212"/>
      <c r="O698" s="217" t="s">
        <v>3333</v>
      </c>
      <c r="P698" s="208" t="s">
        <v>676</v>
      </c>
      <c r="Q698" s="217">
        <v>1979</v>
      </c>
      <c r="R698" s="155">
        <v>5</v>
      </c>
      <c r="S698" s="168"/>
      <c r="T698" s="168"/>
      <c r="U698" s="146"/>
      <c r="V698" s="146"/>
      <c r="W698" s="146"/>
      <c r="X698" s="156">
        <v>0</v>
      </c>
      <c r="Y698" s="156">
        <v>0</v>
      </c>
      <c r="Z698" s="157" t="s">
        <v>2160</v>
      </c>
      <c r="AA698" s="174">
        <v>2021</v>
      </c>
      <c r="AB698" s="175">
        <v>9</v>
      </c>
      <c r="AC698" s="175">
        <v>8</v>
      </c>
      <c r="AD698" s="122" t="b">
        <f>IF(ISBLANK(GroupMember[[#This Row],[1. Identifiant interne d’exploitation agricole*]]),"",IF(ISERROR(MATCH(GroupMember[[#This Row],[1. Identifiant interne d’exploitation agricole*]],CertifiedCrop[1. Identifiant interne d’exploitation agricole*],0)),FALSE,TRUE))</f>
        <v>1</v>
      </c>
      <c r="AE698" s="122" t="b">
        <f>IF(ISBLANK(GroupMember[[#This Row],[1. Identifiant interne d’exploitation agricole*]]),"",IF(ISERROR(MATCH(GroupMember[[#This Row],[1. Identifiant interne d’exploitation agricole*]],FarmUnit[1. Identifiant interne d’exploitation agricole*],0)),FALSE,TRUE))</f>
        <v>1</v>
      </c>
      <c r="AF698" s="9" t="str">
        <f t="shared" si="33"/>
        <v>OUATTARA LACINA</v>
      </c>
      <c r="AG698" s="243" t="str">
        <f t="shared" si="34"/>
        <v>8/9/2021</v>
      </c>
      <c r="AH698" s="51">
        <f>COUNTIFS(Z:Z,Z698,AG:AG,AG698)</f>
        <v>5</v>
      </c>
      <c r="AI698" s="49">
        <f t="shared" si="35"/>
        <v>0</v>
      </c>
    </row>
    <row r="699" spans="1:35" ht="15" x14ac:dyDescent="0.2">
      <c r="A699" s="193" t="s">
        <v>2587</v>
      </c>
      <c r="B699" s="146" t="s">
        <v>668</v>
      </c>
      <c r="C699" s="193" t="s">
        <v>2587</v>
      </c>
      <c r="D699" s="211" t="s">
        <v>2349</v>
      </c>
      <c r="E699" s="146" t="s">
        <v>670</v>
      </c>
      <c r="F699" s="146" t="s">
        <v>671</v>
      </c>
      <c r="G699" s="146" t="s">
        <v>672</v>
      </c>
      <c r="H699" s="148">
        <v>1.29</v>
      </c>
      <c r="I699" s="146" t="s">
        <v>673</v>
      </c>
      <c r="J699" s="149">
        <v>1</v>
      </c>
      <c r="K699" s="150">
        <v>2021</v>
      </c>
      <c r="L699" s="210" t="s">
        <v>715</v>
      </c>
      <c r="M699" s="211" t="s">
        <v>2588</v>
      </c>
      <c r="N699" s="212"/>
      <c r="O699" s="217" t="s">
        <v>3334</v>
      </c>
      <c r="P699" s="208" t="s">
        <v>676</v>
      </c>
      <c r="Q699" s="217">
        <v>1983</v>
      </c>
      <c r="R699" s="155">
        <v>4</v>
      </c>
      <c r="S699" s="168"/>
      <c r="T699" s="168"/>
      <c r="U699" s="146"/>
      <c r="V699" s="146"/>
      <c r="W699" s="146"/>
      <c r="X699" s="156">
        <v>0</v>
      </c>
      <c r="Y699" s="156">
        <v>0</v>
      </c>
      <c r="Z699" s="157" t="s">
        <v>2160</v>
      </c>
      <c r="AA699" s="174">
        <v>2021</v>
      </c>
      <c r="AB699" s="175">
        <v>9</v>
      </c>
      <c r="AC699" s="175">
        <v>2</v>
      </c>
      <c r="AD699" s="122" t="b">
        <f>IF(ISBLANK(GroupMember[[#This Row],[1. Identifiant interne d’exploitation agricole*]]),"",IF(ISERROR(MATCH(GroupMember[[#This Row],[1. Identifiant interne d’exploitation agricole*]],CertifiedCrop[1. Identifiant interne d’exploitation agricole*],0)),FALSE,TRUE))</f>
        <v>1</v>
      </c>
      <c r="AE699" s="122" t="b">
        <f>IF(ISBLANK(GroupMember[[#This Row],[1. Identifiant interne d’exploitation agricole*]]),"",IF(ISERROR(MATCH(GroupMember[[#This Row],[1. Identifiant interne d’exploitation agricole*]],FarmUnit[1. Identifiant interne d’exploitation agricole*],0)),FALSE,TRUE))</f>
        <v>1</v>
      </c>
      <c r="AF699" s="9" t="str">
        <f t="shared" si="33"/>
        <v>TRAORE SEINDOU</v>
      </c>
      <c r="AG699" s="243" t="str">
        <f t="shared" si="34"/>
        <v>2/9/2021</v>
      </c>
      <c r="AH699" s="51">
        <f>COUNTIFS(Z:Z,Z699,AG:AG,AG699)</f>
        <v>4</v>
      </c>
      <c r="AI699" s="49">
        <f t="shared" si="35"/>
        <v>0</v>
      </c>
    </row>
    <row r="700" spans="1:35" ht="15" x14ac:dyDescent="0.2">
      <c r="A700" s="193" t="s">
        <v>2589</v>
      </c>
      <c r="B700" s="146" t="s">
        <v>668</v>
      </c>
      <c r="C700" s="193" t="s">
        <v>2589</v>
      </c>
      <c r="D700" s="211" t="s">
        <v>2349</v>
      </c>
      <c r="E700" s="146" t="s">
        <v>670</v>
      </c>
      <c r="F700" s="146" t="s">
        <v>671</v>
      </c>
      <c r="G700" s="146" t="s">
        <v>672</v>
      </c>
      <c r="H700" s="148">
        <v>2.13</v>
      </c>
      <c r="I700" s="146" t="s">
        <v>673</v>
      </c>
      <c r="J700" s="149">
        <v>1</v>
      </c>
      <c r="K700" s="150">
        <v>2021</v>
      </c>
      <c r="L700" s="210" t="s">
        <v>701</v>
      </c>
      <c r="M700" s="211" t="s">
        <v>2590</v>
      </c>
      <c r="N700" s="212" t="s">
        <v>2591</v>
      </c>
      <c r="O700" s="217" t="s">
        <v>3335</v>
      </c>
      <c r="P700" s="208" t="s">
        <v>676</v>
      </c>
      <c r="Q700" s="217">
        <v>1978</v>
      </c>
      <c r="R700" s="155">
        <v>6</v>
      </c>
      <c r="S700" s="168"/>
      <c r="T700" s="168"/>
      <c r="U700" s="146"/>
      <c r="V700" s="146"/>
      <c r="W700" s="146"/>
      <c r="X700" s="156">
        <v>0</v>
      </c>
      <c r="Y700" s="156">
        <v>0</v>
      </c>
      <c r="Z700" s="157" t="s">
        <v>2160</v>
      </c>
      <c r="AA700" s="174">
        <v>2021</v>
      </c>
      <c r="AB700" s="175">
        <v>9</v>
      </c>
      <c r="AC700" s="175">
        <v>18</v>
      </c>
      <c r="AD700" s="122" t="b">
        <f>IF(ISBLANK(GroupMember[[#This Row],[1. Identifiant interne d’exploitation agricole*]]),"",IF(ISERROR(MATCH(GroupMember[[#This Row],[1. Identifiant interne d’exploitation agricole*]],CertifiedCrop[1. Identifiant interne d’exploitation agricole*],0)),FALSE,TRUE))</f>
        <v>1</v>
      </c>
      <c r="AE700" s="122" t="b">
        <f>IF(ISBLANK(GroupMember[[#This Row],[1. Identifiant interne d’exploitation agricole*]]),"",IF(ISERROR(MATCH(GroupMember[[#This Row],[1. Identifiant interne d’exploitation agricole*]],FarmUnit[1. Identifiant interne d’exploitation agricole*],0)),FALSE,TRUE))</f>
        <v>1</v>
      </c>
      <c r="AF700" s="9" t="str">
        <f t="shared" si="33"/>
        <v>OUATTARA ALLASSANE</v>
      </c>
      <c r="AG700" s="243" t="str">
        <f t="shared" si="34"/>
        <v>18/9/2021</v>
      </c>
      <c r="AH700" s="51">
        <f>COUNTIFS(Z:Z,Z700,AG:AG,AG700)</f>
        <v>4</v>
      </c>
      <c r="AI700" s="49">
        <f t="shared" si="35"/>
        <v>0</v>
      </c>
    </row>
    <row r="701" spans="1:35" ht="15" x14ac:dyDescent="0.2">
      <c r="A701" s="193" t="s">
        <v>2592</v>
      </c>
      <c r="B701" s="146" t="s">
        <v>668</v>
      </c>
      <c r="C701" s="193" t="s">
        <v>2592</v>
      </c>
      <c r="D701" s="211" t="s">
        <v>2349</v>
      </c>
      <c r="E701" s="146" t="s">
        <v>670</v>
      </c>
      <c r="F701" s="146" t="s">
        <v>671</v>
      </c>
      <c r="G701" s="146" t="s">
        <v>672</v>
      </c>
      <c r="H701" s="148">
        <v>3.23</v>
      </c>
      <c r="I701" s="146" t="s">
        <v>673</v>
      </c>
      <c r="J701" s="149">
        <v>1</v>
      </c>
      <c r="K701" s="150">
        <v>2021</v>
      </c>
      <c r="L701" s="210" t="s">
        <v>715</v>
      </c>
      <c r="M701" s="211" t="s">
        <v>2593</v>
      </c>
      <c r="N701" s="212"/>
      <c r="O701" s="211"/>
      <c r="P701" s="208" t="s">
        <v>676</v>
      </c>
      <c r="Q701" s="299"/>
      <c r="R701" s="155">
        <v>9</v>
      </c>
      <c r="S701" s="168"/>
      <c r="T701" s="168"/>
      <c r="U701" s="146"/>
      <c r="V701" s="146"/>
      <c r="W701" s="146"/>
      <c r="X701" s="156">
        <v>0</v>
      </c>
      <c r="Y701" s="156">
        <v>0</v>
      </c>
      <c r="Z701" s="157" t="s">
        <v>2160</v>
      </c>
      <c r="AA701" s="174">
        <v>2021</v>
      </c>
      <c r="AB701" s="175">
        <v>9</v>
      </c>
      <c r="AC701" s="175">
        <v>3</v>
      </c>
      <c r="AD701" s="122" t="b">
        <f>IF(ISBLANK(GroupMember[[#This Row],[1. Identifiant interne d’exploitation agricole*]]),"",IF(ISERROR(MATCH(GroupMember[[#This Row],[1. Identifiant interne d’exploitation agricole*]],CertifiedCrop[1. Identifiant interne d’exploitation agricole*],0)),FALSE,TRUE))</f>
        <v>1</v>
      </c>
      <c r="AE701" s="122" t="b">
        <f>IF(ISBLANK(GroupMember[[#This Row],[1. Identifiant interne d’exploitation agricole*]]),"",IF(ISERROR(MATCH(GroupMember[[#This Row],[1. Identifiant interne d’exploitation agricole*]],FarmUnit[1. Identifiant interne d’exploitation agricole*],0)),FALSE,TRUE))</f>
        <v>1</v>
      </c>
      <c r="AF701" s="9" t="str">
        <f t="shared" si="33"/>
        <v>TRAORE NAVONGO</v>
      </c>
      <c r="AG701" s="243" t="str">
        <f t="shared" si="34"/>
        <v>3/9/2021</v>
      </c>
      <c r="AH701" s="51">
        <f>COUNTIFS(Z:Z,Z701,AG:AG,AG701)</f>
        <v>5</v>
      </c>
      <c r="AI701" s="49">
        <f t="shared" si="35"/>
        <v>0</v>
      </c>
    </row>
    <row r="702" spans="1:35" ht="15" x14ac:dyDescent="0.2">
      <c r="A702" s="193" t="s">
        <v>2594</v>
      </c>
      <c r="B702" s="146" t="s">
        <v>668</v>
      </c>
      <c r="C702" s="193" t="s">
        <v>2594</v>
      </c>
      <c r="D702" s="211" t="s">
        <v>2349</v>
      </c>
      <c r="E702" s="146" t="s">
        <v>670</v>
      </c>
      <c r="F702" s="146" t="s">
        <v>671</v>
      </c>
      <c r="G702" s="146" t="s">
        <v>672</v>
      </c>
      <c r="H702" s="148">
        <v>2.34</v>
      </c>
      <c r="I702" s="146" t="s">
        <v>673</v>
      </c>
      <c r="J702" s="149">
        <v>1</v>
      </c>
      <c r="K702" s="150">
        <v>2021</v>
      </c>
      <c r="L702" s="210" t="s">
        <v>701</v>
      </c>
      <c r="M702" s="211" t="s">
        <v>2275</v>
      </c>
      <c r="N702" s="212" t="s">
        <v>2595</v>
      </c>
      <c r="O702" s="211"/>
      <c r="P702" s="208" t="s">
        <v>676</v>
      </c>
      <c r="Q702" s="150"/>
      <c r="R702" s="155">
        <v>5</v>
      </c>
      <c r="S702" s="168"/>
      <c r="T702" s="168"/>
      <c r="U702" s="146"/>
      <c r="V702" s="146"/>
      <c r="W702" s="146"/>
      <c r="X702" s="156">
        <v>0</v>
      </c>
      <c r="Y702" s="156">
        <v>0</v>
      </c>
      <c r="Z702" s="157" t="s">
        <v>2160</v>
      </c>
      <c r="AA702" s="174">
        <v>2021</v>
      </c>
      <c r="AB702" s="175">
        <v>9</v>
      </c>
      <c r="AC702" s="175">
        <v>13</v>
      </c>
      <c r="AD702" s="122" t="b">
        <f>IF(ISBLANK(GroupMember[[#This Row],[1. Identifiant interne d’exploitation agricole*]]),"",IF(ISERROR(MATCH(GroupMember[[#This Row],[1. Identifiant interne d’exploitation agricole*]],CertifiedCrop[1. Identifiant interne d’exploitation agricole*],0)),FALSE,TRUE))</f>
        <v>1</v>
      </c>
      <c r="AE702" s="122" t="b">
        <f>IF(ISBLANK(GroupMember[[#This Row],[1. Identifiant interne d’exploitation agricole*]]),"",IF(ISERROR(MATCH(GroupMember[[#This Row],[1. Identifiant interne d’exploitation agricole*]],FarmUnit[1. Identifiant interne d’exploitation agricole*],0)),FALSE,TRUE))</f>
        <v>1</v>
      </c>
      <c r="AF702" s="9" t="str">
        <f t="shared" si="33"/>
        <v>OUATTARA OUMAR</v>
      </c>
      <c r="AG702" s="243" t="str">
        <f t="shared" si="34"/>
        <v>13/9/2021</v>
      </c>
      <c r="AH702" s="51">
        <f>COUNTIFS(Z:Z,Z702,AG:AG,AG702)</f>
        <v>5</v>
      </c>
      <c r="AI702" s="49">
        <f t="shared" si="35"/>
        <v>0</v>
      </c>
    </row>
    <row r="703" spans="1:35" ht="15" x14ac:dyDescent="0.2">
      <c r="A703" s="193" t="s">
        <v>2596</v>
      </c>
      <c r="B703" s="146" t="s">
        <v>668</v>
      </c>
      <c r="C703" s="193" t="s">
        <v>2596</v>
      </c>
      <c r="D703" s="211" t="s">
        <v>2349</v>
      </c>
      <c r="E703" s="146" t="s">
        <v>670</v>
      </c>
      <c r="F703" s="146" t="s">
        <v>671</v>
      </c>
      <c r="G703" s="146" t="s">
        <v>672</v>
      </c>
      <c r="H703" s="148">
        <v>3</v>
      </c>
      <c r="I703" s="146" t="s">
        <v>673</v>
      </c>
      <c r="J703" s="149">
        <v>1</v>
      </c>
      <c r="K703" s="150">
        <v>2021</v>
      </c>
      <c r="L703" s="210" t="s">
        <v>701</v>
      </c>
      <c r="M703" s="211" t="s">
        <v>2597</v>
      </c>
      <c r="N703" s="212" t="s">
        <v>2598</v>
      </c>
      <c r="O703" s="211"/>
      <c r="P703" s="208" t="s">
        <v>676</v>
      </c>
      <c r="Q703" s="150"/>
      <c r="R703" s="155">
        <v>7</v>
      </c>
      <c r="S703" s="168"/>
      <c r="T703" s="168"/>
      <c r="U703" s="146"/>
      <c r="V703" s="146"/>
      <c r="W703" s="146"/>
      <c r="X703" s="156">
        <v>0</v>
      </c>
      <c r="Y703" s="156">
        <v>0</v>
      </c>
      <c r="Z703" s="157" t="s">
        <v>2160</v>
      </c>
      <c r="AA703" s="174">
        <v>2021</v>
      </c>
      <c r="AB703" s="175">
        <v>9</v>
      </c>
      <c r="AC703" s="175">
        <v>17</v>
      </c>
      <c r="AD703" s="122" t="b">
        <f>IF(ISBLANK(GroupMember[[#This Row],[1. Identifiant interne d’exploitation agricole*]]),"",IF(ISERROR(MATCH(GroupMember[[#This Row],[1. Identifiant interne d’exploitation agricole*]],CertifiedCrop[1. Identifiant interne d’exploitation agricole*],0)),FALSE,TRUE))</f>
        <v>1</v>
      </c>
      <c r="AE703" s="122" t="b">
        <f>IF(ISBLANK(GroupMember[[#This Row],[1. Identifiant interne d’exploitation agricole*]]),"",IF(ISERROR(MATCH(GroupMember[[#This Row],[1. Identifiant interne d’exploitation agricole*]],FarmUnit[1. Identifiant interne d’exploitation agricole*],0)),FALSE,TRUE))</f>
        <v>1</v>
      </c>
      <c r="AF703" s="9" t="str">
        <f t="shared" si="33"/>
        <v>OUATTARA ZANGA</v>
      </c>
      <c r="AG703" s="243" t="str">
        <f t="shared" si="34"/>
        <v>17/9/2021</v>
      </c>
      <c r="AH703" s="51">
        <f>COUNTIFS(Z:Z,Z703,AG:AG,AG703)</f>
        <v>5</v>
      </c>
      <c r="AI703" s="49">
        <f t="shared" si="35"/>
        <v>0</v>
      </c>
    </row>
    <row r="704" spans="1:35" ht="15" x14ac:dyDescent="0.2">
      <c r="A704" s="193" t="s">
        <v>2599</v>
      </c>
      <c r="B704" s="146" t="s">
        <v>668</v>
      </c>
      <c r="C704" s="193" t="s">
        <v>2599</v>
      </c>
      <c r="D704" s="211" t="s">
        <v>2349</v>
      </c>
      <c r="E704" s="146" t="s">
        <v>670</v>
      </c>
      <c r="F704" s="146" t="s">
        <v>671</v>
      </c>
      <c r="G704" s="146" t="s">
        <v>672</v>
      </c>
      <c r="H704" s="148">
        <v>2.4900000000000002</v>
      </c>
      <c r="I704" s="146" t="s">
        <v>673</v>
      </c>
      <c r="J704" s="149">
        <v>1</v>
      </c>
      <c r="K704" s="150">
        <v>2021</v>
      </c>
      <c r="L704" s="210" t="s">
        <v>701</v>
      </c>
      <c r="M704" s="211" t="s">
        <v>2600</v>
      </c>
      <c r="N704" s="212"/>
      <c r="O704" s="211"/>
      <c r="P704" s="208" t="s">
        <v>676</v>
      </c>
      <c r="Q704" s="150"/>
      <c r="R704" s="155">
        <v>6</v>
      </c>
      <c r="S704" s="168"/>
      <c r="T704" s="168"/>
      <c r="U704" s="146"/>
      <c r="V704" s="146"/>
      <c r="W704" s="146"/>
      <c r="X704" s="156">
        <v>0</v>
      </c>
      <c r="Y704" s="156">
        <v>0</v>
      </c>
      <c r="Z704" s="157" t="s">
        <v>2160</v>
      </c>
      <c r="AA704" s="174">
        <v>2021</v>
      </c>
      <c r="AB704" s="175">
        <v>9</v>
      </c>
      <c r="AC704" s="175">
        <v>2</v>
      </c>
      <c r="AD704" s="122" t="b">
        <f>IF(ISBLANK(GroupMember[[#This Row],[1. Identifiant interne d’exploitation agricole*]]),"",IF(ISERROR(MATCH(GroupMember[[#This Row],[1. Identifiant interne d’exploitation agricole*]],CertifiedCrop[1. Identifiant interne d’exploitation agricole*],0)),FALSE,TRUE))</f>
        <v>1</v>
      </c>
      <c r="AE704" s="122" t="b">
        <f>IF(ISBLANK(GroupMember[[#This Row],[1. Identifiant interne d’exploitation agricole*]]),"",IF(ISERROR(MATCH(GroupMember[[#This Row],[1. Identifiant interne d’exploitation agricole*]],FarmUnit[1. Identifiant interne d’exploitation agricole*],0)),FALSE,TRUE))</f>
        <v>1</v>
      </c>
      <c r="AF704" s="9" t="str">
        <f t="shared" si="33"/>
        <v>OUATTARA SEIDOU</v>
      </c>
      <c r="AG704" s="243" t="str">
        <f t="shared" si="34"/>
        <v>2/9/2021</v>
      </c>
      <c r="AH704" s="51">
        <f>COUNTIFS(Z:Z,Z704,AG:AG,AG704)</f>
        <v>4</v>
      </c>
      <c r="AI704" s="49">
        <f t="shared" si="35"/>
        <v>0</v>
      </c>
    </row>
    <row r="705" spans="1:35" ht="15" x14ac:dyDescent="0.2">
      <c r="A705" s="193" t="s">
        <v>2601</v>
      </c>
      <c r="B705" s="146" t="s">
        <v>668</v>
      </c>
      <c r="C705" s="193" t="s">
        <v>2601</v>
      </c>
      <c r="D705" s="211" t="s">
        <v>2349</v>
      </c>
      <c r="E705" s="146" t="s">
        <v>670</v>
      </c>
      <c r="F705" s="146" t="s">
        <v>671</v>
      </c>
      <c r="G705" s="146" t="s">
        <v>672</v>
      </c>
      <c r="H705" s="148">
        <v>1.85</v>
      </c>
      <c r="I705" s="146" t="s">
        <v>673</v>
      </c>
      <c r="J705" s="149">
        <v>1</v>
      </c>
      <c r="K705" s="150">
        <v>2021</v>
      </c>
      <c r="L705" s="210" t="s">
        <v>2602</v>
      </c>
      <c r="M705" s="211" t="s">
        <v>2603</v>
      </c>
      <c r="N705" s="212" t="s">
        <v>2604</v>
      </c>
      <c r="O705" s="281" t="s">
        <v>3336</v>
      </c>
      <c r="P705" s="208" t="s">
        <v>676</v>
      </c>
      <c r="Q705" s="304">
        <v>1985</v>
      </c>
      <c r="R705" s="155">
        <v>6</v>
      </c>
      <c r="S705" s="168"/>
      <c r="T705" s="168"/>
      <c r="U705" s="146"/>
      <c r="V705" s="146"/>
      <c r="W705" s="146"/>
      <c r="X705" s="156">
        <v>0</v>
      </c>
      <c r="Y705" s="156">
        <v>0</v>
      </c>
      <c r="Z705" s="157" t="s">
        <v>2160</v>
      </c>
      <c r="AA705" s="174">
        <v>2021</v>
      </c>
      <c r="AB705" s="175">
        <v>9</v>
      </c>
      <c r="AC705" s="175">
        <v>13</v>
      </c>
      <c r="AD705" s="122" t="b">
        <f>IF(ISBLANK(GroupMember[[#This Row],[1. Identifiant interne d’exploitation agricole*]]),"",IF(ISERROR(MATCH(GroupMember[[#This Row],[1. Identifiant interne d’exploitation agricole*]],CertifiedCrop[1. Identifiant interne d’exploitation agricole*],0)),FALSE,TRUE))</f>
        <v>1</v>
      </c>
      <c r="AE705" s="122" t="b">
        <f>IF(ISBLANK(GroupMember[[#This Row],[1. Identifiant interne d’exploitation agricole*]]),"",IF(ISERROR(MATCH(GroupMember[[#This Row],[1. Identifiant interne d’exploitation agricole*]],FarmUnit[1. Identifiant interne d’exploitation agricole*],0)),FALSE,TRUE))</f>
        <v>1</v>
      </c>
      <c r="AF705" s="9" t="str">
        <f t="shared" si="33"/>
        <v>DIALO NOUFOU</v>
      </c>
      <c r="AG705" s="243" t="str">
        <f t="shared" si="34"/>
        <v>13/9/2021</v>
      </c>
      <c r="AH705" s="51">
        <f>COUNTIFS(Z:Z,Z705,AG:AG,AG705)</f>
        <v>5</v>
      </c>
      <c r="AI705" s="49">
        <f t="shared" si="35"/>
        <v>0</v>
      </c>
    </row>
    <row r="706" spans="1:35" ht="15" x14ac:dyDescent="0.2">
      <c r="A706" s="193" t="s">
        <v>2605</v>
      </c>
      <c r="B706" s="146" t="s">
        <v>668</v>
      </c>
      <c r="C706" s="193" t="s">
        <v>2605</v>
      </c>
      <c r="D706" s="211" t="s">
        <v>2349</v>
      </c>
      <c r="E706" s="146" t="s">
        <v>670</v>
      </c>
      <c r="F706" s="146" t="s">
        <v>671</v>
      </c>
      <c r="G706" s="146" t="s">
        <v>672</v>
      </c>
      <c r="H706" s="148">
        <v>2.71</v>
      </c>
      <c r="I706" s="146" t="s">
        <v>673</v>
      </c>
      <c r="J706" s="149">
        <v>1</v>
      </c>
      <c r="K706" s="150">
        <v>2021</v>
      </c>
      <c r="L706" s="210" t="s">
        <v>701</v>
      </c>
      <c r="M706" s="211" t="s">
        <v>2606</v>
      </c>
      <c r="N706" s="212"/>
      <c r="O706" s="281" t="s">
        <v>3337</v>
      </c>
      <c r="P706" s="208" t="s">
        <v>676</v>
      </c>
      <c r="Q706" s="304">
        <v>1977</v>
      </c>
      <c r="R706" s="155">
        <v>7</v>
      </c>
      <c r="S706" s="168"/>
      <c r="T706" s="168"/>
      <c r="U706" s="146"/>
      <c r="V706" s="146"/>
      <c r="W706" s="146"/>
      <c r="X706" s="156">
        <v>0</v>
      </c>
      <c r="Y706" s="156">
        <v>0</v>
      </c>
      <c r="Z706" s="157" t="s">
        <v>2160</v>
      </c>
      <c r="AA706" s="174">
        <v>2021</v>
      </c>
      <c r="AB706" s="175">
        <v>9</v>
      </c>
      <c r="AC706" s="175">
        <v>17</v>
      </c>
      <c r="AD706" s="122" t="b">
        <f>IF(ISBLANK(GroupMember[[#This Row],[1. Identifiant interne d’exploitation agricole*]]),"",IF(ISERROR(MATCH(GroupMember[[#This Row],[1. Identifiant interne d’exploitation agricole*]],CertifiedCrop[1. Identifiant interne d’exploitation agricole*],0)),FALSE,TRUE))</f>
        <v>1</v>
      </c>
      <c r="AE706" s="122" t="b">
        <f>IF(ISBLANK(GroupMember[[#This Row],[1. Identifiant interne d’exploitation agricole*]]),"",IF(ISERROR(MATCH(GroupMember[[#This Row],[1. Identifiant interne d’exploitation agricole*]],FarmUnit[1. Identifiant interne d’exploitation agricole*],0)),FALSE,TRUE))</f>
        <v>1</v>
      </c>
      <c r="AF706" s="9" t="str">
        <f t="shared" si="33"/>
        <v>OUATTARA LASSINA 2</v>
      </c>
      <c r="AG706" s="243" t="str">
        <f t="shared" si="34"/>
        <v>17/9/2021</v>
      </c>
      <c r="AH706" s="51">
        <f>COUNTIFS(Z:Z,Z706,AG:AG,AG706)</f>
        <v>5</v>
      </c>
      <c r="AI706" s="49">
        <f t="shared" si="35"/>
        <v>0</v>
      </c>
    </row>
    <row r="707" spans="1:35" ht="15" x14ac:dyDescent="0.2">
      <c r="A707" s="193" t="s">
        <v>2607</v>
      </c>
      <c r="B707" s="146" t="s">
        <v>668</v>
      </c>
      <c r="C707" s="193" t="s">
        <v>2607</v>
      </c>
      <c r="D707" s="211" t="s">
        <v>2349</v>
      </c>
      <c r="E707" s="146" t="s">
        <v>670</v>
      </c>
      <c r="F707" s="146" t="s">
        <v>671</v>
      </c>
      <c r="G707" s="146" t="s">
        <v>672</v>
      </c>
      <c r="H707" s="148">
        <v>1.91</v>
      </c>
      <c r="I707" s="146" t="s">
        <v>673</v>
      </c>
      <c r="J707" s="149">
        <v>1</v>
      </c>
      <c r="K707" s="150">
        <v>2021</v>
      </c>
      <c r="L707" s="210" t="s">
        <v>2602</v>
      </c>
      <c r="M707" s="211" t="s">
        <v>1811</v>
      </c>
      <c r="N707" s="212" t="s">
        <v>2608</v>
      </c>
      <c r="O707" s="217" t="s">
        <v>3338</v>
      </c>
      <c r="P707" s="208" t="s">
        <v>676</v>
      </c>
      <c r="Q707" s="304">
        <v>1981</v>
      </c>
      <c r="R707" s="155">
        <v>5</v>
      </c>
      <c r="S707" s="168"/>
      <c r="T707" s="168"/>
      <c r="U707" s="146"/>
      <c r="V707" s="146"/>
      <c r="W707" s="146"/>
      <c r="X707" s="156">
        <v>0</v>
      </c>
      <c r="Y707" s="156">
        <v>0</v>
      </c>
      <c r="Z707" s="157" t="s">
        <v>2160</v>
      </c>
      <c r="AA707" s="174">
        <v>2021</v>
      </c>
      <c r="AB707" s="175">
        <v>9</v>
      </c>
      <c r="AC707" s="175">
        <v>8</v>
      </c>
      <c r="AD707" s="122" t="b">
        <f>IF(ISBLANK(GroupMember[[#This Row],[1. Identifiant interne d’exploitation agricole*]]),"",IF(ISERROR(MATCH(GroupMember[[#This Row],[1. Identifiant interne d’exploitation agricole*]],CertifiedCrop[1. Identifiant interne d’exploitation agricole*],0)),FALSE,TRUE))</f>
        <v>1</v>
      </c>
      <c r="AE707" s="122" t="b">
        <f>IF(ISBLANK(GroupMember[[#This Row],[1. Identifiant interne d’exploitation agricole*]]),"",IF(ISERROR(MATCH(GroupMember[[#This Row],[1. Identifiant interne d’exploitation agricole*]],FarmUnit[1. Identifiant interne d’exploitation agricole*],0)),FALSE,TRUE))</f>
        <v>1</v>
      </c>
      <c r="AF707" s="9" t="str">
        <f t="shared" si="33"/>
        <v>DIALO SEYDOU</v>
      </c>
      <c r="AG707" s="243" t="str">
        <f t="shared" si="34"/>
        <v>8/9/2021</v>
      </c>
      <c r="AH707" s="51">
        <f>COUNTIFS(Z:Z,Z707,AG:AG,AG707)</f>
        <v>5</v>
      </c>
      <c r="AI707" s="49">
        <f t="shared" si="35"/>
        <v>0</v>
      </c>
    </row>
    <row r="708" spans="1:35" ht="15" x14ac:dyDescent="0.2">
      <c r="A708" s="193" t="s">
        <v>2609</v>
      </c>
      <c r="B708" s="146" t="s">
        <v>668</v>
      </c>
      <c r="C708" s="193" t="s">
        <v>2609</v>
      </c>
      <c r="D708" s="211" t="s">
        <v>2349</v>
      </c>
      <c r="E708" s="146" t="s">
        <v>670</v>
      </c>
      <c r="F708" s="146" t="s">
        <v>671</v>
      </c>
      <c r="G708" s="146" t="s">
        <v>672</v>
      </c>
      <c r="H708" s="148">
        <v>1.57</v>
      </c>
      <c r="I708" s="146" t="s">
        <v>673</v>
      </c>
      <c r="J708" s="149">
        <v>1</v>
      </c>
      <c r="K708" s="150">
        <v>2021</v>
      </c>
      <c r="L708" s="210" t="s">
        <v>2154</v>
      </c>
      <c r="M708" s="211" t="s">
        <v>2202</v>
      </c>
      <c r="N708" s="212"/>
      <c r="O708" s="281" t="s">
        <v>3339</v>
      </c>
      <c r="P708" s="208" t="s">
        <v>676</v>
      </c>
      <c r="Q708" s="304">
        <v>1990</v>
      </c>
      <c r="R708" s="155">
        <v>8</v>
      </c>
      <c r="S708" s="168"/>
      <c r="T708" s="168"/>
      <c r="U708" s="146"/>
      <c r="V708" s="146"/>
      <c r="W708" s="146"/>
      <c r="X708" s="156">
        <v>0</v>
      </c>
      <c r="Y708" s="156">
        <v>0</v>
      </c>
      <c r="Z708" s="157" t="s">
        <v>2160</v>
      </c>
      <c r="AA708" s="174">
        <v>2021</v>
      </c>
      <c r="AB708" s="175">
        <v>9</v>
      </c>
      <c r="AC708" s="175">
        <v>2</v>
      </c>
      <c r="AD708" s="122" t="b">
        <f>IF(ISBLANK(GroupMember[[#This Row],[1. Identifiant interne d’exploitation agricole*]]),"",IF(ISERROR(MATCH(GroupMember[[#This Row],[1. Identifiant interne d’exploitation agricole*]],CertifiedCrop[1. Identifiant interne d’exploitation agricole*],0)),FALSE,TRUE))</f>
        <v>1</v>
      </c>
      <c r="AE708" s="122" t="b">
        <f>IF(ISBLANK(GroupMember[[#This Row],[1. Identifiant interne d’exploitation agricole*]]),"",IF(ISERROR(MATCH(GroupMember[[#This Row],[1. Identifiant interne d’exploitation agricole*]],FarmUnit[1. Identifiant interne d’exploitation agricole*],0)),FALSE,TRUE))</f>
        <v>1</v>
      </c>
      <c r="AF708" s="9" t="str">
        <f t="shared" si="33"/>
        <v>DIAKITE DRAMANE</v>
      </c>
      <c r="AG708" s="243" t="str">
        <f t="shared" si="34"/>
        <v>2/9/2021</v>
      </c>
      <c r="AH708" s="51">
        <f>COUNTIFS(Z:Z,Z708,AG:AG,AG708)</f>
        <v>4</v>
      </c>
      <c r="AI708" s="49">
        <f t="shared" si="35"/>
        <v>0</v>
      </c>
    </row>
    <row r="709" spans="1:35" ht="15" x14ac:dyDescent="0.2">
      <c r="A709" s="193" t="s">
        <v>2610</v>
      </c>
      <c r="B709" s="146" t="s">
        <v>668</v>
      </c>
      <c r="C709" s="193" t="s">
        <v>2610</v>
      </c>
      <c r="D709" s="211" t="s">
        <v>2349</v>
      </c>
      <c r="E709" s="146" t="s">
        <v>670</v>
      </c>
      <c r="F709" s="146" t="s">
        <v>671</v>
      </c>
      <c r="G709" s="146" t="s">
        <v>672</v>
      </c>
      <c r="H709" s="148">
        <v>2.85</v>
      </c>
      <c r="I709" s="146" t="s">
        <v>673</v>
      </c>
      <c r="J709" s="149">
        <v>1</v>
      </c>
      <c r="K709" s="150">
        <v>2021</v>
      </c>
      <c r="L709" s="210" t="s">
        <v>1774</v>
      </c>
      <c r="M709" s="211" t="s">
        <v>1624</v>
      </c>
      <c r="N709" s="212" t="s">
        <v>2611</v>
      </c>
      <c r="O709" s="217" t="s">
        <v>3340</v>
      </c>
      <c r="P709" s="208" t="s">
        <v>676</v>
      </c>
      <c r="Q709" s="304">
        <v>1989</v>
      </c>
      <c r="R709" s="155">
        <v>6</v>
      </c>
      <c r="S709" s="168"/>
      <c r="T709" s="168"/>
      <c r="U709" s="146"/>
      <c r="V709" s="146"/>
      <c r="W709" s="146"/>
      <c r="X709" s="156">
        <v>0</v>
      </c>
      <c r="Y709" s="156">
        <v>0</v>
      </c>
      <c r="Z709" s="157" t="s">
        <v>2160</v>
      </c>
      <c r="AA709" s="174">
        <v>2021</v>
      </c>
      <c r="AB709" s="175">
        <v>9</v>
      </c>
      <c r="AC709" s="175">
        <v>16</v>
      </c>
      <c r="AD709" s="122" t="b">
        <f>IF(ISBLANK(GroupMember[[#This Row],[1. Identifiant interne d’exploitation agricole*]]),"",IF(ISERROR(MATCH(GroupMember[[#This Row],[1. Identifiant interne d’exploitation agricole*]],CertifiedCrop[1. Identifiant interne d’exploitation agricole*],0)),FALSE,TRUE))</f>
        <v>1</v>
      </c>
      <c r="AE709" s="122" t="b">
        <f>IF(ISBLANK(GroupMember[[#This Row],[1. Identifiant interne d’exploitation agricole*]]),"",IF(ISERROR(MATCH(GroupMember[[#This Row],[1. Identifiant interne d’exploitation agricole*]],FarmUnit[1. Identifiant interne d’exploitation agricole*],0)),FALSE,TRUE))</f>
        <v>1</v>
      </c>
      <c r="AF709" s="9" t="str">
        <f t="shared" si="33"/>
        <v>COULIBALY SOULEYMANE</v>
      </c>
      <c r="AG709" s="243" t="str">
        <f t="shared" si="34"/>
        <v>16/9/2021</v>
      </c>
      <c r="AH709" s="51">
        <f>COUNTIFS(Z:Z,Z709,AG:AG,AG709)</f>
        <v>5</v>
      </c>
      <c r="AI709" s="49">
        <f t="shared" si="35"/>
        <v>0</v>
      </c>
    </row>
    <row r="710" spans="1:35" ht="15" x14ac:dyDescent="0.2">
      <c r="A710" s="193" t="s">
        <v>2612</v>
      </c>
      <c r="B710" s="146" t="s">
        <v>668</v>
      </c>
      <c r="C710" s="193" t="s">
        <v>2612</v>
      </c>
      <c r="D710" s="211" t="s">
        <v>2349</v>
      </c>
      <c r="E710" s="146" t="s">
        <v>670</v>
      </c>
      <c r="F710" s="146" t="s">
        <v>671</v>
      </c>
      <c r="G710" s="146" t="s">
        <v>672</v>
      </c>
      <c r="H710" s="148">
        <v>4.76</v>
      </c>
      <c r="I710" s="146" t="s">
        <v>673</v>
      </c>
      <c r="J710" s="149">
        <v>1</v>
      </c>
      <c r="K710" s="150">
        <v>2021</v>
      </c>
      <c r="L710" s="210" t="s">
        <v>1193</v>
      </c>
      <c r="M710" s="211" t="s">
        <v>2264</v>
      </c>
      <c r="N710" s="212"/>
      <c r="O710" s="217" t="s">
        <v>3341</v>
      </c>
      <c r="P710" s="208" t="s">
        <v>676</v>
      </c>
      <c r="Q710" s="304">
        <v>1979</v>
      </c>
      <c r="R710" s="155">
        <v>9</v>
      </c>
      <c r="S710" s="168"/>
      <c r="T710" s="168"/>
      <c r="U710" s="146"/>
      <c r="V710" s="146"/>
      <c r="W710" s="146"/>
      <c r="X710" s="156">
        <v>0</v>
      </c>
      <c r="Y710" s="156">
        <v>0</v>
      </c>
      <c r="Z710" s="157" t="s">
        <v>2160</v>
      </c>
      <c r="AA710" s="174">
        <v>2021</v>
      </c>
      <c r="AB710" s="175">
        <v>9</v>
      </c>
      <c r="AC710" s="175">
        <v>17</v>
      </c>
      <c r="AD710" s="122" t="b">
        <f>IF(ISBLANK(GroupMember[[#This Row],[1. Identifiant interne d’exploitation agricole*]]),"",IF(ISERROR(MATCH(GroupMember[[#This Row],[1. Identifiant interne d’exploitation agricole*]],CertifiedCrop[1. Identifiant interne d’exploitation agricole*],0)),FALSE,TRUE))</f>
        <v>1</v>
      </c>
      <c r="AE710" s="122" t="b">
        <f>IF(ISBLANK(GroupMember[[#This Row],[1. Identifiant interne d’exploitation agricole*]]),"",IF(ISERROR(MATCH(GroupMember[[#This Row],[1. Identifiant interne d’exploitation agricole*]],FarmUnit[1. Identifiant interne d’exploitation agricole*],0)),FALSE,TRUE))</f>
        <v>1</v>
      </c>
      <c r="AF710" s="9" t="str">
        <f t="shared" si="33"/>
        <v>DIOMANDE ABDOULAYE</v>
      </c>
      <c r="AG710" s="243" t="str">
        <f t="shared" si="34"/>
        <v>17/9/2021</v>
      </c>
      <c r="AH710" s="51">
        <f>COUNTIFS(Z:Z,Z710,AG:AG,AG710)</f>
        <v>5</v>
      </c>
      <c r="AI710" s="49">
        <f t="shared" si="35"/>
        <v>0</v>
      </c>
    </row>
    <row r="711" spans="1:35" ht="15" x14ac:dyDescent="0.2">
      <c r="A711" s="193" t="s">
        <v>2613</v>
      </c>
      <c r="B711" s="146" t="s">
        <v>668</v>
      </c>
      <c r="C711" s="193" t="s">
        <v>2613</v>
      </c>
      <c r="D711" s="211" t="s">
        <v>2349</v>
      </c>
      <c r="E711" s="146" t="s">
        <v>670</v>
      </c>
      <c r="F711" s="146" t="s">
        <v>671</v>
      </c>
      <c r="G711" s="146" t="s">
        <v>672</v>
      </c>
      <c r="H711" s="148">
        <v>2.0699999999999998</v>
      </c>
      <c r="I711" s="146" t="s">
        <v>673</v>
      </c>
      <c r="J711" s="149">
        <v>1</v>
      </c>
      <c r="K711" s="150">
        <v>2021</v>
      </c>
      <c r="L711" s="210" t="s">
        <v>1193</v>
      </c>
      <c r="M711" s="211" t="s">
        <v>2614</v>
      </c>
      <c r="N711" s="212"/>
      <c r="O711" s="217" t="s">
        <v>3342</v>
      </c>
      <c r="P711" s="208" t="s">
        <v>676</v>
      </c>
      <c r="Q711" s="304">
        <v>1983</v>
      </c>
      <c r="R711" s="155">
        <v>7</v>
      </c>
      <c r="S711" s="168"/>
      <c r="T711" s="168"/>
      <c r="U711" s="146"/>
      <c r="V711" s="146"/>
      <c r="W711" s="146"/>
      <c r="X711" s="156">
        <v>0</v>
      </c>
      <c r="Y711" s="156">
        <v>0</v>
      </c>
      <c r="Z711" s="157" t="s">
        <v>2160</v>
      </c>
      <c r="AA711" s="174">
        <v>2021</v>
      </c>
      <c r="AB711" s="175">
        <v>9</v>
      </c>
      <c r="AC711" s="175">
        <v>7</v>
      </c>
      <c r="AD711" s="122" t="b">
        <f>IF(ISBLANK(GroupMember[[#This Row],[1. Identifiant interne d’exploitation agricole*]]),"",IF(ISERROR(MATCH(GroupMember[[#This Row],[1. Identifiant interne d’exploitation agricole*]],CertifiedCrop[1. Identifiant interne d’exploitation agricole*],0)),FALSE,TRUE))</f>
        <v>1</v>
      </c>
      <c r="AE711" s="122" t="b">
        <f>IF(ISBLANK(GroupMember[[#This Row],[1. Identifiant interne d’exploitation agricole*]]),"",IF(ISERROR(MATCH(GroupMember[[#This Row],[1. Identifiant interne d’exploitation agricole*]],FarmUnit[1. Identifiant interne d’exploitation agricole*],0)),FALSE,TRUE))</f>
        <v>1</v>
      </c>
      <c r="AF711" s="9" t="str">
        <f t="shared" si="33"/>
        <v>DIOMANDE DRISSA</v>
      </c>
      <c r="AG711" s="243" t="str">
        <f t="shared" si="34"/>
        <v>7/9/2021</v>
      </c>
      <c r="AH711" s="51">
        <f>COUNTIFS(Z:Z,Z711,AG:AG,AG711)</f>
        <v>4</v>
      </c>
      <c r="AI711" s="49">
        <f t="shared" si="35"/>
        <v>0</v>
      </c>
    </row>
    <row r="712" spans="1:35" ht="15" x14ac:dyDescent="0.2">
      <c r="A712" s="193" t="s">
        <v>2615</v>
      </c>
      <c r="B712" s="146" t="s">
        <v>668</v>
      </c>
      <c r="C712" s="193" t="s">
        <v>2615</v>
      </c>
      <c r="D712" s="211" t="s">
        <v>2349</v>
      </c>
      <c r="E712" s="146" t="s">
        <v>670</v>
      </c>
      <c r="F712" s="146" t="s">
        <v>671</v>
      </c>
      <c r="G712" s="146" t="s">
        <v>672</v>
      </c>
      <c r="H712" s="148">
        <v>2.46</v>
      </c>
      <c r="I712" s="146" t="s">
        <v>673</v>
      </c>
      <c r="J712" s="149">
        <v>1</v>
      </c>
      <c r="K712" s="150">
        <v>2021</v>
      </c>
      <c r="L712" s="210" t="s">
        <v>715</v>
      </c>
      <c r="M712" s="211" t="s">
        <v>2291</v>
      </c>
      <c r="N712" s="212"/>
      <c r="O712" s="285" t="s">
        <v>3343</v>
      </c>
      <c r="P712" s="208" t="s">
        <v>676</v>
      </c>
      <c r="Q712" s="304">
        <v>1978</v>
      </c>
      <c r="R712" s="155">
        <v>5</v>
      </c>
      <c r="S712" s="168"/>
      <c r="T712" s="168"/>
      <c r="U712" s="146"/>
      <c r="V712" s="146"/>
      <c r="W712" s="146"/>
      <c r="X712" s="156">
        <v>0</v>
      </c>
      <c r="Y712" s="156">
        <v>0</v>
      </c>
      <c r="Z712" s="157" t="s">
        <v>2160</v>
      </c>
      <c r="AA712" s="174">
        <v>2021</v>
      </c>
      <c r="AB712" s="175">
        <v>9</v>
      </c>
      <c r="AC712" s="175">
        <v>16</v>
      </c>
      <c r="AD712" s="122" t="b">
        <f>IF(ISBLANK(GroupMember[[#This Row],[1. Identifiant interne d’exploitation agricole*]]),"",IF(ISERROR(MATCH(GroupMember[[#This Row],[1. Identifiant interne d’exploitation agricole*]],CertifiedCrop[1. Identifiant interne d’exploitation agricole*],0)),FALSE,TRUE))</f>
        <v>1</v>
      </c>
      <c r="AE712" s="122" t="b">
        <f>IF(ISBLANK(GroupMember[[#This Row],[1. Identifiant interne d’exploitation agricole*]]),"",IF(ISERROR(MATCH(GroupMember[[#This Row],[1. Identifiant interne d’exploitation agricole*]],FarmUnit[1. Identifiant interne d’exploitation agricole*],0)),FALSE,TRUE))</f>
        <v>1</v>
      </c>
      <c r="AF712" s="9" t="str">
        <f t="shared" si="33"/>
        <v>TRAORE ABOU</v>
      </c>
      <c r="AG712" s="243" t="str">
        <f t="shared" si="34"/>
        <v>16/9/2021</v>
      </c>
      <c r="AH712" s="51">
        <f>COUNTIFS(Z:Z,Z712,AG:AG,AG712)</f>
        <v>5</v>
      </c>
      <c r="AI712" s="49">
        <f t="shared" si="35"/>
        <v>0</v>
      </c>
    </row>
    <row r="713" spans="1:35" ht="15" x14ac:dyDescent="0.2">
      <c r="A713" s="193" t="s">
        <v>2616</v>
      </c>
      <c r="B713" s="146" t="s">
        <v>668</v>
      </c>
      <c r="C713" s="193" t="s">
        <v>2616</v>
      </c>
      <c r="D713" s="211" t="s">
        <v>2349</v>
      </c>
      <c r="E713" s="146" t="s">
        <v>670</v>
      </c>
      <c r="F713" s="146" t="s">
        <v>671</v>
      </c>
      <c r="G713" s="146" t="s">
        <v>672</v>
      </c>
      <c r="H713" s="148">
        <v>2.08</v>
      </c>
      <c r="I713" s="146" t="s">
        <v>673</v>
      </c>
      <c r="J713" s="149">
        <v>1</v>
      </c>
      <c r="K713" s="150">
        <v>2021</v>
      </c>
      <c r="L713" s="210" t="s">
        <v>701</v>
      </c>
      <c r="M713" s="211" t="s">
        <v>2617</v>
      </c>
      <c r="N713" s="212"/>
      <c r="O713" s="286"/>
      <c r="P713" s="208" t="s">
        <v>676</v>
      </c>
      <c r="Q713" s="299"/>
      <c r="R713" s="155">
        <v>4</v>
      </c>
      <c r="S713" s="168"/>
      <c r="T713" s="168"/>
      <c r="U713" s="146"/>
      <c r="V713" s="146"/>
      <c r="W713" s="146"/>
      <c r="X713" s="156">
        <v>0</v>
      </c>
      <c r="Y713" s="156">
        <v>0</v>
      </c>
      <c r="Z713" s="157" t="s">
        <v>2160</v>
      </c>
      <c r="AA713" s="174">
        <v>2021</v>
      </c>
      <c r="AB713" s="175">
        <v>9</v>
      </c>
      <c r="AC713" s="175">
        <v>13</v>
      </c>
      <c r="AD713" s="122" t="b">
        <f>IF(ISBLANK(GroupMember[[#This Row],[1. Identifiant interne d’exploitation agricole*]]),"",IF(ISERROR(MATCH(GroupMember[[#This Row],[1. Identifiant interne d’exploitation agricole*]],CertifiedCrop[1. Identifiant interne d’exploitation agricole*],0)),FALSE,TRUE))</f>
        <v>1</v>
      </c>
      <c r="AE713" s="122" t="b">
        <f>IF(ISBLANK(GroupMember[[#This Row],[1. Identifiant interne d’exploitation agricole*]]),"",IF(ISERROR(MATCH(GroupMember[[#This Row],[1. Identifiant interne d’exploitation agricole*]],FarmUnit[1. Identifiant interne d’exploitation agricole*],0)),FALSE,TRUE))</f>
        <v>1</v>
      </c>
      <c r="AF713" s="9" t="str">
        <f t="shared" si="33"/>
        <v>OUATTARA BAH LACINA</v>
      </c>
      <c r="AG713" s="243" t="str">
        <f t="shared" si="34"/>
        <v>13/9/2021</v>
      </c>
      <c r="AH713" s="51">
        <f>COUNTIFS(Z:Z,Z713,AG:AG,AG713)</f>
        <v>5</v>
      </c>
      <c r="AI713" s="49">
        <f t="shared" si="35"/>
        <v>0</v>
      </c>
    </row>
    <row r="714" spans="1:35" ht="15" x14ac:dyDescent="0.2">
      <c r="A714" s="193" t="s">
        <v>2618</v>
      </c>
      <c r="B714" s="146" t="s">
        <v>668</v>
      </c>
      <c r="C714" s="193" t="s">
        <v>2618</v>
      </c>
      <c r="D714" s="211" t="s">
        <v>2349</v>
      </c>
      <c r="E714" s="146" t="s">
        <v>670</v>
      </c>
      <c r="F714" s="146" t="s">
        <v>671</v>
      </c>
      <c r="G714" s="146" t="s">
        <v>672</v>
      </c>
      <c r="H714" s="148">
        <v>6.08</v>
      </c>
      <c r="I714" s="146" t="s">
        <v>673</v>
      </c>
      <c r="J714" s="149">
        <v>1</v>
      </c>
      <c r="K714" s="150">
        <v>2021</v>
      </c>
      <c r="L714" s="210" t="s">
        <v>715</v>
      </c>
      <c r="M714" s="211" t="s">
        <v>1808</v>
      </c>
      <c r="N714" s="212" t="s">
        <v>2619</v>
      </c>
      <c r="O714" s="217" t="s">
        <v>3344</v>
      </c>
      <c r="P714" s="208" t="s">
        <v>676</v>
      </c>
      <c r="Q714" s="217">
        <v>1977</v>
      </c>
      <c r="R714" s="171">
        <v>5</v>
      </c>
      <c r="S714" s="168"/>
      <c r="T714" s="168"/>
      <c r="U714" s="146"/>
      <c r="V714" s="146"/>
      <c r="W714" s="146"/>
      <c r="X714" s="156">
        <v>0</v>
      </c>
      <c r="Y714" s="156">
        <v>0</v>
      </c>
      <c r="Z714" s="157" t="s">
        <v>2160</v>
      </c>
      <c r="AA714" s="174">
        <v>2021</v>
      </c>
      <c r="AB714" s="175">
        <v>9</v>
      </c>
      <c r="AC714" s="175">
        <v>6</v>
      </c>
      <c r="AD714" s="122" t="b">
        <f>IF(ISBLANK(GroupMember[[#This Row],[1. Identifiant interne d’exploitation agricole*]]),"",IF(ISERROR(MATCH(GroupMember[[#This Row],[1. Identifiant interne d’exploitation agricole*]],CertifiedCrop[1. Identifiant interne d’exploitation agricole*],0)),FALSE,TRUE))</f>
        <v>1</v>
      </c>
      <c r="AE714" s="122" t="b">
        <f>IF(ISBLANK(GroupMember[[#This Row],[1. Identifiant interne d’exploitation agricole*]]),"",IF(ISERROR(MATCH(GroupMember[[#This Row],[1. Identifiant interne d’exploitation agricole*]],FarmUnit[1. Identifiant interne d’exploitation agricole*],0)),FALSE,TRUE))</f>
        <v>1</v>
      </c>
      <c r="AF714" s="9" t="str">
        <f t="shared" si="33"/>
        <v>TRAORE SOLO</v>
      </c>
      <c r="AG714" s="243" t="str">
        <f t="shared" si="34"/>
        <v>6/9/2021</v>
      </c>
      <c r="AH714" s="51">
        <f>COUNTIFS(Z:Z,Z714,AG:AG,AG714)</f>
        <v>4</v>
      </c>
      <c r="AI714" s="49">
        <f t="shared" si="35"/>
        <v>0</v>
      </c>
    </row>
    <row r="715" spans="1:35" ht="15" x14ac:dyDescent="0.2">
      <c r="A715" s="193" t="s">
        <v>2620</v>
      </c>
      <c r="B715" s="146" t="s">
        <v>668</v>
      </c>
      <c r="C715" s="193" t="s">
        <v>2620</v>
      </c>
      <c r="D715" s="211" t="s">
        <v>2349</v>
      </c>
      <c r="E715" s="146" t="s">
        <v>670</v>
      </c>
      <c r="F715" s="146" t="s">
        <v>671</v>
      </c>
      <c r="G715" s="146" t="s">
        <v>672</v>
      </c>
      <c r="H715" s="148">
        <v>1.93</v>
      </c>
      <c r="I715" s="146" t="s">
        <v>673</v>
      </c>
      <c r="J715" s="149">
        <v>1</v>
      </c>
      <c r="K715" s="150">
        <v>2021</v>
      </c>
      <c r="L715" s="210" t="s">
        <v>2170</v>
      </c>
      <c r="M715" s="211" t="s">
        <v>2621</v>
      </c>
      <c r="N715" s="212"/>
      <c r="O715" s="217" t="s">
        <v>3345</v>
      </c>
      <c r="P715" s="208" t="s">
        <v>676</v>
      </c>
      <c r="Q715" s="217">
        <v>1971</v>
      </c>
      <c r="R715" s="155">
        <v>6</v>
      </c>
      <c r="S715" s="168"/>
      <c r="T715" s="168"/>
      <c r="U715" s="146"/>
      <c r="V715" s="146"/>
      <c r="W715" s="146"/>
      <c r="X715" s="156">
        <v>0</v>
      </c>
      <c r="Y715" s="156">
        <v>0</v>
      </c>
      <c r="Z715" s="157" t="s">
        <v>2160</v>
      </c>
      <c r="AA715" s="174">
        <v>2021</v>
      </c>
      <c r="AB715" s="175">
        <v>9</v>
      </c>
      <c r="AC715" s="175">
        <v>11</v>
      </c>
      <c r="AD715" s="122" t="b">
        <f>IF(ISBLANK(GroupMember[[#This Row],[1. Identifiant interne d’exploitation agricole*]]),"",IF(ISERROR(MATCH(GroupMember[[#This Row],[1. Identifiant interne d’exploitation agricole*]],CertifiedCrop[1. Identifiant interne d’exploitation agricole*],0)),FALSE,TRUE))</f>
        <v>1</v>
      </c>
      <c r="AE715" s="122" t="b">
        <f>IF(ISBLANK(GroupMember[[#This Row],[1. Identifiant interne d’exploitation agricole*]]),"",IF(ISERROR(MATCH(GroupMember[[#This Row],[1. Identifiant interne d’exploitation agricole*]],FarmUnit[1. Identifiant interne d’exploitation agricole*],0)),FALSE,TRUE))</f>
        <v>1</v>
      </c>
      <c r="AF715" s="9" t="str">
        <f t="shared" si="33"/>
        <v>KEITA LAMINE</v>
      </c>
      <c r="AG715" s="243" t="str">
        <f t="shared" si="34"/>
        <v>11/9/2021</v>
      </c>
      <c r="AH715" s="51">
        <f>COUNTIFS(Z:Z,Z715,AG:AG,AG715)</f>
        <v>5</v>
      </c>
      <c r="AI715" s="49">
        <f t="shared" si="35"/>
        <v>0</v>
      </c>
    </row>
    <row r="716" spans="1:35" ht="15" x14ac:dyDescent="0.2">
      <c r="A716" s="193" t="s">
        <v>2622</v>
      </c>
      <c r="B716" s="146" t="s">
        <v>668</v>
      </c>
      <c r="C716" s="193" t="s">
        <v>2622</v>
      </c>
      <c r="D716" s="211" t="s">
        <v>2349</v>
      </c>
      <c r="E716" s="146" t="s">
        <v>670</v>
      </c>
      <c r="F716" s="146" t="s">
        <v>671</v>
      </c>
      <c r="G716" s="146" t="s">
        <v>672</v>
      </c>
      <c r="H716" s="148">
        <v>4.8099999999999996</v>
      </c>
      <c r="I716" s="146" t="s">
        <v>673</v>
      </c>
      <c r="J716" s="149">
        <v>1</v>
      </c>
      <c r="K716" s="150">
        <v>2021</v>
      </c>
      <c r="L716" s="210" t="s">
        <v>2623</v>
      </c>
      <c r="M716" s="211" t="s">
        <v>1789</v>
      </c>
      <c r="N716" s="212"/>
      <c r="O716" s="217" t="s">
        <v>3346</v>
      </c>
      <c r="P716" s="208" t="s">
        <v>676</v>
      </c>
      <c r="Q716" s="217">
        <v>1975</v>
      </c>
      <c r="R716" s="155">
        <v>5</v>
      </c>
      <c r="S716" s="168"/>
      <c r="T716" s="168"/>
      <c r="U716" s="146"/>
      <c r="V716" s="146"/>
      <c r="W716" s="146"/>
      <c r="X716" s="156">
        <v>0</v>
      </c>
      <c r="Y716" s="156">
        <v>0</v>
      </c>
      <c r="Z716" s="157" t="s">
        <v>2160</v>
      </c>
      <c r="AA716" s="174">
        <v>2021</v>
      </c>
      <c r="AB716" s="175">
        <v>9</v>
      </c>
      <c r="AC716" s="175">
        <v>7</v>
      </c>
      <c r="AD716" s="122" t="b">
        <f>IF(ISBLANK(GroupMember[[#This Row],[1. Identifiant interne d’exploitation agricole*]]),"",IF(ISERROR(MATCH(GroupMember[[#This Row],[1. Identifiant interne d’exploitation agricole*]],CertifiedCrop[1. Identifiant interne d’exploitation agricole*],0)),FALSE,TRUE))</f>
        <v>1</v>
      </c>
      <c r="AE716" s="122" t="b">
        <f>IF(ISBLANK(GroupMember[[#This Row],[1. Identifiant interne d’exploitation agricole*]]),"",IF(ISERROR(MATCH(GroupMember[[#This Row],[1. Identifiant interne d’exploitation agricole*]],FarmUnit[1. Identifiant interne d’exploitation agricole*],0)),FALSE,TRUE))</f>
        <v>1</v>
      </c>
      <c r="AF716" s="9" t="str">
        <f t="shared" si="33"/>
        <v>BAYO IBRAHIM</v>
      </c>
      <c r="AG716" s="243" t="str">
        <f t="shared" si="34"/>
        <v>7/9/2021</v>
      </c>
      <c r="AH716" s="51">
        <f>COUNTIFS(Z:Z,Z716,AG:AG,AG716)</f>
        <v>4</v>
      </c>
      <c r="AI716" s="49">
        <f t="shared" si="35"/>
        <v>0</v>
      </c>
    </row>
    <row r="717" spans="1:35" ht="15" x14ac:dyDescent="0.2">
      <c r="A717" s="193" t="s">
        <v>2624</v>
      </c>
      <c r="B717" s="146" t="s">
        <v>668</v>
      </c>
      <c r="C717" s="193" t="s">
        <v>2624</v>
      </c>
      <c r="D717" s="211" t="s">
        <v>2349</v>
      </c>
      <c r="E717" s="146" t="s">
        <v>670</v>
      </c>
      <c r="F717" s="146" t="s">
        <v>671</v>
      </c>
      <c r="G717" s="146" t="s">
        <v>672</v>
      </c>
      <c r="H717" s="148">
        <v>1.33</v>
      </c>
      <c r="I717" s="146" t="s">
        <v>673</v>
      </c>
      <c r="J717" s="149">
        <v>1</v>
      </c>
      <c r="K717" s="150">
        <v>2021</v>
      </c>
      <c r="L717" s="210" t="s">
        <v>682</v>
      </c>
      <c r="M717" s="211" t="s">
        <v>2625</v>
      </c>
      <c r="N717" s="212" t="s">
        <v>2626</v>
      </c>
      <c r="O717" s="285" t="s">
        <v>3347</v>
      </c>
      <c r="P717" s="208" t="s">
        <v>676</v>
      </c>
      <c r="Q717" s="217">
        <v>1984</v>
      </c>
      <c r="R717" s="155">
        <v>5</v>
      </c>
      <c r="S717" s="168"/>
      <c r="T717" s="168"/>
      <c r="U717" s="146"/>
      <c r="V717" s="146"/>
      <c r="W717" s="146"/>
      <c r="X717" s="156">
        <v>0</v>
      </c>
      <c r="Y717" s="156">
        <v>0</v>
      </c>
      <c r="Z717" s="157" t="s">
        <v>2160</v>
      </c>
      <c r="AA717" s="174">
        <v>2021</v>
      </c>
      <c r="AB717" s="175">
        <v>9</v>
      </c>
      <c r="AC717" s="175">
        <v>9</v>
      </c>
      <c r="AD717" s="122" t="b">
        <f>IF(ISBLANK(GroupMember[[#This Row],[1. Identifiant interne d’exploitation agricole*]]),"",IF(ISERROR(MATCH(GroupMember[[#This Row],[1. Identifiant interne d’exploitation agricole*]],CertifiedCrop[1. Identifiant interne d’exploitation agricole*],0)),FALSE,TRUE))</f>
        <v>1</v>
      </c>
      <c r="AE717" s="122" t="b">
        <f>IF(ISBLANK(GroupMember[[#This Row],[1. Identifiant interne d’exploitation agricole*]]),"",IF(ISERROR(MATCH(GroupMember[[#This Row],[1. Identifiant interne d’exploitation agricole*]],FarmUnit[1. Identifiant interne d’exploitation agricole*],0)),FALSE,TRUE))</f>
        <v>1</v>
      </c>
      <c r="AF717" s="9" t="str">
        <f t="shared" si="33"/>
        <v>SANGARE SIRIKI</v>
      </c>
      <c r="AG717" s="243" t="str">
        <f t="shared" si="34"/>
        <v>9/9/2021</v>
      </c>
      <c r="AH717" s="51">
        <f>COUNTIFS(Z:Z,Z717,AG:AG,AG717)</f>
        <v>5</v>
      </c>
      <c r="AI717" s="49">
        <f t="shared" si="35"/>
        <v>0</v>
      </c>
    </row>
    <row r="718" spans="1:35" ht="15" x14ac:dyDescent="0.2">
      <c r="A718" s="193" t="s">
        <v>2627</v>
      </c>
      <c r="B718" s="146" t="s">
        <v>668</v>
      </c>
      <c r="C718" s="193" t="s">
        <v>2627</v>
      </c>
      <c r="D718" s="211" t="s">
        <v>2349</v>
      </c>
      <c r="E718" s="146" t="s">
        <v>670</v>
      </c>
      <c r="F718" s="146" t="s">
        <v>671</v>
      </c>
      <c r="G718" s="146" t="s">
        <v>672</v>
      </c>
      <c r="H718" s="148">
        <v>2.2200000000000002</v>
      </c>
      <c r="I718" s="146" t="s">
        <v>673</v>
      </c>
      <c r="J718" s="149">
        <v>1</v>
      </c>
      <c r="K718" s="150">
        <v>2021</v>
      </c>
      <c r="L718" s="210" t="s">
        <v>701</v>
      </c>
      <c r="M718" s="211" t="s">
        <v>1773</v>
      </c>
      <c r="N718" s="212"/>
      <c r="O718" s="286"/>
      <c r="P718" s="208" t="s">
        <v>676</v>
      </c>
      <c r="Q718" s="299"/>
      <c r="R718" s="155">
        <v>4</v>
      </c>
      <c r="S718" s="168"/>
      <c r="T718" s="168"/>
      <c r="U718" s="146"/>
      <c r="V718" s="146"/>
      <c r="W718" s="146"/>
      <c r="X718" s="156">
        <v>0</v>
      </c>
      <c r="Y718" s="156">
        <v>0</v>
      </c>
      <c r="Z718" s="157" t="s">
        <v>2160</v>
      </c>
      <c r="AA718" s="174">
        <v>2021</v>
      </c>
      <c r="AB718" s="175">
        <v>9</v>
      </c>
      <c r="AC718" s="175">
        <v>17</v>
      </c>
      <c r="AD718" s="122" t="b">
        <f>IF(ISBLANK(GroupMember[[#This Row],[1. Identifiant interne d’exploitation agricole*]]),"",IF(ISERROR(MATCH(GroupMember[[#This Row],[1. Identifiant interne d’exploitation agricole*]],CertifiedCrop[1. Identifiant interne d’exploitation agricole*],0)),FALSE,TRUE))</f>
        <v>1</v>
      </c>
      <c r="AE718" s="122" t="b">
        <f>IF(ISBLANK(GroupMember[[#This Row],[1. Identifiant interne d’exploitation agricole*]]),"",IF(ISERROR(MATCH(GroupMember[[#This Row],[1. Identifiant interne d’exploitation agricole*]],FarmUnit[1. Identifiant interne d’exploitation agricole*],0)),FALSE,TRUE))</f>
        <v>1</v>
      </c>
      <c r="AF718" s="9" t="str">
        <f t="shared" si="33"/>
        <v>OUATTARA ZIE</v>
      </c>
      <c r="AG718" s="243" t="str">
        <f t="shared" si="34"/>
        <v>17/9/2021</v>
      </c>
      <c r="AH718" s="51">
        <f>COUNTIFS(Z:Z,Z718,AG:AG,AG718)</f>
        <v>5</v>
      </c>
      <c r="AI718" s="49">
        <f t="shared" si="35"/>
        <v>0</v>
      </c>
    </row>
    <row r="719" spans="1:35" ht="15" x14ac:dyDescent="0.2">
      <c r="A719" s="193" t="s">
        <v>2628</v>
      </c>
      <c r="B719" s="146" t="s">
        <v>668</v>
      </c>
      <c r="C719" s="193" t="s">
        <v>2628</v>
      </c>
      <c r="D719" s="211" t="s">
        <v>2349</v>
      </c>
      <c r="E719" s="146" t="s">
        <v>670</v>
      </c>
      <c r="F719" s="146" t="s">
        <v>671</v>
      </c>
      <c r="G719" s="146" t="s">
        <v>672</v>
      </c>
      <c r="H719" s="148">
        <v>3.93</v>
      </c>
      <c r="I719" s="146" t="s">
        <v>673</v>
      </c>
      <c r="J719" s="149">
        <v>1</v>
      </c>
      <c r="K719" s="150">
        <v>2021</v>
      </c>
      <c r="L719" s="210" t="s">
        <v>1774</v>
      </c>
      <c r="M719" s="211" t="s">
        <v>702</v>
      </c>
      <c r="N719" s="212"/>
      <c r="O719" s="281" t="s">
        <v>3348</v>
      </c>
      <c r="P719" s="208" t="s">
        <v>676</v>
      </c>
      <c r="Q719" s="217">
        <v>1992</v>
      </c>
      <c r="R719" s="155">
        <v>7</v>
      </c>
      <c r="S719" s="168"/>
      <c r="T719" s="168"/>
      <c r="U719" s="146"/>
      <c r="V719" s="146"/>
      <c r="W719" s="146"/>
      <c r="X719" s="156">
        <v>0</v>
      </c>
      <c r="Y719" s="156">
        <v>0</v>
      </c>
      <c r="Z719" s="157" t="s">
        <v>2160</v>
      </c>
      <c r="AA719" s="174">
        <v>2021</v>
      </c>
      <c r="AB719" s="175">
        <v>9</v>
      </c>
      <c r="AC719" s="175">
        <v>3</v>
      </c>
      <c r="AD719" s="122" t="b">
        <f>IF(ISBLANK(GroupMember[[#This Row],[1. Identifiant interne d’exploitation agricole*]]),"",IF(ISERROR(MATCH(GroupMember[[#This Row],[1. Identifiant interne d’exploitation agricole*]],CertifiedCrop[1. Identifiant interne d’exploitation agricole*],0)),FALSE,TRUE))</f>
        <v>1</v>
      </c>
      <c r="AE719" s="122" t="b">
        <f>IF(ISBLANK(GroupMember[[#This Row],[1. Identifiant interne d’exploitation agricole*]]),"",IF(ISERROR(MATCH(GroupMember[[#This Row],[1. Identifiant interne d’exploitation agricole*]],FarmUnit[1. Identifiant interne d’exploitation agricole*],0)),FALSE,TRUE))</f>
        <v>1</v>
      </c>
      <c r="AF719" s="9" t="str">
        <f t="shared" si="33"/>
        <v>COULIBALY AMADOU</v>
      </c>
      <c r="AG719" s="243" t="str">
        <f t="shared" si="34"/>
        <v>3/9/2021</v>
      </c>
      <c r="AH719" s="51">
        <f>COUNTIFS(Z:Z,Z719,AG:AG,AG719)</f>
        <v>5</v>
      </c>
      <c r="AI719" s="49">
        <f t="shared" si="35"/>
        <v>0</v>
      </c>
    </row>
    <row r="720" spans="1:35" ht="15" x14ac:dyDescent="0.2">
      <c r="A720" s="193" t="s">
        <v>2629</v>
      </c>
      <c r="B720" s="146" t="s">
        <v>668</v>
      </c>
      <c r="C720" s="193" t="s">
        <v>2629</v>
      </c>
      <c r="D720" s="211" t="s">
        <v>2349</v>
      </c>
      <c r="E720" s="146" t="s">
        <v>670</v>
      </c>
      <c r="F720" s="146" t="s">
        <v>671</v>
      </c>
      <c r="G720" s="146" t="s">
        <v>672</v>
      </c>
      <c r="H720" s="148">
        <v>4.67</v>
      </c>
      <c r="I720" s="146" t="s">
        <v>673</v>
      </c>
      <c r="J720" s="149">
        <v>1</v>
      </c>
      <c r="K720" s="150">
        <v>2021</v>
      </c>
      <c r="L720" s="210" t="s">
        <v>2630</v>
      </c>
      <c r="M720" s="211" t="s">
        <v>2631</v>
      </c>
      <c r="N720" s="212"/>
      <c r="O720" s="217" t="s">
        <v>3349</v>
      </c>
      <c r="P720" s="208" t="s">
        <v>676</v>
      </c>
      <c r="Q720" s="217">
        <v>1976</v>
      </c>
      <c r="R720" s="155">
        <v>8</v>
      </c>
      <c r="S720" s="168"/>
      <c r="T720" s="168"/>
      <c r="U720" s="146"/>
      <c r="V720" s="146"/>
      <c r="W720" s="146"/>
      <c r="X720" s="156">
        <v>0</v>
      </c>
      <c r="Y720" s="156">
        <v>0</v>
      </c>
      <c r="Z720" s="157" t="s">
        <v>2160</v>
      </c>
      <c r="AA720" s="174">
        <v>2021</v>
      </c>
      <c r="AB720" s="175">
        <v>9</v>
      </c>
      <c r="AC720" s="175">
        <v>17</v>
      </c>
      <c r="AD720" s="122" t="b">
        <f>IF(ISBLANK(GroupMember[[#This Row],[1. Identifiant interne d’exploitation agricole*]]),"",IF(ISERROR(MATCH(GroupMember[[#This Row],[1. Identifiant interne d’exploitation agricole*]],CertifiedCrop[1. Identifiant interne d’exploitation agricole*],0)),FALSE,TRUE))</f>
        <v>1</v>
      </c>
      <c r="AE720" s="122" t="b">
        <f>IF(ISBLANK(GroupMember[[#This Row],[1. Identifiant interne d’exploitation agricole*]]),"",IF(ISERROR(MATCH(GroupMember[[#This Row],[1. Identifiant interne d’exploitation agricole*]],FarmUnit[1. Identifiant interne d’exploitation agricole*],0)),FALSE,TRUE))</f>
        <v>1</v>
      </c>
      <c r="AF720" s="9" t="str">
        <f t="shared" si="33"/>
        <v>TOME ABOUBAKAR</v>
      </c>
      <c r="AG720" s="243" t="str">
        <f t="shared" si="34"/>
        <v>17/9/2021</v>
      </c>
      <c r="AH720" s="51">
        <f>COUNTIFS(Z:Z,Z720,AG:AG,AG720)</f>
        <v>5</v>
      </c>
      <c r="AI720" s="49">
        <f t="shared" si="35"/>
        <v>0</v>
      </c>
    </row>
    <row r="721" spans="1:35" ht="15" x14ac:dyDescent="0.2">
      <c r="A721" s="193" t="s">
        <v>2632</v>
      </c>
      <c r="B721" s="146" t="s">
        <v>668</v>
      </c>
      <c r="C721" s="193" t="s">
        <v>2632</v>
      </c>
      <c r="D721" s="211" t="s">
        <v>2349</v>
      </c>
      <c r="E721" s="146" t="s">
        <v>670</v>
      </c>
      <c r="F721" s="146" t="s">
        <v>671</v>
      </c>
      <c r="G721" s="146" t="s">
        <v>672</v>
      </c>
      <c r="H721" s="148">
        <v>2.5</v>
      </c>
      <c r="I721" s="146" t="s">
        <v>673</v>
      </c>
      <c r="J721" s="149">
        <v>1</v>
      </c>
      <c r="K721" s="150">
        <v>2021</v>
      </c>
      <c r="L721" s="210" t="s">
        <v>2263</v>
      </c>
      <c r="M721" s="211" t="s">
        <v>1624</v>
      </c>
      <c r="N721" s="212" t="s">
        <v>2633</v>
      </c>
      <c r="O721" s="217" t="s">
        <v>3350</v>
      </c>
      <c r="P721" s="208" t="s">
        <v>676</v>
      </c>
      <c r="Q721" s="217">
        <v>1986</v>
      </c>
      <c r="R721" s="155">
        <v>6</v>
      </c>
      <c r="S721" s="168"/>
      <c r="T721" s="168"/>
      <c r="U721" s="146"/>
      <c r="V721" s="146"/>
      <c r="W721" s="146"/>
      <c r="X721" s="156">
        <v>0</v>
      </c>
      <c r="Y721" s="156">
        <v>0</v>
      </c>
      <c r="Z721" s="157" t="s">
        <v>2160</v>
      </c>
      <c r="AA721" s="174">
        <v>2021</v>
      </c>
      <c r="AB721" s="175">
        <v>9</v>
      </c>
      <c r="AC721" s="175">
        <v>6</v>
      </c>
      <c r="AD721" s="122" t="b">
        <f>IF(ISBLANK(GroupMember[[#This Row],[1. Identifiant interne d’exploitation agricole*]]),"",IF(ISERROR(MATCH(GroupMember[[#This Row],[1. Identifiant interne d’exploitation agricole*]],CertifiedCrop[1. Identifiant interne d’exploitation agricole*],0)),FALSE,TRUE))</f>
        <v>1</v>
      </c>
      <c r="AE721" s="122" t="b">
        <f>IF(ISBLANK(GroupMember[[#This Row],[1. Identifiant interne d’exploitation agricole*]]),"",IF(ISERROR(MATCH(GroupMember[[#This Row],[1. Identifiant interne d’exploitation agricole*]],FarmUnit[1. Identifiant interne d’exploitation agricole*],0)),FALSE,TRUE))</f>
        <v>1</v>
      </c>
      <c r="AF721" s="9" t="str">
        <f t="shared" si="33"/>
        <v>BALO SOULEYMANE</v>
      </c>
      <c r="AG721" s="243" t="str">
        <f t="shared" si="34"/>
        <v>6/9/2021</v>
      </c>
      <c r="AH721" s="51">
        <f>COUNTIFS(Z:Z,Z721,AG:AG,AG721)</f>
        <v>4</v>
      </c>
      <c r="AI721" s="49">
        <f t="shared" si="35"/>
        <v>0</v>
      </c>
    </row>
    <row r="722" spans="1:35" ht="15" x14ac:dyDescent="0.2">
      <c r="A722" s="193" t="s">
        <v>2634</v>
      </c>
      <c r="B722" s="146" t="s">
        <v>668</v>
      </c>
      <c r="C722" s="193" t="s">
        <v>2634</v>
      </c>
      <c r="D722" s="211" t="s">
        <v>2349</v>
      </c>
      <c r="E722" s="146" t="s">
        <v>670</v>
      </c>
      <c r="F722" s="146" t="s">
        <v>671</v>
      </c>
      <c r="G722" s="146" t="s">
        <v>672</v>
      </c>
      <c r="H722" s="148">
        <v>2.79</v>
      </c>
      <c r="I722" s="146" t="s">
        <v>673</v>
      </c>
      <c r="J722" s="149">
        <v>1</v>
      </c>
      <c r="K722" s="150">
        <v>2021</v>
      </c>
      <c r="L722" s="210" t="s">
        <v>1104</v>
      </c>
      <c r="M722" s="211" t="s">
        <v>2280</v>
      </c>
      <c r="N722" s="212" t="s">
        <v>2635</v>
      </c>
      <c r="O722" s="282" t="s">
        <v>3351</v>
      </c>
      <c r="P722" s="208" t="s">
        <v>676</v>
      </c>
      <c r="Q722" s="217">
        <v>1989</v>
      </c>
      <c r="R722" s="155">
        <v>8</v>
      </c>
      <c r="S722" s="168"/>
      <c r="T722" s="168"/>
      <c r="U722" s="146"/>
      <c r="V722" s="146"/>
      <c r="W722" s="146"/>
      <c r="X722" s="156">
        <v>0</v>
      </c>
      <c r="Y722" s="156">
        <v>0</v>
      </c>
      <c r="Z722" s="157" t="s">
        <v>2160</v>
      </c>
      <c r="AA722" s="174">
        <v>2021</v>
      </c>
      <c r="AB722" s="175">
        <v>9</v>
      </c>
      <c r="AC722" s="175">
        <v>16</v>
      </c>
      <c r="AD722" s="122" t="b">
        <f>IF(ISBLANK(GroupMember[[#This Row],[1. Identifiant interne d’exploitation agricole*]]),"",IF(ISERROR(MATCH(GroupMember[[#This Row],[1. Identifiant interne d’exploitation agricole*]],CertifiedCrop[1. Identifiant interne d’exploitation agricole*],0)),FALSE,TRUE))</f>
        <v>1</v>
      </c>
      <c r="AE722" s="122" t="b">
        <f>IF(ISBLANK(GroupMember[[#This Row],[1. Identifiant interne d’exploitation agricole*]]),"",IF(ISERROR(MATCH(GroupMember[[#This Row],[1. Identifiant interne d’exploitation agricole*]],FarmUnit[1. Identifiant interne d’exploitation agricole*],0)),FALSE,TRUE))</f>
        <v>1</v>
      </c>
      <c r="AF722" s="9" t="str">
        <f t="shared" si="33"/>
        <v>RAMDE MOUMOUNI</v>
      </c>
      <c r="AG722" s="243" t="str">
        <f t="shared" si="34"/>
        <v>16/9/2021</v>
      </c>
      <c r="AH722" s="51">
        <f>COUNTIFS(Z:Z,Z722,AG:AG,AG722)</f>
        <v>5</v>
      </c>
      <c r="AI722" s="49">
        <f t="shared" si="35"/>
        <v>0</v>
      </c>
    </row>
    <row r="723" spans="1:35" ht="15" x14ac:dyDescent="0.2">
      <c r="A723" s="193" t="s">
        <v>2636</v>
      </c>
      <c r="B723" s="146" t="s">
        <v>668</v>
      </c>
      <c r="C723" s="193" t="s">
        <v>2636</v>
      </c>
      <c r="D723" s="211" t="s">
        <v>2349</v>
      </c>
      <c r="E723" s="146" t="s">
        <v>670</v>
      </c>
      <c r="F723" s="146" t="s">
        <v>671</v>
      </c>
      <c r="G723" s="146" t="s">
        <v>672</v>
      </c>
      <c r="H723" s="148">
        <v>2.99</v>
      </c>
      <c r="I723" s="146" t="s">
        <v>673</v>
      </c>
      <c r="J723" s="149">
        <v>1</v>
      </c>
      <c r="K723" s="150">
        <v>2021</v>
      </c>
      <c r="L723" s="210" t="s">
        <v>715</v>
      </c>
      <c r="M723" s="211" t="s">
        <v>2637</v>
      </c>
      <c r="N723" s="212"/>
      <c r="O723" s="211"/>
      <c r="P723" s="208" t="s">
        <v>676</v>
      </c>
      <c r="Q723" s="299"/>
      <c r="R723" s="155">
        <v>7</v>
      </c>
      <c r="S723" s="168"/>
      <c r="T723" s="168"/>
      <c r="U723" s="146"/>
      <c r="V723" s="146"/>
      <c r="W723" s="146"/>
      <c r="X723" s="156">
        <v>0</v>
      </c>
      <c r="Y723" s="156">
        <v>0</v>
      </c>
      <c r="Z723" s="157" t="s">
        <v>2160</v>
      </c>
      <c r="AA723" s="174">
        <v>2021</v>
      </c>
      <c r="AB723" s="175">
        <v>9</v>
      </c>
      <c r="AC723" s="175">
        <v>7</v>
      </c>
      <c r="AD723" s="122" t="b">
        <f>IF(ISBLANK(GroupMember[[#This Row],[1. Identifiant interne d’exploitation agricole*]]),"",IF(ISERROR(MATCH(GroupMember[[#This Row],[1. Identifiant interne d’exploitation agricole*]],CertifiedCrop[1. Identifiant interne d’exploitation agricole*],0)),FALSE,TRUE))</f>
        <v>1</v>
      </c>
      <c r="AE723" s="122" t="b">
        <f>IF(ISBLANK(GroupMember[[#This Row],[1. Identifiant interne d’exploitation agricole*]]),"",IF(ISERROR(MATCH(GroupMember[[#This Row],[1. Identifiant interne d’exploitation agricole*]],FarmUnit[1. Identifiant interne d’exploitation agricole*],0)),FALSE,TRUE))</f>
        <v>1</v>
      </c>
      <c r="AF723" s="9" t="str">
        <f t="shared" si="33"/>
        <v>TRAORE ABDOUL</v>
      </c>
      <c r="AG723" s="243" t="str">
        <f t="shared" si="34"/>
        <v>7/9/2021</v>
      </c>
      <c r="AH723" s="51">
        <f>COUNTIFS(Z:Z,Z723,AG:AG,AG723)</f>
        <v>4</v>
      </c>
      <c r="AI723" s="49">
        <f t="shared" si="35"/>
        <v>0</v>
      </c>
    </row>
    <row r="724" spans="1:35" ht="15" x14ac:dyDescent="0.2">
      <c r="A724" s="193" t="s">
        <v>2638</v>
      </c>
      <c r="B724" s="146" t="s">
        <v>668</v>
      </c>
      <c r="C724" s="193" t="s">
        <v>2638</v>
      </c>
      <c r="D724" s="211" t="s">
        <v>2349</v>
      </c>
      <c r="E724" s="146" t="s">
        <v>670</v>
      </c>
      <c r="F724" s="146" t="s">
        <v>671</v>
      </c>
      <c r="G724" s="146" t="s">
        <v>672</v>
      </c>
      <c r="H724" s="148">
        <v>2.5</v>
      </c>
      <c r="I724" s="146" t="s">
        <v>673</v>
      </c>
      <c r="J724" s="149">
        <v>1</v>
      </c>
      <c r="K724" s="150">
        <v>2021</v>
      </c>
      <c r="L724" s="210" t="s">
        <v>682</v>
      </c>
      <c r="M724" s="211" t="s">
        <v>2639</v>
      </c>
      <c r="N724" s="212" t="s">
        <v>2640</v>
      </c>
      <c r="O724" s="211"/>
      <c r="P724" s="208" t="s">
        <v>676</v>
      </c>
      <c r="Q724" s="150"/>
      <c r="R724" s="155">
        <v>5</v>
      </c>
      <c r="S724" s="168"/>
      <c r="T724" s="168"/>
      <c r="U724" s="146"/>
      <c r="V724" s="146"/>
      <c r="W724" s="146"/>
      <c r="X724" s="156">
        <v>0</v>
      </c>
      <c r="Y724" s="156">
        <v>0</v>
      </c>
      <c r="Z724" s="157" t="s">
        <v>2160</v>
      </c>
      <c r="AA724" s="174">
        <v>2021</v>
      </c>
      <c r="AB724" s="175">
        <v>9</v>
      </c>
      <c r="AC724" s="175">
        <v>11</v>
      </c>
      <c r="AD724" s="122" t="b">
        <f>IF(ISBLANK(GroupMember[[#This Row],[1. Identifiant interne d’exploitation agricole*]]),"",IF(ISERROR(MATCH(GroupMember[[#This Row],[1. Identifiant interne d’exploitation agricole*]],CertifiedCrop[1. Identifiant interne d’exploitation agricole*],0)),FALSE,TRUE))</f>
        <v>1</v>
      </c>
      <c r="AE724" s="122" t="b">
        <f>IF(ISBLANK(GroupMember[[#This Row],[1. Identifiant interne d’exploitation agricole*]]),"",IF(ISERROR(MATCH(GroupMember[[#This Row],[1. Identifiant interne d’exploitation agricole*]],FarmUnit[1. Identifiant interne d’exploitation agricole*],0)),FALSE,TRUE))</f>
        <v>1</v>
      </c>
      <c r="AF724" s="9" t="str">
        <f t="shared" si="33"/>
        <v>SANGARE MORY</v>
      </c>
      <c r="AG724" s="243" t="str">
        <f t="shared" si="34"/>
        <v>11/9/2021</v>
      </c>
      <c r="AH724" s="51">
        <f>COUNTIFS(Z:Z,Z724,AG:AG,AG724)</f>
        <v>5</v>
      </c>
      <c r="AI724" s="49">
        <f t="shared" si="35"/>
        <v>0</v>
      </c>
    </row>
    <row r="725" spans="1:35" ht="15" x14ac:dyDescent="0.2">
      <c r="A725" s="193" t="s">
        <v>2641</v>
      </c>
      <c r="B725" s="146" t="s">
        <v>668</v>
      </c>
      <c r="C725" s="193" t="s">
        <v>2641</v>
      </c>
      <c r="D725" s="211" t="s">
        <v>2349</v>
      </c>
      <c r="E725" s="146" t="s">
        <v>670</v>
      </c>
      <c r="F725" s="146" t="s">
        <v>671</v>
      </c>
      <c r="G725" s="146" t="s">
        <v>672</v>
      </c>
      <c r="H725" s="148">
        <v>3.07</v>
      </c>
      <c r="I725" s="146" t="s">
        <v>673</v>
      </c>
      <c r="J725" s="149">
        <v>1</v>
      </c>
      <c r="K725" s="150">
        <v>2021</v>
      </c>
      <c r="L725" s="210" t="s">
        <v>701</v>
      </c>
      <c r="M725" s="211" t="s">
        <v>2642</v>
      </c>
      <c r="N725" s="212"/>
      <c r="O725" s="211"/>
      <c r="P725" s="208" t="s">
        <v>676</v>
      </c>
      <c r="Q725" s="150"/>
      <c r="R725" s="155">
        <v>5</v>
      </c>
      <c r="S725" s="168"/>
      <c r="T725" s="168"/>
      <c r="U725" s="146"/>
      <c r="V725" s="146"/>
      <c r="W725" s="146"/>
      <c r="X725" s="156">
        <v>0</v>
      </c>
      <c r="Y725" s="156">
        <v>0</v>
      </c>
      <c r="Z725" s="157" t="s">
        <v>2160</v>
      </c>
      <c r="AA725" s="174">
        <v>2021</v>
      </c>
      <c r="AB725" s="175">
        <v>9</v>
      </c>
      <c r="AC725" s="175">
        <v>14</v>
      </c>
      <c r="AD725" s="122" t="b">
        <f>IF(ISBLANK(GroupMember[[#This Row],[1. Identifiant interne d’exploitation agricole*]]),"",IF(ISERROR(MATCH(GroupMember[[#This Row],[1. Identifiant interne d’exploitation agricole*]],CertifiedCrop[1. Identifiant interne d’exploitation agricole*],0)),FALSE,TRUE))</f>
        <v>1</v>
      </c>
      <c r="AE725" s="122" t="b">
        <f>IF(ISBLANK(GroupMember[[#This Row],[1. Identifiant interne d’exploitation agricole*]]),"",IF(ISERROR(MATCH(GroupMember[[#This Row],[1. Identifiant interne d’exploitation agricole*]],FarmUnit[1. Identifiant interne d’exploitation agricole*],0)),FALSE,TRUE))</f>
        <v>1</v>
      </c>
      <c r="AF725" s="9" t="str">
        <f t="shared" si="33"/>
        <v>OUATTARA ZANGAH</v>
      </c>
      <c r="AG725" s="243" t="str">
        <f t="shared" si="34"/>
        <v>14/9/2021</v>
      </c>
      <c r="AH725" s="51">
        <f>COUNTIFS(Z:Z,Z725,AG:AG,AG725)</f>
        <v>4</v>
      </c>
      <c r="AI725" s="49">
        <f t="shared" si="35"/>
        <v>0</v>
      </c>
    </row>
    <row r="726" spans="1:35" ht="15" x14ac:dyDescent="0.2">
      <c r="A726" s="193" t="s">
        <v>2643</v>
      </c>
      <c r="B726" s="146" t="s">
        <v>668</v>
      </c>
      <c r="C726" s="193" t="s">
        <v>2643</v>
      </c>
      <c r="D726" s="211" t="s">
        <v>2349</v>
      </c>
      <c r="E726" s="146" t="s">
        <v>670</v>
      </c>
      <c r="F726" s="146" t="s">
        <v>671</v>
      </c>
      <c r="G726" s="146" t="s">
        <v>672</v>
      </c>
      <c r="H726" s="148">
        <v>5.26</v>
      </c>
      <c r="I726" s="146" t="s">
        <v>673</v>
      </c>
      <c r="J726" s="149">
        <v>1</v>
      </c>
      <c r="K726" s="150">
        <v>2021</v>
      </c>
      <c r="L726" s="210" t="s">
        <v>2644</v>
      </c>
      <c r="M726" s="211" t="s">
        <v>2372</v>
      </c>
      <c r="N726" s="212"/>
      <c r="O726" s="211"/>
      <c r="P726" s="208" t="s">
        <v>676</v>
      </c>
      <c r="Q726" s="278"/>
      <c r="R726" s="155">
        <v>4</v>
      </c>
      <c r="S726" s="168"/>
      <c r="T726" s="168"/>
      <c r="U726" s="146"/>
      <c r="V726" s="146"/>
      <c r="W726" s="146"/>
      <c r="X726" s="156">
        <v>0</v>
      </c>
      <c r="Y726" s="156">
        <v>0</v>
      </c>
      <c r="Z726" s="157" t="s">
        <v>2160</v>
      </c>
      <c r="AA726" s="174">
        <v>2021</v>
      </c>
      <c r="AB726" s="175">
        <v>9</v>
      </c>
      <c r="AC726" s="175">
        <v>3</v>
      </c>
      <c r="AD726" s="122" t="b">
        <f>IF(ISBLANK(GroupMember[[#This Row],[1. Identifiant interne d’exploitation agricole*]]),"",IF(ISERROR(MATCH(GroupMember[[#This Row],[1. Identifiant interne d’exploitation agricole*]],CertifiedCrop[1. Identifiant interne d’exploitation agricole*],0)),FALSE,TRUE))</f>
        <v>1</v>
      </c>
      <c r="AE726" s="122" t="b">
        <f>IF(ISBLANK(GroupMember[[#This Row],[1. Identifiant interne d’exploitation agricole*]]),"",IF(ISERROR(MATCH(GroupMember[[#This Row],[1. Identifiant interne d’exploitation agricole*]],FarmUnit[1. Identifiant interne d’exploitation agricole*],0)),FALSE,TRUE))</f>
        <v>1</v>
      </c>
      <c r="AF726" s="9" t="str">
        <f t="shared" si="33"/>
        <v>KIENDREBEOGO DIEUDONNE</v>
      </c>
      <c r="AG726" s="243" t="str">
        <f t="shared" si="34"/>
        <v>3/9/2021</v>
      </c>
      <c r="AH726" s="51">
        <f>COUNTIFS(Z:Z,Z726,AG:AG,AG726)</f>
        <v>5</v>
      </c>
      <c r="AI726" s="49">
        <f t="shared" si="35"/>
        <v>0</v>
      </c>
    </row>
    <row r="727" spans="1:35" ht="15" x14ac:dyDescent="0.2">
      <c r="A727" s="193" t="s">
        <v>2645</v>
      </c>
      <c r="B727" s="146" t="s">
        <v>668</v>
      </c>
      <c r="C727" s="193" t="s">
        <v>2645</v>
      </c>
      <c r="D727" s="211" t="s">
        <v>2349</v>
      </c>
      <c r="E727" s="146" t="s">
        <v>670</v>
      </c>
      <c r="F727" s="146" t="s">
        <v>671</v>
      </c>
      <c r="G727" s="146" t="s">
        <v>672</v>
      </c>
      <c r="H727" s="148">
        <v>0.97</v>
      </c>
      <c r="I727" s="146" t="s">
        <v>673</v>
      </c>
      <c r="J727" s="149">
        <v>1</v>
      </c>
      <c r="K727" s="150">
        <v>2021</v>
      </c>
      <c r="L727" s="210" t="s">
        <v>2646</v>
      </c>
      <c r="M727" s="211" t="s">
        <v>2647</v>
      </c>
      <c r="N727" s="212"/>
      <c r="O727" s="211"/>
      <c r="P727" s="208" t="s">
        <v>676</v>
      </c>
      <c r="Q727" s="278"/>
      <c r="R727" s="155">
        <v>5</v>
      </c>
      <c r="S727" s="168"/>
      <c r="T727" s="168"/>
      <c r="U727" s="146"/>
      <c r="V727" s="146"/>
      <c r="W727" s="146"/>
      <c r="X727" s="156">
        <v>0</v>
      </c>
      <c r="Y727" s="156">
        <v>0</v>
      </c>
      <c r="Z727" s="157" t="s">
        <v>2160</v>
      </c>
      <c r="AA727" s="174">
        <v>2021</v>
      </c>
      <c r="AB727" s="175">
        <v>9</v>
      </c>
      <c r="AC727" s="175">
        <v>9</v>
      </c>
      <c r="AD727" s="122" t="b">
        <f>IF(ISBLANK(GroupMember[[#This Row],[1. Identifiant interne d’exploitation agricole*]]),"",IF(ISERROR(MATCH(GroupMember[[#This Row],[1. Identifiant interne d’exploitation agricole*]],CertifiedCrop[1. Identifiant interne d’exploitation agricole*],0)),FALSE,TRUE))</f>
        <v>1</v>
      </c>
      <c r="AE727" s="122" t="b">
        <f>IF(ISBLANK(GroupMember[[#This Row],[1. Identifiant interne d’exploitation agricole*]]),"",IF(ISERROR(MATCH(GroupMember[[#This Row],[1. Identifiant interne d’exploitation agricole*]],FarmUnit[1. Identifiant interne d’exploitation agricole*],0)),FALSE,TRUE))</f>
        <v>1</v>
      </c>
      <c r="AF727" s="9" t="str">
        <f t="shared" si="33"/>
        <v>GUI ROMEO</v>
      </c>
      <c r="AG727" s="243" t="str">
        <f t="shared" si="34"/>
        <v>9/9/2021</v>
      </c>
      <c r="AH727" s="51">
        <f>COUNTIFS(Z:Z,Z727,AG:AG,AG727)</f>
        <v>5</v>
      </c>
      <c r="AI727" s="49">
        <f t="shared" si="35"/>
        <v>0</v>
      </c>
    </row>
    <row r="728" spans="1:35" ht="15" x14ac:dyDescent="0.2">
      <c r="A728" s="193" t="s">
        <v>2648</v>
      </c>
      <c r="B728" s="146" t="s">
        <v>668</v>
      </c>
      <c r="C728" s="193" t="s">
        <v>2648</v>
      </c>
      <c r="D728" s="211" t="s">
        <v>2349</v>
      </c>
      <c r="E728" s="146" t="s">
        <v>670</v>
      </c>
      <c r="F728" s="146" t="s">
        <v>671</v>
      </c>
      <c r="G728" s="146" t="s">
        <v>672</v>
      </c>
      <c r="H728" s="148">
        <v>3.18</v>
      </c>
      <c r="I728" s="146" t="s">
        <v>673</v>
      </c>
      <c r="J728" s="149">
        <v>1</v>
      </c>
      <c r="K728" s="150">
        <v>2021</v>
      </c>
      <c r="L728" s="210" t="s">
        <v>2649</v>
      </c>
      <c r="M728" s="211" t="s">
        <v>2650</v>
      </c>
      <c r="N728" s="212"/>
      <c r="O728" s="217" t="s">
        <v>3352</v>
      </c>
      <c r="P728" s="208" t="s">
        <v>676</v>
      </c>
      <c r="Q728" s="217">
        <v>1983</v>
      </c>
      <c r="R728" s="155">
        <v>5</v>
      </c>
      <c r="S728" s="168"/>
      <c r="T728" s="168"/>
      <c r="U728" s="146"/>
      <c r="V728" s="146"/>
      <c r="W728" s="146"/>
      <c r="X728" s="156">
        <v>0</v>
      </c>
      <c r="Y728" s="156">
        <v>0</v>
      </c>
      <c r="Z728" s="157" t="s">
        <v>2160</v>
      </c>
      <c r="AA728" s="174">
        <v>2021</v>
      </c>
      <c r="AB728" s="175">
        <v>9</v>
      </c>
      <c r="AC728" s="175">
        <v>11</v>
      </c>
      <c r="AD728" s="122" t="b">
        <f>IF(ISBLANK(GroupMember[[#This Row],[1. Identifiant interne d’exploitation agricole*]]),"",IF(ISERROR(MATCH(GroupMember[[#This Row],[1. Identifiant interne d’exploitation agricole*]],CertifiedCrop[1. Identifiant interne d’exploitation agricole*],0)),FALSE,TRUE))</f>
        <v>1</v>
      </c>
      <c r="AE728" s="122" t="b">
        <f>IF(ISBLANK(GroupMember[[#This Row],[1. Identifiant interne d’exploitation agricole*]]),"",IF(ISERROR(MATCH(GroupMember[[#This Row],[1. Identifiant interne d’exploitation agricole*]],FarmUnit[1. Identifiant interne d’exploitation agricole*],0)),FALSE,TRUE))</f>
        <v>1</v>
      </c>
      <c r="AF728" s="9" t="str">
        <f t="shared" si="33"/>
        <v>WEYA KOKOUNSEU BERTIN</v>
      </c>
      <c r="AG728" s="243" t="str">
        <f t="shared" si="34"/>
        <v>11/9/2021</v>
      </c>
      <c r="AH728" s="51">
        <f>COUNTIFS(Z:Z,Z728,AG:AG,AG728)</f>
        <v>5</v>
      </c>
      <c r="AI728" s="49">
        <f t="shared" si="35"/>
        <v>0</v>
      </c>
    </row>
    <row r="729" spans="1:35" ht="15" x14ac:dyDescent="0.2">
      <c r="A729" s="193" t="s">
        <v>2651</v>
      </c>
      <c r="B729" s="146" t="s">
        <v>668</v>
      </c>
      <c r="C729" s="193" t="s">
        <v>2651</v>
      </c>
      <c r="D729" s="211" t="s">
        <v>2349</v>
      </c>
      <c r="E729" s="146" t="s">
        <v>670</v>
      </c>
      <c r="F729" s="146" t="s">
        <v>671</v>
      </c>
      <c r="G729" s="146" t="s">
        <v>672</v>
      </c>
      <c r="H729" s="148">
        <v>1.5</v>
      </c>
      <c r="I729" s="146" t="s">
        <v>673</v>
      </c>
      <c r="J729" s="149">
        <v>1</v>
      </c>
      <c r="K729" s="150">
        <v>2021</v>
      </c>
      <c r="L729" s="210" t="s">
        <v>2646</v>
      </c>
      <c r="M729" s="211" t="s">
        <v>2652</v>
      </c>
      <c r="N729" s="212"/>
      <c r="O729" s="282" t="s">
        <v>3353</v>
      </c>
      <c r="P729" s="208" t="s">
        <v>751</v>
      </c>
      <c r="Q729" s="217">
        <v>1988</v>
      </c>
      <c r="R729" s="155">
        <v>6</v>
      </c>
      <c r="S729" s="168"/>
      <c r="T729" s="168"/>
      <c r="U729" s="146"/>
      <c r="V729" s="146"/>
      <c r="W729" s="146"/>
      <c r="X729" s="156">
        <v>0</v>
      </c>
      <c r="Y729" s="156">
        <v>0</v>
      </c>
      <c r="Z729" s="157" t="s">
        <v>2160</v>
      </c>
      <c r="AA729" s="174">
        <v>2021</v>
      </c>
      <c r="AB729" s="175">
        <v>9</v>
      </c>
      <c r="AC729" s="175">
        <v>4</v>
      </c>
      <c r="AD729" s="122" t="b">
        <f>IF(ISBLANK(GroupMember[[#This Row],[1. Identifiant interne d’exploitation agricole*]]),"",IF(ISERROR(MATCH(GroupMember[[#This Row],[1. Identifiant interne d’exploitation agricole*]],CertifiedCrop[1. Identifiant interne d’exploitation agricole*],0)),FALSE,TRUE))</f>
        <v>1</v>
      </c>
      <c r="AE729" s="122" t="b">
        <f>IF(ISBLANK(GroupMember[[#This Row],[1. Identifiant interne d’exploitation agricole*]]),"",IF(ISERROR(MATCH(GroupMember[[#This Row],[1. Identifiant interne d’exploitation agricole*]],FarmUnit[1. Identifiant interne d’exploitation agricole*],0)),FALSE,TRUE))</f>
        <v>1</v>
      </c>
      <c r="AF729" s="9" t="str">
        <f t="shared" si="33"/>
        <v>GUI ALINE</v>
      </c>
      <c r="AG729" s="243" t="str">
        <f t="shared" si="34"/>
        <v>4/9/2021</v>
      </c>
      <c r="AH729" s="51">
        <f>COUNTIFS(Z:Z,Z729,AG:AG,AG729)</f>
        <v>5</v>
      </c>
      <c r="AI729" s="49">
        <f t="shared" si="35"/>
        <v>0</v>
      </c>
    </row>
    <row r="730" spans="1:35" ht="15" x14ac:dyDescent="0.2">
      <c r="A730" s="193" t="s">
        <v>2653</v>
      </c>
      <c r="B730" s="146" t="s">
        <v>668</v>
      </c>
      <c r="C730" s="193" t="s">
        <v>2653</v>
      </c>
      <c r="D730" s="211" t="s">
        <v>2349</v>
      </c>
      <c r="E730" s="146" t="s">
        <v>670</v>
      </c>
      <c r="F730" s="146" t="s">
        <v>671</v>
      </c>
      <c r="G730" s="146" t="s">
        <v>672</v>
      </c>
      <c r="H730" s="148">
        <v>4</v>
      </c>
      <c r="I730" s="146" t="s">
        <v>673</v>
      </c>
      <c r="J730" s="149">
        <v>1</v>
      </c>
      <c r="K730" s="150">
        <v>2021</v>
      </c>
      <c r="L730" s="210" t="s">
        <v>715</v>
      </c>
      <c r="M730" s="211" t="s">
        <v>2654</v>
      </c>
      <c r="N730" s="212"/>
      <c r="O730" s="217" t="s">
        <v>3354</v>
      </c>
      <c r="P730" s="208" t="s">
        <v>676</v>
      </c>
      <c r="Q730" s="217">
        <v>1970</v>
      </c>
      <c r="R730" s="155">
        <v>8</v>
      </c>
      <c r="S730" s="168"/>
      <c r="T730" s="168"/>
      <c r="U730" s="146"/>
      <c r="V730" s="146"/>
      <c r="W730" s="146"/>
      <c r="X730" s="156">
        <v>0</v>
      </c>
      <c r="Y730" s="156">
        <v>0</v>
      </c>
      <c r="Z730" s="157" t="s">
        <v>2160</v>
      </c>
      <c r="AA730" s="174">
        <v>2021</v>
      </c>
      <c r="AB730" s="175">
        <v>9</v>
      </c>
      <c r="AC730" s="175">
        <v>14</v>
      </c>
      <c r="AD730" s="122" t="b">
        <f>IF(ISBLANK(GroupMember[[#This Row],[1. Identifiant interne d’exploitation agricole*]]),"",IF(ISERROR(MATCH(GroupMember[[#This Row],[1. Identifiant interne d’exploitation agricole*]],CertifiedCrop[1. Identifiant interne d’exploitation agricole*],0)),FALSE,TRUE))</f>
        <v>1</v>
      </c>
      <c r="AE730" s="122" t="b">
        <f>IF(ISBLANK(GroupMember[[#This Row],[1. Identifiant interne d’exploitation agricole*]]),"",IF(ISERROR(MATCH(GroupMember[[#This Row],[1. Identifiant interne d’exploitation agricole*]],FarmUnit[1. Identifiant interne d’exploitation agricole*],0)),FALSE,TRUE))</f>
        <v>1</v>
      </c>
      <c r="AF730" s="9" t="str">
        <f t="shared" si="33"/>
        <v>TRAORE AHMED</v>
      </c>
      <c r="AG730" s="243" t="str">
        <f t="shared" si="34"/>
        <v>14/9/2021</v>
      </c>
      <c r="AH730" s="51">
        <f>COUNTIFS(Z:Z,Z730,AG:AG,AG730)</f>
        <v>4</v>
      </c>
      <c r="AI730" s="49">
        <f t="shared" si="35"/>
        <v>0</v>
      </c>
    </row>
    <row r="731" spans="1:35" ht="15" x14ac:dyDescent="0.2">
      <c r="A731" s="193" t="s">
        <v>2655</v>
      </c>
      <c r="B731" s="146" t="s">
        <v>668</v>
      </c>
      <c r="C731" s="193" t="s">
        <v>2655</v>
      </c>
      <c r="D731" s="211" t="s">
        <v>2349</v>
      </c>
      <c r="E731" s="146" t="s">
        <v>670</v>
      </c>
      <c r="F731" s="146" t="s">
        <v>671</v>
      </c>
      <c r="G731" s="146" t="s">
        <v>672</v>
      </c>
      <c r="H731" s="148">
        <v>2.23</v>
      </c>
      <c r="I731" s="146" t="s">
        <v>673</v>
      </c>
      <c r="J731" s="149">
        <v>1</v>
      </c>
      <c r="K731" s="150">
        <v>2021</v>
      </c>
      <c r="L731" s="210" t="s">
        <v>2656</v>
      </c>
      <c r="M731" s="211" t="s">
        <v>2351</v>
      </c>
      <c r="N731" s="212"/>
      <c r="O731" s="217" t="s">
        <v>3355</v>
      </c>
      <c r="P731" s="208" t="s">
        <v>676</v>
      </c>
      <c r="Q731" s="217">
        <v>1979</v>
      </c>
      <c r="R731" s="155">
        <v>5</v>
      </c>
      <c r="S731" s="168"/>
      <c r="T731" s="168"/>
      <c r="U731" s="146"/>
      <c r="V731" s="146"/>
      <c r="W731" s="146"/>
      <c r="X731" s="156">
        <v>0</v>
      </c>
      <c r="Y731" s="156">
        <v>0</v>
      </c>
      <c r="Z731" s="157" t="s">
        <v>2160</v>
      </c>
      <c r="AA731" s="174">
        <v>2021</v>
      </c>
      <c r="AB731" s="175">
        <v>9</v>
      </c>
      <c r="AC731" s="175">
        <v>8</v>
      </c>
      <c r="AD731" s="122" t="b">
        <f>IF(ISBLANK(GroupMember[[#This Row],[1. Identifiant interne d’exploitation agricole*]]),"",IF(ISERROR(MATCH(GroupMember[[#This Row],[1. Identifiant interne d’exploitation agricole*]],CertifiedCrop[1. Identifiant interne d’exploitation agricole*],0)),FALSE,TRUE))</f>
        <v>1</v>
      </c>
      <c r="AE731" s="122" t="b">
        <f>IF(ISBLANK(GroupMember[[#This Row],[1. Identifiant interne d’exploitation agricole*]]),"",IF(ISERROR(MATCH(GroupMember[[#This Row],[1. Identifiant interne d’exploitation agricole*]],FarmUnit[1. Identifiant interne d’exploitation agricole*],0)),FALSE,TRUE))</f>
        <v>1</v>
      </c>
      <c r="AF731" s="9" t="str">
        <f t="shared" si="33"/>
        <v>SONDO ISSIAKA</v>
      </c>
      <c r="AG731" s="243" t="str">
        <f t="shared" si="34"/>
        <v>8/9/2021</v>
      </c>
      <c r="AH731" s="51">
        <f>COUNTIFS(Z:Z,Z731,AG:AG,AG731)</f>
        <v>5</v>
      </c>
      <c r="AI731" s="49">
        <f t="shared" si="35"/>
        <v>0</v>
      </c>
    </row>
    <row r="732" spans="1:35" ht="15" x14ac:dyDescent="0.2">
      <c r="A732" s="193" t="s">
        <v>2657</v>
      </c>
      <c r="B732" s="146" t="s">
        <v>668</v>
      </c>
      <c r="C732" s="193" t="s">
        <v>2657</v>
      </c>
      <c r="D732" s="211" t="s">
        <v>2349</v>
      </c>
      <c r="E732" s="146" t="s">
        <v>670</v>
      </c>
      <c r="F732" s="146" t="s">
        <v>671</v>
      </c>
      <c r="G732" s="146" t="s">
        <v>672</v>
      </c>
      <c r="H732" s="148">
        <v>3.25</v>
      </c>
      <c r="I732" s="146" t="s">
        <v>673</v>
      </c>
      <c r="J732" s="149">
        <v>1</v>
      </c>
      <c r="K732" s="150">
        <v>2021</v>
      </c>
      <c r="L732" s="210" t="s">
        <v>2658</v>
      </c>
      <c r="M732" s="211" t="s">
        <v>2351</v>
      </c>
      <c r="N732" s="212"/>
      <c r="O732" s="217" t="s">
        <v>3356</v>
      </c>
      <c r="P732" s="208" t="s">
        <v>676</v>
      </c>
      <c r="Q732" s="217">
        <v>1991</v>
      </c>
      <c r="R732" s="155">
        <v>7</v>
      </c>
      <c r="S732" s="168"/>
      <c r="T732" s="168"/>
      <c r="U732" s="146"/>
      <c r="V732" s="146"/>
      <c r="W732" s="146"/>
      <c r="X732" s="156">
        <v>0</v>
      </c>
      <c r="Y732" s="156">
        <v>0</v>
      </c>
      <c r="Z732" s="157" t="s">
        <v>2160</v>
      </c>
      <c r="AA732" s="174">
        <v>2021</v>
      </c>
      <c r="AB732" s="175">
        <v>9</v>
      </c>
      <c r="AC732" s="175">
        <v>15</v>
      </c>
      <c r="AD732" s="122" t="b">
        <f>IF(ISBLANK(GroupMember[[#This Row],[1. Identifiant interne d’exploitation agricole*]]),"",IF(ISERROR(MATCH(GroupMember[[#This Row],[1. Identifiant interne d’exploitation agricole*]],CertifiedCrop[1. Identifiant interne d’exploitation agricole*],0)),FALSE,TRUE))</f>
        <v>1</v>
      </c>
      <c r="AE732" s="122" t="b">
        <f>IF(ISBLANK(GroupMember[[#This Row],[1. Identifiant interne d’exploitation agricole*]]),"",IF(ISERROR(MATCH(GroupMember[[#This Row],[1. Identifiant interne d’exploitation agricole*]],FarmUnit[1. Identifiant interne d’exploitation agricole*],0)),FALSE,TRUE))</f>
        <v>1</v>
      </c>
      <c r="AF732" s="9" t="str">
        <f t="shared" si="33"/>
        <v>SORO ISSIAKA</v>
      </c>
      <c r="AG732" s="243" t="str">
        <f t="shared" si="34"/>
        <v>15/9/2021</v>
      </c>
      <c r="AH732" s="51">
        <f>COUNTIFS(Z:Z,Z732,AG:AG,AG732)</f>
        <v>5</v>
      </c>
      <c r="AI732" s="49">
        <f t="shared" si="35"/>
        <v>0</v>
      </c>
    </row>
    <row r="733" spans="1:35" ht="15" x14ac:dyDescent="0.2">
      <c r="A733" s="193" t="s">
        <v>2659</v>
      </c>
      <c r="B733" s="146" t="s">
        <v>668</v>
      </c>
      <c r="C733" s="193" t="s">
        <v>2659</v>
      </c>
      <c r="D733" s="211" t="s">
        <v>2349</v>
      </c>
      <c r="E733" s="146" t="s">
        <v>670</v>
      </c>
      <c r="F733" s="146" t="s">
        <v>671</v>
      </c>
      <c r="G733" s="146" t="s">
        <v>672</v>
      </c>
      <c r="H733" s="148">
        <v>2.72</v>
      </c>
      <c r="I733" s="146" t="s">
        <v>673</v>
      </c>
      <c r="J733" s="149">
        <v>1</v>
      </c>
      <c r="K733" s="150">
        <v>2021</v>
      </c>
      <c r="L733" s="210" t="s">
        <v>765</v>
      </c>
      <c r="M733" s="211" t="s">
        <v>1179</v>
      </c>
      <c r="N733" s="212" t="s">
        <v>2660</v>
      </c>
      <c r="O733" s="281" t="s">
        <v>3357</v>
      </c>
      <c r="P733" s="208" t="s">
        <v>676</v>
      </c>
      <c r="Q733" s="278">
        <v>1996</v>
      </c>
      <c r="R733" s="155">
        <v>5</v>
      </c>
      <c r="S733" s="168"/>
      <c r="T733" s="168"/>
      <c r="U733" s="146"/>
      <c r="V733" s="146"/>
      <c r="W733" s="146"/>
      <c r="X733" s="156">
        <v>0</v>
      </c>
      <c r="Y733" s="156">
        <v>0</v>
      </c>
      <c r="Z733" s="157" t="s">
        <v>2160</v>
      </c>
      <c r="AA733" s="174">
        <v>2021</v>
      </c>
      <c r="AB733" s="175">
        <v>9</v>
      </c>
      <c r="AC733" s="175">
        <v>3</v>
      </c>
      <c r="AD733" s="122" t="b">
        <f>IF(ISBLANK(GroupMember[[#This Row],[1. Identifiant interne d’exploitation agricole*]]),"",IF(ISERROR(MATCH(GroupMember[[#This Row],[1. Identifiant interne d’exploitation agricole*]],CertifiedCrop[1. Identifiant interne d’exploitation agricole*],0)),FALSE,TRUE))</f>
        <v>1</v>
      </c>
      <c r="AE733" s="122" t="b">
        <f>IF(ISBLANK(GroupMember[[#This Row],[1. Identifiant interne d’exploitation agricole*]]),"",IF(ISERROR(MATCH(GroupMember[[#This Row],[1. Identifiant interne d’exploitation agricole*]],FarmUnit[1. Identifiant interne d’exploitation agricole*],0)),FALSE,TRUE))</f>
        <v>1</v>
      </c>
      <c r="AF733" s="9" t="str">
        <f t="shared" si="33"/>
        <v>KONE SIAKA</v>
      </c>
      <c r="AG733" s="243" t="str">
        <f t="shared" si="34"/>
        <v>3/9/2021</v>
      </c>
      <c r="AH733" s="51">
        <f>COUNTIFS(Z:Z,Z733,AG:AG,AG733)</f>
        <v>5</v>
      </c>
      <c r="AI733" s="49">
        <f t="shared" si="35"/>
        <v>0</v>
      </c>
    </row>
    <row r="734" spans="1:35" ht="15" x14ac:dyDescent="0.2">
      <c r="A734" s="193" t="s">
        <v>2661</v>
      </c>
      <c r="B734" s="146" t="s">
        <v>668</v>
      </c>
      <c r="C734" s="193" t="s">
        <v>2661</v>
      </c>
      <c r="D734" s="211" t="s">
        <v>2349</v>
      </c>
      <c r="E734" s="146" t="s">
        <v>670</v>
      </c>
      <c r="F734" s="146" t="s">
        <v>671</v>
      </c>
      <c r="G734" s="146" t="s">
        <v>672</v>
      </c>
      <c r="H734" s="148">
        <v>3.04</v>
      </c>
      <c r="I734" s="146" t="s">
        <v>673</v>
      </c>
      <c r="J734" s="149">
        <v>1</v>
      </c>
      <c r="K734" s="150">
        <v>2021</v>
      </c>
      <c r="L734" s="210" t="s">
        <v>701</v>
      </c>
      <c r="M734" s="211" t="s">
        <v>2662</v>
      </c>
      <c r="N734" s="212"/>
      <c r="O734" s="211"/>
      <c r="P734" s="208" t="s">
        <v>676</v>
      </c>
      <c r="Q734" s="300"/>
      <c r="R734" s="155">
        <v>4</v>
      </c>
      <c r="S734" s="168"/>
      <c r="T734" s="168"/>
      <c r="U734" s="146"/>
      <c r="V734" s="146"/>
      <c r="W734" s="146"/>
      <c r="X734" s="156">
        <v>0</v>
      </c>
      <c r="Y734" s="156">
        <v>0</v>
      </c>
      <c r="Z734" s="157" t="s">
        <v>2160</v>
      </c>
      <c r="AA734" s="174">
        <v>2021</v>
      </c>
      <c r="AB734" s="175">
        <v>9</v>
      </c>
      <c r="AC734" s="175">
        <v>16</v>
      </c>
      <c r="AD734" s="122" t="b">
        <f>IF(ISBLANK(GroupMember[[#This Row],[1. Identifiant interne d’exploitation agricole*]]),"",IF(ISERROR(MATCH(GroupMember[[#This Row],[1. Identifiant interne d’exploitation agricole*]],CertifiedCrop[1. Identifiant interne d’exploitation agricole*],0)),FALSE,TRUE))</f>
        <v>1</v>
      </c>
      <c r="AE734" s="122" t="b">
        <f>IF(ISBLANK(GroupMember[[#This Row],[1. Identifiant interne d’exploitation agricole*]]),"",IF(ISERROR(MATCH(GroupMember[[#This Row],[1. Identifiant interne d’exploitation agricole*]],FarmUnit[1. Identifiant interne d’exploitation agricole*],0)),FALSE,TRUE))</f>
        <v>1</v>
      </c>
      <c r="AF734" s="9" t="str">
        <f t="shared" si="33"/>
        <v>OUATTARA IOUSSOUF</v>
      </c>
      <c r="AG734" s="243" t="str">
        <f t="shared" si="34"/>
        <v>16/9/2021</v>
      </c>
      <c r="AH734" s="51">
        <f>COUNTIFS(Z:Z,Z734,AG:AG,AG734)</f>
        <v>5</v>
      </c>
      <c r="AI734" s="49">
        <f t="shared" si="35"/>
        <v>0</v>
      </c>
    </row>
    <row r="735" spans="1:35" ht="15" x14ac:dyDescent="0.2">
      <c r="A735" s="193" t="s">
        <v>2663</v>
      </c>
      <c r="B735" s="146" t="s">
        <v>668</v>
      </c>
      <c r="C735" s="193" t="s">
        <v>2663</v>
      </c>
      <c r="D735" s="211" t="s">
        <v>2349</v>
      </c>
      <c r="E735" s="146" t="s">
        <v>670</v>
      </c>
      <c r="F735" s="146" t="s">
        <v>671</v>
      </c>
      <c r="G735" s="146" t="s">
        <v>672</v>
      </c>
      <c r="H735" s="148">
        <v>2.73</v>
      </c>
      <c r="I735" s="146" t="s">
        <v>673</v>
      </c>
      <c r="J735" s="149">
        <v>1</v>
      </c>
      <c r="K735" s="150">
        <v>2021</v>
      </c>
      <c r="L735" s="210" t="s">
        <v>2664</v>
      </c>
      <c r="M735" s="211" t="s">
        <v>2614</v>
      </c>
      <c r="N735" s="212" t="s">
        <v>2665</v>
      </c>
      <c r="O735" s="217" t="s">
        <v>3358</v>
      </c>
      <c r="P735" s="208" t="s">
        <v>676</v>
      </c>
      <c r="Q735" s="278">
        <v>1992</v>
      </c>
      <c r="R735" s="155">
        <v>5</v>
      </c>
      <c r="S735" s="168"/>
      <c r="T735" s="168"/>
      <c r="U735" s="146"/>
      <c r="V735" s="146"/>
      <c r="W735" s="146"/>
      <c r="X735" s="156">
        <v>0</v>
      </c>
      <c r="Y735" s="156">
        <v>0</v>
      </c>
      <c r="Z735" s="157" t="s">
        <v>2160</v>
      </c>
      <c r="AA735" s="174">
        <v>2021</v>
      </c>
      <c r="AB735" s="175">
        <v>9</v>
      </c>
      <c r="AC735" s="175">
        <v>6</v>
      </c>
      <c r="AD735" s="122" t="b">
        <f>IF(ISBLANK(GroupMember[[#This Row],[1. Identifiant interne d’exploitation agricole*]]),"",IF(ISERROR(MATCH(GroupMember[[#This Row],[1. Identifiant interne d’exploitation agricole*]],CertifiedCrop[1. Identifiant interne d’exploitation agricole*],0)),FALSE,TRUE))</f>
        <v>1</v>
      </c>
      <c r="AE735" s="122" t="b">
        <f>IF(ISBLANK(GroupMember[[#This Row],[1. Identifiant interne d’exploitation agricole*]]),"",IF(ISERROR(MATCH(GroupMember[[#This Row],[1. Identifiant interne d’exploitation agricole*]],FarmUnit[1. Identifiant interne d’exploitation agricole*],0)),FALSE,TRUE))</f>
        <v>1</v>
      </c>
      <c r="AF735" s="9" t="str">
        <f t="shared" si="33"/>
        <v>KOULIBALI DRISSA</v>
      </c>
      <c r="AG735" s="243" t="str">
        <f t="shared" si="34"/>
        <v>6/9/2021</v>
      </c>
      <c r="AH735" s="51">
        <f>COUNTIFS(Z:Z,Z735,AG:AG,AG735)</f>
        <v>4</v>
      </c>
      <c r="AI735" s="49">
        <f t="shared" si="35"/>
        <v>0</v>
      </c>
    </row>
    <row r="736" spans="1:35" ht="15" x14ac:dyDescent="0.2">
      <c r="A736" s="193" t="s">
        <v>2666</v>
      </c>
      <c r="B736" s="146" t="s">
        <v>668</v>
      </c>
      <c r="C736" s="193" t="s">
        <v>2666</v>
      </c>
      <c r="D736" s="211" t="s">
        <v>2349</v>
      </c>
      <c r="E736" s="146" t="s">
        <v>670</v>
      </c>
      <c r="F736" s="146" t="s">
        <v>671</v>
      </c>
      <c r="G736" s="146" t="s">
        <v>672</v>
      </c>
      <c r="H736" s="148">
        <v>1.76</v>
      </c>
      <c r="I736" s="146" t="s">
        <v>673</v>
      </c>
      <c r="J736" s="149">
        <v>1</v>
      </c>
      <c r="K736" s="150">
        <v>2021</v>
      </c>
      <c r="L736" s="210" t="s">
        <v>863</v>
      </c>
      <c r="M736" s="211" t="s">
        <v>2667</v>
      </c>
      <c r="N736" s="212" t="s">
        <v>2668</v>
      </c>
      <c r="O736" s="40" t="s">
        <v>3359</v>
      </c>
      <c r="P736" s="208" t="s">
        <v>676</v>
      </c>
      <c r="Q736" s="278">
        <v>1990</v>
      </c>
      <c r="R736" s="155">
        <v>5</v>
      </c>
      <c r="S736" s="168"/>
      <c r="T736" s="168"/>
      <c r="U736" s="146"/>
      <c r="V736" s="146"/>
      <c r="W736" s="146"/>
      <c r="X736" s="156">
        <v>0</v>
      </c>
      <c r="Y736" s="156">
        <v>0</v>
      </c>
      <c r="Z736" s="157" t="s">
        <v>2160</v>
      </c>
      <c r="AA736" s="174">
        <v>2021</v>
      </c>
      <c r="AB736" s="175">
        <v>9</v>
      </c>
      <c r="AC736" s="175">
        <v>4</v>
      </c>
      <c r="AD736" s="122" t="b">
        <f>IF(ISBLANK(GroupMember[[#This Row],[1. Identifiant interne d’exploitation agricole*]]),"",IF(ISERROR(MATCH(GroupMember[[#This Row],[1. Identifiant interne d’exploitation agricole*]],CertifiedCrop[1. Identifiant interne d’exploitation agricole*],0)),FALSE,TRUE))</f>
        <v>1</v>
      </c>
      <c r="AE736" s="122" t="b">
        <f>IF(ISBLANK(GroupMember[[#This Row],[1. Identifiant interne d’exploitation agricole*]]),"",IF(ISERROR(MATCH(GroupMember[[#This Row],[1. Identifiant interne d’exploitation agricole*]],FarmUnit[1. Identifiant interne d’exploitation agricole*],0)),FALSE,TRUE))</f>
        <v>1</v>
      </c>
      <c r="AF736" s="9" t="str">
        <f t="shared" si="33"/>
        <v>KOULIBALY TCHOKOROBA</v>
      </c>
      <c r="AG736" s="243" t="str">
        <f t="shared" si="34"/>
        <v>4/9/2021</v>
      </c>
      <c r="AH736" s="51">
        <f>COUNTIFS(Z:Z,Z736,AG:AG,AG736)</f>
        <v>5</v>
      </c>
      <c r="AI736" s="49">
        <f t="shared" si="35"/>
        <v>0</v>
      </c>
    </row>
    <row r="737" spans="1:35" ht="15" x14ac:dyDescent="0.2">
      <c r="A737" s="193" t="s">
        <v>2669</v>
      </c>
      <c r="B737" s="146" t="s">
        <v>668</v>
      </c>
      <c r="C737" s="193" t="s">
        <v>2669</v>
      </c>
      <c r="D737" s="211" t="s">
        <v>2349</v>
      </c>
      <c r="E737" s="146" t="s">
        <v>670</v>
      </c>
      <c r="F737" s="146" t="s">
        <v>671</v>
      </c>
      <c r="G737" s="146" t="s">
        <v>672</v>
      </c>
      <c r="H737" s="148">
        <v>2.73</v>
      </c>
      <c r="I737" s="146" t="s">
        <v>673</v>
      </c>
      <c r="J737" s="149">
        <v>1</v>
      </c>
      <c r="K737" s="150">
        <v>2021</v>
      </c>
      <c r="L737" s="210" t="s">
        <v>863</v>
      </c>
      <c r="M737" s="211" t="s">
        <v>2670</v>
      </c>
      <c r="N737" s="212" t="s">
        <v>2671</v>
      </c>
      <c r="O737" s="285" t="s">
        <v>3360</v>
      </c>
      <c r="P737" s="208" t="s">
        <v>676</v>
      </c>
      <c r="Q737" s="217">
        <v>1974</v>
      </c>
      <c r="R737" s="155">
        <v>8</v>
      </c>
      <c r="S737" s="168"/>
      <c r="T737" s="168"/>
      <c r="U737" s="146"/>
      <c r="V737" s="146"/>
      <c r="W737" s="146"/>
      <c r="X737" s="156">
        <v>0</v>
      </c>
      <c r="Y737" s="156">
        <v>0</v>
      </c>
      <c r="Z737" s="157" t="s">
        <v>2160</v>
      </c>
      <c r="AA737" s="174">
        <v>2021</v>
      </c>
      <c r="AB737" s="175">
        <v>9</v>
      </c>
      <c r="AC737" s="175">
        <v>15</v>
      </c>
      <c r="AD737" s="122" t="b">
        <f>IF(ISBLANK(GroupMember[[#This Row],[1. Identifiant interne d’exploitation agricole*]]),"",IF(ISERROR(MATCH(GroupMember[[#This Row],[1. Identifiant interne d’exploitation agricole*]],CertifiedCrop[1. Identifiant interne d’exploitation agricole*],0)),FALSE,TRUE))</f>
        <v>1</v>
      </c>
      <c r="AE737" s="122" t="b">
        <f>IF(ISBLANK(GroupMember[[#This Row],[1. Identifiant interne d’exploitation agricole*]]),"",IF(ISERROR(MATCH(GroupMember[[#This Row],[1. Identifiant interne d’exploitation agricole*]],FarmUnit[1. Identifiant interne d’exploitation agricole*],0)),FALSE,TRUE))</f>
        <v>1</v>
      </c>
      <c r="AF737" s="9" t="str">
        <f t="shared" si="33"/>
        <v>KOULIBALY ZIE LAMOUSSA</v>
      </c>
      <c r="AG737" s="243" t="str">
        <f t="shared" si="34"/>
        <v>15/9/2021</v>
      </c>
      <c r="AH737" s="51">
        <f>COUNTIFS(Z:Z,Z737,AG:AG,AG737)</f>
        <v>5</v>
      </c>
      <c r="AI737" s="49">
        <f t="shared" si="35"/>
        <v>0</v>
      </c>
    </row>
    <row r="738" spans="1:35" ht="15" x14ac:dyDescent="0.2">
      <c r="A738" s="193" t="s">
        <v>2672</v>
      </c>
      <c r="B738" s="146" t="s">
        <v>668</v>
      </c>
      <c r="C738" s="193" t="s">
        <v>2672</v>
      </c>
      <c r="D738" s="211" t="s">
        <v>2349</v>
      </c>
      <c r="E738" s="146" t="s">
        <v>670</v>
      </c>
      <c r="F738" s="146" t="s">
        <v>671</v>
      </c>
      <c r="G738" s="146" t="s">
        <v>672</v>
      </c>
      <c r="H738" s="148">
        <v>2.61</v>
      </c>
      <c r="I738" s="146" t="s">
        <v>673</v>
      </c>
      <c r="J738" s="149">
        <v>1</v>
      </c>
      <c r="K738" s="150">
        <v>2021</v>
      </c>
      <c r="L738" s="210" t="s">
        <v>828</v>
      </c>
      <c r="M738" s="211" t="s">
        <v>2328</v>
      </c>
      <c r="N738" s="212" t="s">
        <v>2673</v>
      </c>
      <c r="O738" s="286"/>
      <c r="P738" s="208" t="s">
        <v>676</v>
      </c>
      <c r="Q738" s="300"/>
      <c r="R738" s="155">
        <v>5</v>
      </c>
      <c r="S738" s="168"/>
      <c r="T738" s="168"/>
      <c r="U738" s="146"/>
      <c r="V738" s="146"/>
      <c r="W738" s="146"/>
      <c r="X738" s="156">
        <v>0</v>
      </c>
      <c r="Y738" s="156">
        <v>0</v>
      </c>
      <c r="Z738" s="157" t="s">
        <v>2160</v>
      </c>
      <c r="AA738" s="174">
        <v>2021</v>
      </c>
      <c r="AB738" s="175">
        <v>9</v>
      </c>
      <c r="AC738" s="175">
        <v>14</v>
      </c>
      <c r="AD738" s="122" t="b">
        <f>IF(ISBLANK(GroupMember[[#This Row],[1. Identifiant interne d’exploitation agricole*]]),"",IF(ISERROR(MATCH(GroupMember[[#This Row],[1. Identifiant interne d’exploitation agricole*]],CertifiedCrop[1. Identifiant interne d’exploitation agricole*],0)),FALSE,TRUE))</f>
        <v>1</v>
      </c>
      <c r="AE738" s="122" t="b">
        <f>IF(ISBLANK(GroupMember[[#This Row],[1. Identifiant interne d’exploitation agricole*]]),"",IF(ISERROR(MATCH(GroupMember[[#This Row],[1. Identifiant interne d’exploitation agricole*]],FarmUnit[1. Identifiant interne d’exploitation agricole*],0)),FALSE,TRUE))</f>
        <v>1</v>
      </c>
      <c r="AF738" s="9" t="str">
        <f t="shared" si="33"/>
        <v>KONATE DIAKARIDJA</v>
      </c>
      <c r="AG738" s="243" t="str">
        <f t="shared" si="34"/>
        <v>14/9/2021</v>
      </c>
      <c r="AH738" s="51">
        <f>COUNTIFS(Z:Z,Z738,AG:AG,AG738)</f>
        <v>4</v>
      </c>
      <c r="AI738" s="49">
        <f t="shared" si="35"/>
        <v>0</v>
      </c>
    </row>
    <row r="739" spans="1:35" ht="15" x14ac:dyDescent="0.2">
      <c r="A739" s="193" t="s">
        <v>2674</v>
      </c>
      <c r="B739" s="146" t="s">
        <v>668</v>
      </c>
      <c r="C739" s="193" t="s">
        <v>2674</v>
      </c>
      <c r="D739" s="211" t="s">
        <v>2349</v>
      </c>
      <c r="E739" s="146" t="s">
        <v>670</v>
      </c>
      <c r="F739" s="146" t="s">
        <v>671</v>
      </c>
      <c r="G739" s="146" t="s">
        <v>672</v>
      </c>
      <c r="H739" s="148">
        <v>2.81</v>
      </c>
      <c r="I739" s="146" t="s">
        <v>673</v>
      </c>
      <c r="J739" s="149">
        <v>1</v>
      </c>
      <c r="K739" s="150">
        <v>2021</v>
      </c>
      <c r="L739" s="210" t="s">
        <v>939</v>
      </c>
      <c r="M739" s="211" t="s">
        <v>2675</v>
      </c>
      <c r="N739" s="212" t="s">
        <v>2676</v>
      </c>
      <c r="O739" s="217" t="s">
        <v>3361</v>
      </c>
      <c r="P739" s="208" t="s">
        <v>676</v>
      </c>
      <c r="Q739" s="278">
        <v>1987</v>
      </c>
      <c r="R739" s="155">
        <v>7</v>
      </c>
      <c r="S739" s="168"/>
      <c r="T739" s="168"/>
      <c r="U739" s="146"/>
      <c r="V739" s="146"/>
      <c r="W739" s="146"/>
      <c r="X739" s="156">
        <v>0</v>
      </c>
      <c r="Y739" s="156">
        <v>0</v>
      </c>
      <c r="Z739" s="157" t="s">
        <v>2160</v>
      </c>
      <c r="AA739" s="174">
        <v>2021</v>
      </c>
      <c r="AB739" s="175">
        <v>9</v>
      </c>
      <c r="AC739" s="175">
        <v>9</v>
      </c>
      <c r="AD739" s="122" t="b">
        <f>IF(ISBLANK(GroupMember[[#This Row],[1. Identifiant interne d’exploitation agricole*]]),"",IF(ISERROR(MATCH(GroupMember[[#This Row],[1. Identifiant interne d’exploitation agricole*]],CertifiedCrop[1. Identifiant interne d’exploitation agricole*],0)),FALSE,TRUE))</f>
        <v>1</v>
      </c>
      <c r="AE739" s="122" t="b">
        <f>IF(ISBLANK(GroupMember[[#This Row],[1. Identifiant interne d’exploitation agricole*]]),"",IF(ISERROR(MATCH(GroupMember[[#This Row],[1. Identifiant interne d’exploitation agricole*]],FarmUnit[1. Identifiant interne d’exploitation agricole*],0)),FALSE,TRUE))</f>
        <v>1</v>
      </c>
      <c r="AF739" s="9" t="str">
        <f t="shared" si="33"/>
        <v>SANOGO YAKOUBA</v>
      </c>
      <c r="AG739" s="243" t="str">
        <f t="shared" si="34"/>
        <v>9/9/2021</v>
      </c>
      <c r="AH739" s="51">
        <f>COUNTIFS(Z:Z,Z739,AG:AG,AG739)</f>
        <v>5</v>
      </c>
      <c r="AI739" s="49">
        <f t="shared" si="35"/>
        <v>0</v>
      </c>
    </row>
    <row r="740" spans="1:35" ht="15" x14ac:dyDescent="0.2">
      <c r="A740" s="193" t="s">
        <v>2677</v>
      </c>
      <c r="B740" s="146" t="s">
        <v>668</v>
      </c>
      <c r="C740" s="193" t="s">
        <v>2677</v>
      </c>
      <c r="D740" s="211" t="s">
        <v>2349</v>
      </c>
      <c r="E740" s="146" t="s">
        <v>670</v>
      </c>
      <c r="F740" s="146" t="s">
        <v>671</v>
      </c>
      <c r="G740" s="146" t="s">
        <v>672</v>
      </c>
      <c r="H740" s="148">
        <v>3.11</v>
      </c>
      <c r="I740" s="146" t="s">
        <v>673</v>
      </c>
      <c r="J740" s="149">
        <v>1</v>
      </c>
      <c r="K740" s="150">
        <v>2021</v>
      </c>
      <c r="L740" s="210" t="s">
        <v>715</v>
      </c>
      <c r="M740" s="211" t="s">
        <v>2678</v>
      </c>
      <c r="N740" s="212"/>
      <c r="O740" s="217" t="s">
        <v>3362</v>
      </c>
      <c r="P740" s="208" t="s">
        <v>676</v>
      </c>
      <c r="Q740" s="217">
        <v>1981</v>
      </c>
      <c r="R740" s="155">
        <v>6</v>
      </c>
      <c r="S740" s="168"/>
      <c r="T740" s="168"/>
      <c r="U740" s="146"/>
      <c r="V740" s="146"/>
      <c r="W740" s="146"/>
      <c r="X740" s="156">
        <v>0</v>
      </c>
      <c r="Y740" s="156">
        <v>0</v>
      </c>
      <c r="Z740" s="157" t="s">
        <v>2160</v>
      </c>
      <c r="AA740" s="174">
        <v>2021</v>
      </c>
      <c r="AB740" s="175">
        <v>9</v>
      </c>
      <c r="AC740" s="175">
        <v>4</v>
      </c>
      <c r="AD740" s="122" t="b">
        <f>IF(ISBLANK(GroupMember[[#This Row],[1. Identifiant interne d’exploitation agricole*]]),"",IF(ISERROR(MATCH(GroupMember[[#This Row],[1. Identifiant interne d’exploitation agricole*]],CertifiedCrop[1. Identifiant interne d’exploitation agricole*],0)),FALSE,TRUE))</f>
        <v>1</v>
      </c>
      <c r="AE740" s="122" t="b">
        <f>IF(ISBLANK(GroupMember[[#This Row],[1. Identifiant interne d’exploitation agricole*]]),"",IF(ISERROR(MATCH(GroupMember[[#This Row],[1. Identifiant interne d’exploitation agricole*]],FarmUnit[1. Identifiant interne d’exploitation agricole*],0)),FALSE,TRUE))</f>
        <v>1</v>
      </c>
      <c r="AF740" s="9" t="str">
        <f t="shared" si="33"/>
        <v>TRAORE YSSOUF</v>
      </c>
      <c r="AG740" s="243" t="str">
        <f t="shared" si="34"/>
        <v>4/9/2021</v>
      </c>
      <c r="AH740" s="51">
        <f>COUNTIFS(Z:Z,Z740,AG:AG,AG740)</f>
        <v>5</v>
      </c>
      <c r="AI740" s="49">
        <f t="shared" si="35"/>
        <v>0</v>
      </c>
    </row>
    <row r="741" spans="1:35" ht="15" x14ac:dyDescent="0.2">
      <c r="A741" s="193" t="s">
        <v>2679</v>
      </c>
      <c r="B741" s="146" t="s">
        <v>668</v>
      </c>
      <c r="C741" s="193" t="s">
        <v>2679</v>
      </c>
      <c r="D741" s="211" t="s">
        <v>2349</v>
      </c>
      <c r="E741" s="146" t="s">
        <v>670</v>
      </c>
      <c r="F741" s="146" t="s">
        <v>671</v>
      </c>
      <c r="G741" s="146" t="s">
        <v>672</v>
      </c>
      <c r="H741" s="148">
        <v>4.95</v>
      </c>
      <c r="I741" s="146" t="s">
        <v>673</v>
      </c>
      <c r="J741" s="149">
        <v>2</v>
      </c>
      <c r="K741" s="150">
        <v>2021</v>
      </c>
      <c r="L741" s="210" t="s">
        <v>701</v>
      </c>
      <c r="M741" s="211" t="s">
        <v>1624</v>
      </c>
      <c r="N741" s="212"/>
      <c r="O741" s="217" t="s">
        <v>3363</v>
      </c>
      <c r="P741" s="208" t="s">
        <v>676</v>
      </c>
      <c r="Q741" s="278">
        <v>1988</v>
      </c>
      <c r="R741" s="155">
        <v>9</v>
      </c>
      <c r="S741" s="168"/>
      <c r="T741" s="168"/>
      <c r="U741" s="146"/>
      <c r="V741" s="146"/>
      <c r="W741" s="146"/>
      <c r="X741" s="156">
        <v>0</v>
      </c>
      <c r="Y741" s="156">
        <v>0</v>
      </c>
      <c r="Z741" s="157" t="s">
        <v>2160</v>
      </c>
      <c r="AA741" s="174">
        <v>2021</v>
      </c>
      <c r="AB741" s="175">
        <v>9</v>
      </c>
      <c r="AC741" s="175">
        <v>11</v>
      </c>
      <c r="AD741" s="122" t="b">
        <f>IF(ISBLANK(GroupMember[[#This Row],[1. Identifiant interne d’exploitation agricole*]]),"",IF(ISERROR(MATCH(GroupMember[[#This Row],[1. Identifiant interne d’exploitation agricole*]],CertifiedCrop[1. Identifiant interne d’exploitation agricole*],0)),FALSE,TRUE))</f>
        <v>1</v>
      </c>
      <c r="AE741" s="122" t="b">
        <f>IF(ISBLANK(GroupMember[[#This Row],[1. Identifiant interne d’exploitation agricole*]]),"",IF(ISERROR(MATCH(GroupMember[[#This Row],[1. Identifiant interne d’exploitation agricole*]],FarmUnit[1. Identifiant interne d’exploitation agricole*],0)),FALSE,TRUE))</f>
        <v>1</v>
      </c>
      <c r="AF741" s="9" t="str">
        <f t="shared" si="33"/>
        <v>OUATTARA SOULEYMANE</v>
      </c>
      <c r="AG741" s="243" t="str">
        <f t="shared" si="34"/>
        <v>11/9/2021</v>
      </c>
      <c r="AH741" s="51">
        <f>COUNTIFS(Z:Z,Z741,AG:AG,AG741)</f>
        <v>5</v>
      </c>
      <c r="AI741" s="49">
        <f t="shared" si="35"/>
        <v>0</v>
      </c>
    </row>
    <row r="742" spans="1:35" ht="15" x14ac:dyDescent="0.2">
      <c r="A742" s="193" t="s">
        <v>2680</v>
      </c>
      <c r="B742" s="146" t="s">
        <v>668</v>
      </c>
      <c r="C742" s="193" t="s">
        <v>2680</v>
      </c>
      <c r="D742" s="211" t="s">
        <v>2349</v>
      </c>
      <c r="E742" s="146" t="s">
        <v>670</v>
      </c>
      <c r="F742" s="146" t="s">
        <v>671</v>
      </c>
      <c r="G742" s="146" t="s">
        <v>672</v>
      </c>
      <c r="H742" s="148">
        <v>2.61</v>
      </c>
      <c r="I742" s="146" t="s">
        <v>673</v>
      </c>
      <c r="J742" s="149">
        <v>1</v>
      </c>
      <c r="K742" s="150">
        <v>2021</v>
      </c>
      <c r="L742" s="210" t="s">
        <v>701</v>
      </c>
      <c r="M742" s="211" t="s">
        <v>2681</v>
      </c>
      <c r="N742" s="212" t="s">
        <v>2682</v>
      </c>
      <c r="O742" s="217" t="s">
        <v>3364</v>
      </c>
      <c r="P742" s="208" t="s">
        <v>676</v>
      </c>
      <c r="Q742" s="278">
        <v>1984</v>
      </c>
      <c r="R742" s="155">
        <v>5</v>
      </c>
      <c r="S742" s="168"/>
      <c r="T742" s="168"/>
      <c r="U742" s="146"/>
      <c r="V742" s="146"/>
      <c r="W742" s="146"/>
      <c r="X742" s="156">
        <v>0</v>
      </c>
      <c r="Y742" s="156">
        <v>0</v>
      </c>
      <c r="Z742" s="157" t="s">
        <v>2160</v>
      </c>
      <c r="AA742" s="174">
        <v>2021</v>
      </c>
      <c r="AB742" s="175">
        <v>9</v>
      </c>
      <c r="AC742" s="175">
        <v>15</v>
      </c>
      <c r="AD742" s="122" t="b">
        <f>IF(ISBLANK(GroupMember[[#This Row],[1. Identifiant interne d’exploitation agricole*]]),"",IF(ISERROR(MATCH(GroupMember[[#This Row],[1. Identifiant interne d’exploitation agricole*]],CertifiedCrop[1. Identifiant interne d’exploitation agricole*],0)),FALSE,TRUE))</f>
        <v>1</v>
      </c>
      <c r="AE742" s="122" t="b">
        <f>IF(ISBLANK(GroupMember[[#This Row],[1. Identifiant interne d’exploitation agricole*]]),"",IF(ISERROR(MATCH(GroupMember[[#This Row],[1. Identifiant interne d’exploitation agricole*]],FarmUnit[1. Identifiant interne d’exploitation agricole*],0)),FALSE,TRUE))</f>
        <v>1</v>
      </c>
      <c r="AF742" s="9" t="str">
        <f t="shared" si="33"/>
        <v>OUATTARA ZIE ABOULAYE</v>
      </c>
      <c r="AG742" s="243" t="str">
        <f t="shared" si="34"/>
        <v>15/9/2021</v>
      </c>
      <c r="AH742" s="51">
        <f>COUNTIFS(Z:Z,Z742,AG:AG,AG742)</f>
        <v>5</v>
      </c>
      <c r="AI742" s="49">
        <f t="shared" si="35"/>
        <v>0</v>
      </c>
    </row>
    <row r="743" spans="1:35" ht="15" x14ac:dyDescent="0.2">
      <c r="A743" s="193" t="s">
        <v>2683</v>
      </c>
      <c r="B743" s="146" t="s">
        <v>668</v>
      </c>
      <c r="C743" s="193" t="s">
        <v>2683</v>
      </c>
      <c r="D743" s="211" t="s">
        <v>2349</v>
      </c>
      <c r="E743" s="146" t="s">
        <v>670</v>
      </c>
      <c r="F743" s="146" t="s">
        <v>671</v>
      </c>
      <c r="G743" s="146" t="s">
        <v>672</v>
      </c>
      <c r="H743" s="148">
        <v>2.36</v>
      </c>
      <c r="I743" s="146" t="s">
        <v>673</v>
      </c>
      <c r="J743" s="149">
        <v>1</v>
      </c>
      <c r="K743" s="150">
        <v>2021</v>
      </c>
      <c r="L743" s="210" t="s">
        <v>701</v>
      </c>
      <c r="M743" s="211" t="s">
        <v>2363</v>
      </c>
      <c r="N743" s="212" t="s">
        <v>2684</v>
      </c>
      <c r="O743" s="211"/>
      <c r="P743" s="208" t="s">
        <v>676</v>
      </c>
      <c r="Q743" s="300"/>
      <c r="R743" s="155">
        <v>7</v>
      </c>
      <c r="S743" s="168"/>
      <c r="T743" s="168"/>
      <c r="U743" s="146"/>
      <c r="V743" s="146"/>
      <c r="W743" s="146"/>
      <c r="X743" s="156">
        <v>0</v>
      </c>
      <c r="Y743" s="156">
        <v>0</v>
      </c>
      <c r="Z743" s="157" t="s">
        <v>2160</v>
      </c>
      <c r="AA743" s="174">
        <v>2021</v>
      </c>
      <c r="AB743" s="175">
        <v>9</v>
      </c>
      <c r="AC743" s="175">
        <v>9</v>
      </c>
      <c r="AD743" s="122" t="b">
        <f>IF(ISBLANK(GroupMember[[#This Row],[1. Identifiant interne d’exploitation agricole*]]),"",IF(ISERROR(MATCH(GroupMember[[#This Row],[1. Identifiant interne d’exploitation agricole*]],CertifiedCrop[1. Identifiant interne d’exploitation agricole*],0)),FALSE,TRUE))</f>
        <v>1</v>
      </c>
      <c r="AE743" s="122" t="b">
        <f>IF(ISBLANK(GroupMember[[#This Row],[1. Identifiant interne d’exploitation agricole*]]),"",IF(ISERROR(MATCH(GroupMember[[#This Row],[1. Identifiant interne d’exploitation agricole*]],FarmUnit[1. Identifiant interne d’exploitation agricole*],0)),FALSE,TRUE))</f>
        <v>1</v>
      </c>
      <c r="AF743" s="9" t="str">
        <f t="shared" si="33"/>
        <v>OUATTARA ISSOUF 1</v>
      </c>
      <c r="AG743" s="243" t="str">
        <f t="shared" si="34"/>
        <v>9/9/2021</v>
      </c>
      <c r="AH743" s="51">
        <f>COUNTIFS(Z:Z,Z743,AG:AG,AG743)</f>
        <v>5</v>
      </c>
      <c r="AI743" s="49">
        <f t="shared" si="35"/>
        <v>0</v>
      </c>
    </row>
    <row r="744" spans="1:35" ht="15" x14ac:dyDescent="0.2">
      <c r="A744" s="193" t="s">
        <v>2685</v>
      </c>
      <c r="B744" s="146" t="s">
        <v>668</v>
      </c>
      <c r="C744" s="193" t="s">
        <v>2685</v>
      </c>
      <c r="D744" s="211" t="s">
        <v>2349</v>
      </c>
      <c r="E744" s="146" t="s">
        <v>670</v>
      </c>
      <c r="F744" s="146" t="s">
        <v>671</v>
      </c>
      <c r="G744" s="146" t="s">
        <v>672</v>
      </c>
      <c r="H744" s="148">
        <v>4.1900000000000004</v>
      </c>
      <c r="I744" s="146" t="s">
        <v>673</v>
      </c>
      <c r="J744" s="149">
        <v>1</v>
      </c>
      <c r="K744" s="150">
        <v>2021</v>
      </c>
      <c r="L744" s="210" t="s">
        <v>863</v>
      </c>
      <c r="M744" s="211" t="s">
        <v>2614</v>
      </c>
      <c r="N744" s="212"/>
      <c r="O744" s="211"/>
      <c r="P744" s="208" t="s">
        <v>676</v>
      </c>
      <c r="Q744" s="278"/>
      <c r="R744" s="155">
        <v>5</v>
      </c>
      <c r="S744" s="168"/>
      <c r="T744" s="168"/>
      <c r="U744" s="146"/>
      <c r="V744" s="146"/>
      <c r="W744" s="146"/>
      <c r="X744" s="156">
        <v>0</v>
      </c>
      <c r="Y744" s="156">
        <v>0</v>
      </c>
      <c r="Z744" s="157" t="s">
        <v>2160</v>
      </c>
      <c r="AA744" s="174">
        <v>2021</v>
      </c>
      <c r="AB744" s="175">
        <v>9</v>
      </c>
      <c r="AC744" s="175">
        <v>16</v>
      </c>
      <c r="AD744" s="122" t="b">
        <f>IF(ISBLANK(GroupMember[[#This Row],[1. Identifiant interne d’exploitation agricole*]]),"",IF(ISERROR(MATCH(GroupMember[[#This Row],[1. Identifiant interne d’exploitation agricole*]],CertifiedCrop[1. Identifiant interne d’exploitation agricole*],0)),FALSE,TRUE))</f>
        <v>1</v>
      </c>
      <c r="AE744" s="122" t="b">
        <f>IF(ISBLANK(GroupMember[[#This Row],[1. Identifiant interne d’exploitation agricole*]]),"",IF(ISERROR(MATCH(GroupMember[[#This Row],[1. Identifiant interne d’exploitation agricole*]],FarmUnit[1. Identifiant interne d’exploitation agricole*],0)),FALSE,TRUE))</f>
        <v>1</v>
      </c>
      <c r="AF744" s="9" t="str">
        <f t="shared" si="33"/>
        <v>KOULIBALY DRISSA</v>
      </c>
      <c r="AG744" s="243" t="str">
        <f t="shared" si="34"/>
        <v>16/9/2021</v>
      </c>
      <c r="AH744" s="51">
        <f>COUNTIFS(Z:Z,Z744,AG:AG,AG744)</f>
        <v>5</v>
      </c>
      <c r="AI744" s="49">
        <f t="shared" si="35"/>
        <v>0</v>
      </c>
    </row>
    <row r="745" spans="1:35" ht="15" x14ac:dyDescent="0.2">
      <c r="A745" s="193" t="s">
        <v>2686</v>
      </c>
      <c r="B745" s="146" t="s">
        <v>668</v>
      </c>
      <c r="C745" s="193" t="s">
        <v>2686</v>
      </c>
      <c r="D745" s="211" t="s">
        <v>2349</v>
      </c>
      <c r="E745" s="146" t="s">
        <v>670</v>
      </c>
      <c r="F745" s="146" t="s">
        <v>671</v>
      </c>
      <c r="G745" s="146" t="s">
        <v>672</v>
      </c>
      <c r="H745" s="148">
        <v>3.59</v>
      </c>
      <c r="I745" s="146" t="s">
        <v>673</v>
      </c>
      <c r="J745" s="149">
        <v>1</v>
      </c>
      <c r="K745" s="150">
        <v>2021</v>
      </c>
      <c r="L745" s="210" t="s">
        <v>1193</v>
      </c>
      <c r="M745" s="211" t="s">
        <v>2625</v>
      </c>
      <c r="N745" s="212"/>
      <c r="O745" s="211"/>
      <c r="P745" s="208" t="s">
        <v>676</v>
      </c>
      <c r="Q745" s="278"/>
      <c r="R745" s="155">
        <v>4</v>
      </c>
      <c r="S745" s="168"/>
      <c r="T745" s="168"/>
      <c r="U745" s="146"/>
      <c r="V745" s="146"/>
      <c r="W745" s="146"/>
      <c r="X745" s="156">
        <v>0</v>
      </c>
      <c r="Y745" s="156">
        <v>0</v>
      </c>
      <c r="Z745" s="157" t="s">
        <v>2160</v>
      </c>
      <c r="AA745" s="174">
        <v>2021</v>
      </c>
      <c r="AB745" s="175">
        <v>9</v>
      </c>
      <c r="AC745" s="175">
        <v>4</v>
      </c>
      <c r="AD745" s="122" t="b">
        <f>IF(ISBLANK(GroupMember[[#This Row],[1. Identifiant interne d’exploitation agricole*]]),"",IF(ISERROR(MATCH(GroupMember[[#This Row],[1. Identifiant interne d’exploitation agricole*]],CertifiedCrop[1. Identifiant interne d’exploitation agricole*],0)),FALSE,TRUE))</f>
        <v>1</v>
      </c>
      <c r="AE745" s="122" t="b">
        <f>IF(ISBLANK(GroupMember[[#This Row],[1. Identifiant interne d’exploitation agricole*]]),"",IF(ISERROR(MATCH(GroupMember[[#This Row],[1. Identifiant interne d’exploitation agricole*]],FarmUnit[1. Identifiant interne d’exploitation agricole*],0)),FALSE,TRUE))</f>
        <v>1</v>
      </c>
      <c r="AF745" s="9" t="str">
        <f t="shared" si="33"/>
        <v>DIOMANDE SIRIKI</v>
      </c>
      <c r="AG745" s="243" t="str">
        <f t="shared" si="34"/>
        <v>4/9/2021</v>
      </c>
      <c r="AH745" s="51">
        <f>COUNTIFS(Z:Z,Z745,AG:AG,AG745)</f>
        <v>5</v>
      </c>
      <c r="AI745" s="49">
        <f t="shared" si="35"/>
        <v>0</v>
      </c>
    </row>
    <row r="746" spans="1:35" ht="15" x14ac:dyDescent="0.2">
      <c r="A746" s="193" t="s">
        <v>2687</v>
      </c>
      <c r="B746" s="146" t="s">
        <v>668</v>
      </c>
      <c r="C746" s="193" t="s">
        <v>2687</v>
      </c>
      <c r="D746" s="211" t="s">
        <v>2349</v>
      </c>
      <c r="E746" s="146" t="s">
        <v>670</v>
      </c>
      <c r="F746" s="146" t="s">
        <v>671</v>
      </c>
      <c r="G746" s="146" t="s">
        <v>672</v>
      </c>
      <c r="H746" s="148">
        <v>3.04</v>
      </c>
      <c r="I746" s="146" t="s">
        <v>673</v>
      </c>
      <c r="J746" s="149">
        <v>1</v>
      </c>
      <c r="K746" s="150">
        <v>2021</v>
      </c>
      <c r="L746" s="210" t="s">
        <v>2154</v>
      </c>
      <c r="M746" s="211" t="s">
        <v>2688</v>
      </c>
      <c r="N746" s="212" t="s">
        <v>2689</v>
      </c>
      <c r="O746" s="211"/>
      <c r="P746" s="208" t="s">
        <v>676</v>
      </c>
      <c r="Q746" s="278"/>
      <c r="R746" s="155">
        <v>6</v>
      </c>
      <c r="S746" s="168"/>
      <c r="T746" s="168"/>
      <c r="U746" s="146"/>
      <c r="V746" s="146"/>
      <c r="W746" s="146"/>
      <c r="X746" s="156">
        <v>0</v>
      </c>
      <c r="Y746" s="156">
        <v>0</v>
      </c>
      <c r="Z746" s="157" t="s">
        <v>2160</v>
      </c>
      <c r="AA746" s="174">
        <v>2021</v>
      </c>
      <c r="AB746" s="175">
        <v>9</v>
      </c>
      <c r="AC746" s="175">
        <v>15</v>
      </c>
      <c r="AD746" s="122" t="b">
        <f>IF(ISBLANK(GroupMember[[#This Row],[1. Identifiant interne d’exploitation agricole*]]),"",IF(ISERROR(MATCH(GroupMember[[#This Row],[1. Identifiant interne d’exploitation agricole*]],CertifiedCrop[1. Identifiant interne d’exploitation agricole*],0)),FALSE,TRUE))</f>
        <v>1</v>
      </c>
      <c r="AE746" s="122" t="b">
        <f>IF(ISBLANK(GroupMember[[#This Row],[1. Identifiant interne d’exploitation agricole*]]),"",IF(ISERROR(MATCH(GroupMember[[#This Row],[1. Identifiant interne d’exploitation agricole*]],FarmUnit[1. Identifiant interne d’exploitation agricole*],0)),FALSE,TRUE))</f>
        <v>1</v>
      </c>
      <c r="AF746" s="9" t="str">
        <f t="shared" si="33"/>
        <v>DIAKITE DAODA</v>
      </c>
      <c r="AG746" s="243" t="str">
        <f t="shared" si="34"/>
        <v>15/9/2021</v>
      </c>
      <c r="AH746" s="51">
        <f>COUNTIFS(Z:Z,Z746,AG:AG,AG746)</f>
        <v>5</v>
      </c>
      <c r="AI746" s="49">
        <f t="shared" si="35"/>
        <v>0</v>
      </c>
    </row>
    <row r="747" spans="1:35" ht="15" x14ac:dyDescent="0.2">
      <c r="A747" s="193" t="s">
        <v>2690</v>
      </c>
      <c r="B747" s="146" t="s">
        <v>668</v>
      </c>
      <c r="C747" s="193" t="s">
        <v>2690</v>
      </c>
      <c r="D747" s="211" t="s">
        <v>2349</v>
      </c>
      <c r="E747" s="146" t="s">
        <v>670</v>
      </c>
      <c r="F747" s="146" t="s">
        <v>671</v>
      </c>
      <c r="G747" s="146" t="s">
        <v>672</v>
      </c>
      <c r="H747" s="148">
        <v>2.4300000000000002</v>
      </c>
      <c r="I747" s="146" t="s">
        <v>673</v>
      </c>
      <c r="J747" s="149">
        <v>1</v>
      </c>
      <c r="K747" s="150">
        <v>2021</v>
      </c>
      <c r="L747" s="210" t="s">
        <v>1193</v>
      </c>
      <c r="M747" s="211" t="s">
        <v>2691</v>
      </c>
      <c r="N747" s="212" t="s">
        <v>2692</v>
      </c>
      <c r="O747" s="211" t="s">
        <v>2693</v>
      </c>
      <c r="P747" s="208" t="s">
        <v>676</v>
      </c>
      <c r="Q747" s="278">
        <v>1975</v>
      </c>
      <c r="R747" s="155">
        <v>5</v>
      </c>
      <c r="S747" s="168"/>
      <c r="T747" s="168"/>
      <c r="U747" s="146"/>
      <c r="V747" s="146"/>
      <c r="W747" s="146"/>
      <c r="X747" s="156">
        <v>0</v>
      </c>
      <c r="Y747" s="156">
        <v>0</v>
      </c>
      <c r="Z747" s="157" t="s">
        <v>2160</v>
      </c>
      <c r="AA747" s="174">
        <v>2021</v>
      </c>
      <c r="AB747" s="175">
        <v>9</v>
      </c>
      <c r="AC747" s="175">
        <v>11</v>
      </c>
      <c r="AD747" s="122" t="b">
        <f>IF(ISBLANK(GroupMember[[#This Row],[1. Identifiant interne d’exploitation agricole*]]),"",IF(ISERROR(MATCH(GroupMember[[#This Row],[1. Identifiant interne d’exploitation agricole*]],CertifiedCrop[1. Identifiant interne d’exploitation agricole*],0)),FALSE,TRUE))</f>
        <v>1</v>
      </c>
      <c r="AE747" s="122" t="b">
        <f>IF(ISBLANK(GroupMember[[#This Row],[1. Identifiant interne d’exploitation agricole*]]),"",IF(ISERROR(MATCH(GroupMember[[#This Row],[1. Identifiant interne d’exploitation agricole*]],FarmUnit[1. Identifiant interne d’exploitation agricole*],0)),FALSE,TRUE))</f>
        <v>1</v>
      </c>
      <c r="AF747" s="9" t="str">
        <f t="shared" si="33"/>
        <v>DIOMANDE CHAKA</v>
      </c>
      <c r="AG747" s="243" t="str">
        <f t="shared" si="34"/>
        <v>11/9/2021</v>
      </c>
      <c r="AH747" s="51">
        <f>COUNTIFS(Z:Z,Z747,AG:AG,AG747)</f>
        <v>5</v>
      </c>
      <c r="AI747" s="49">
        <f t="shared" si="35"/>
        <v>0</v>
      </c>
    </row>
    <row r="748" spans="1:35" ht="15" x14ac:dyDescent="0.2">
      <c r="A748" s="193" t="s">
        <v>2694</v>
      </c>
      <c r="B748" s="146" t="s">
        <v>668</v>
      </c>
      <c r="C748" s="193" t="s">
        <v>2694</v>
      </c>
      <c r="D748" s="211" t="s">
        <v>2349</v>
      </c>
      <c r="E748" s="146" t="s">
        <v>670</v>
      </c>
      <c r="F748" s="146" t="s">
        <v>671</v>
      </c>
      <c r="G748" s="146" t="s">
        <v>672</v>
      </c>
      <c r="H748" s="148">
        <v>1.67</v>
      </c>
      <c r="I748" s="146" t="s">
        <v>673</v>
      </c>
      <c r="J748" s="149">
        <v>1</v>
      </c>
      <c r="K748" s="150">
        <v>2021</v>
      </c>
      <c r="L748" s="210" t="s">
        <v>765</v>
      </c>
      <c r="M748" s="211" t="s">
        <v>2261</v>
      </c>
      <c r="N748" s="212"/>
      <c r="O748" s="211"/>
      <c r="P748" s="208" t="s">
        <v>676</v>
      </c>
      <c r="Q748" s="300"/>
      <c r="R748" s="155">
        <v>4</v>
      </c>
      <c r="S748" s="168"/>
      <c r="T748" s="168"/>
      <c r="U748" s="146"/>
      <c r="V748" s="146"/>
      <c r="W748" s="146"/>
      <c r="X748" s="156">
        <v>0</v>
      </c>
      <c r="Y748" s="156">
        <v>0</v>
      </c>
      <c r="Z748" s="157" t="s">
        <v>2160</v>
      </c>
      <c r="AA748" s="174">
        <v>2021</v>
      </c>
      <c r="AB748" s="175">
        <v>9</v>
      </c>
      <c r="AC748" s="175">
        <v>6</v>
      </c>
      <c r="AD748" s="122" t="b">
        <f>IF(ISBLANK(GroupMember[[#This Row],[1. Identifiant interne d’exploitation agricole*]]),"",IF(ISERROR(MATCH(GroupMember[[#This Row],[1. Identifiant interne d’exploitation agricole*]],CertifiedCrop[1. Identifiant interne d’exploitation agricole*],0)),FALSE,TRUE))</f>
        <v>1</v>
      </c>
      <c r="AE748" s="122" t="b">
        <f>IF(ISBLANK(GroupMember[[#This Row],[1. Identifiant interne d’exploitation agricole*]]),"",IF(ISERROR(MATCH(GroupMember[[#This Row],[1. Identifiant interne d’exploitation agricole*]],FarmUnit[1. Identifiant interne d’exploitation agricole*],0)),FALSE,TRUE))</f>
        <v>1</v>
      </c>
      <c r="AF748" s="9" t="str">
        <f t="shared" si="33"/>
        <v>KONE SEKOU</v>
      </c>
      <c r="AG748" s="243" t="str">
        <f t="shared" si="34"/>
        <v>6/9/2021</v>
      </c>
      <c r="AH748" s="51">
        <f>COUNTIFS(Z:Z,Z748,AG:AG,AG748)</f>
        <v>4</v>
      </c>
      <c r="AI748" s="49">
        <f t="shared" si="35"/>
        <v>0</v>
      </c>
    </row>
    <row r="749" spans="1:35" ht="15" x14ac:dyDescent="0.2">
      <c r="A749" s="193" t="s">
        <v>2695</v>
      </c>
      <c r="B749" s="146" t="s">
        <v>668</v>
      </c>
      <c r="C749" s="193" t="s">
        <v>2695</v>
      </c>
      <c r="D749" s="211" t="s">
        <v>2349</v>
      </c>
      <c r="E749" s="146" t="s">
        <v>670</v>
      </c>
      <c r="F749" s="146" t="s">
        <v>671</v>
      </c>
      <c r="G749" s="146" t="s">
        <v>672</v>
      </c>
      <c r="H749" s="148">
        <v>3.71</v>
      </c>
      <c r="I749" s="146" t="s">
        <v>673</v>
      </c>
      <c r="J749" s="149">
        <v>1</v>
      </c>
      <c r="K749" s="150">
        <v>2021</v>
      </c>
      <c r="L749" s="210" t="s">
        <v>765</v>
      </c>
      <c r="M749" s="211" t="s">
        <v>2696</v>
      </c>
      <c r="N749" s="212"/>
      <c r="O749" s="211"/>
      <c r="P749" s="208" t="s">
        <v>676</v>
      </c>
      <c r="Q749" s="278"/>
      <c r="R749" s="155">
        <v>5</v>
      </c>
      <c r="S749" s="168"/>
      <c r="T749" s="168"/>
      <c r="U749" s="146"/>
      <c r="V749" s="146"/>
      <c r="W749" s="146"/>
      <c r="X749" s="156">
        <v>0</v>
      </c>
      <c r="Y749" s="156">
        <v>0</v>
      </c>
      <c r="Z749" s="157" t="s">
        <v>2160</v>
      </c>
      <c r="AA749" s="174">
        <v>2021</v>
      </c>
      <c r="AB749" s="175">
        <v>9</v>
      </c>
      <c r="AC749" s="175">
        <v>14</v>
      </c>
      <c r="AD749" s="122" t="b">
        <f>IF(ISBLANK(GroupMember[[#This Row],[1. Identifiant interne d’exploitation agricole*]]),"",IF(ISERROR(MATCH(GroupMember[[#This Row],[1. Identifiant interne d’exploitation agricole*]],CertifiedCrop[1. Identifiant interne d’exploitation agricole*],0)),FALSE,TRUE))</f>
        <v>1</v>
      </c>
      <c r="AE749" s="122" t="b">
        <f>IF(ISBLANK(GroupMember[[#This Row],[1. Identifiant interne d’exploitation agricole*]]),"",IF(ISERROR(MATCH(GroupMember[[#This Row],[1. Identifiant interne d’exploitation agricole*]],FarmUnit[1. Identifiant interne d’exploitation agricole*],0)),FALSE,TRUE))</f>
        <v>1</v>
      </c>
      <c r="AF749" s="9" t="str">
        <f t="shared" si="33"/>
        <v>KONE ISMAHILA</v>
      </c>
      <c r="AG749" s="243" t="str">
        <f t="shared" si="34"/>
        <v>14/9/2021</v>
      </c>
      <c r="AH749" s="51">
        <f>COUNTIFS(Z:Z,Z749,AG:AG,AG749)</f>
        <v>4</v>
      </c>
      <c r="AI749" s="49">
        <f t="shared" si="35"/>
        <v>0</v>
      </c>
    </row>
    <row r="750" spans="1:35" ht="15" x14ac:dyDescent="0.2">
      <c r="A750" s="193" t="s">
        <v>2697</v>
      </c>
      <c r="B750" s="146" t="s">
        <v>668</v>
      </c>
      <c r="C750" s="193" t="s">
        <v>2697</v>
      </c>
      <c r="D750" s="211" t="s">
        <v>2349</v>
      </c>
      <c r="E750" s="146" t="s">
        <v>670</v>
      </c>
      <c r="F750" s="146" t="s">
        <v>671</v>
      </c>
      <c r="G750" s="146" t="s">
        <v>672</v>
      </c>
      <c r="H750" s="148">
        <v>9.06</v>
      </c>
      <c r="I750" s="146" t="s">
        <v>673</v>
      </c>
      <c r="J750" s="149">
        <v>3</v>
      </c>
      <c r="K750" s="150">
        <v>2021</v>
      </c>
      <c r="L750" s="210" t="s">
        <v>729</v>
      </c>
      <c r="M750" s="211" t="s">
        <v>2199</v>
      </c>
      <c r="N750" s="212"/>
      <c r="O750" s="211"/>
      <c r="P750" s="208" t="s">
        <v>676</v>
      </c>
      <c r="Q750" s="278"/>
      <c r="R750" s="155">
        <v>5</v>
      </c>
      <c r="S750" s="168"/>
      <c r="T750" s="168"/>
      <c r="U750" s="146"/>
      <c r="V750" s="146"/>
      <c r="W750" s="146"/>
      <c r="X750" s="156">
        <v>0</v>
      </c>
      <c r="Y750" s="156">
        <v>0</v>
      </c>
      <c r="Z750" s="157" t="s">
        <v>2160</v>
      </c>
      <c r="AA750" s="174">
        <v>2021</v>
      </c>
      <c r="AB750" s="175">
        <v>9</v>
      </c>
      <c r="AC750" s="175">
        <v>9</v>
      </c>
      <c r="AD750" s="122" t="b">
        <f>IF(ISBLANK(GroupMember[[#This Row],[1. Identifiant interne d’exploitation agricole*]]),"",IF(ISERROR(MATCH(GroupMember[[#This Row],[1. Identifiant interne d’exploitation agricole*]],CertifiedCrop[1. Identifiant interne d’exploitation agricole*],0)),FALSE,TRUE))</f>
        <v>1</v>
      </c>
      <c r="AE750" s="122" t="b">
        <f>IF(ISBLANK(GroupMember[[#This Row],[1. Identifiant interne d’exploitation agricole*]]),"",IF(ISERROR(MATCH(GroupMember[[#This Row],[1. Identifiant interne d’exploitation agricole*]],FarmUnit[1. Identifiant interne d’exploitation agricole*],0)),FALSE,TRUE))</f>
        <v>1</v>
      </c>
      <c r="AF750" s="9" t="str">
        <f t="shared" si="33"/>
        <v>DOUMBIA MOUSSA</v>
      </c>
      <c r="AG750" s="243" t="str">
        <f t="shared" si="34"/>
        <v>9/9/2021</v>
      </c>
      <c r="AH750" s="51">
        <f>COUNTIFS(Z:Z,Z750,AG:AG,AG750)</f>
        <v>5</v>
      </c>
      <c r="AI750" s="49">
        <f t="shared" si="35"/>
        <v>0</v>
      </c>
    </row>
    <row r="751" spans="1:35" ht="15" x14ac:dyDescent="0.2">
      <c r="A751" s="193" t="s">
        <v>2698</v>
      </c>
      <c r="B751" s="146" t="s">
        <v>668</v>
      </c>
      <c r="C751" s="193" t="s">
        <v>2698</v>
      </c>
      <c r="D751" s="211" t="s">
        <v>2349</v>
      </c>
      <c r="E751" s="146" t="s">
        <v>670</v>
      </c>
      <c r="F751" s="146" t="s">
        <v>671</v>
      </c>
      <c r="G751" s="146" t="s">
        <v>672</v>
      </c>
      <c r="H751" s="148">
        <v>1.51</v>
      </c>
      <c r="I751" s="146" t="s">
        <v>673</v>
      </c>
      <c r="J751" s="149">
        <v>1</v>
      </c>
      <c r="K751" s="150">
        <v>2021</v>
      </c>
      <c r="L751" s="210" t="s">
        <v>729</v>
      </c>
      <c r="M751" s="211" t="s">
        <v>1136</v>
      </c>
      <c r="N751" s="212"/>
      <c r="O751" s="211"/>
      <c r="P751" s="208" t="s">
        <v>676</v>
      </c>
      <c r="Q751" s="278"/>
      <c r="R751" s="155">
        <v>4</v>
      </c>
      <c r="S751" s="168"/>
      <c r="T751" s="168"/>
      <c r="U751" s="146"/>
      <c r="V751" s="146"/>
      <c r="W751" s="146"/>
      <c r="X751" s="156">
        <v>0</v>
      </c>
      <c r="Y751" s="156">
        <v>0</v>
      </c>
      <c r="Z751" s="157" t="s">
        <v>2160</v>
      </c>
      <c r="AA751" s="174">
        <v>2021</v>
      </c>
      <c r="AB751" s="175">
        <v>9</v>
      </c>
      <c r="AC751" s="175">
        <v>15</v>
      </c>
      <c r="AD751" s="122" t="b">
        <f>IF(ISBLANK(GroupMember[[#This Row],[1. Identifiant interne d’exploitation agricole*]]),"",IF(ISERROR(MATCH(GroupMember[[#This Row],[1. Identifiant interne d’exploitation agricole*]],CertifiedCrop[1. Identifiant interne d’exploitation agricole*],0)),FALSE,TRUE))</f>
        <v>1</v>
      </c>
      <c r="AE751" s="122" t="b">
        <f>IF(ISBLANK(GroupMember[[#This Row],[1. Identifiant interne d’exploitation agricole*]]),"",IF(ISERROR(MATCH(GroupMember[[#This Row],[1. Identifiant interne d’exploitation agricole*]],FarmUnit[1. Identifiant interne d’exploitation agricole*],0)),FALSE,TRUE))</f>
        <v>1</v>
      </c>
      <c r="AF751" s="9" t="str">
        <f t="shared" si="33"/>
        <v>DOUMBIA HAMED</v>
      </c>
      <c r="AG751" s="243" t="str">
        <f t="shared" si="34"/>
        <v>15/9/2021</v>
      </c>
      <c r="AH751" s="51">
        <f>COUNTIFS(Z:Z,Z751,AG:AG,AG751)</f>
        <v>5</v>
      </c>
      <c r="AI751" s="49">
        <f t="shared" si="35"/>
        <v>0</v>
      </c>
    </row>
    <row r="752" spans="1:35" ht="15" x14ac:dyDescent="0.2">
      <c r="A752" s="205" t="s">
        <v>2699</v>
      </c>
      <c r="B752" s="180" t="s">
        <v>668</v>
      </c>
      <c r="C752" s="205" t="s">
        <v>2699</v>
      </c>
      <c r="D752" s="213" t="s">
        <v>2349</v>
      </c>
      <c r="E752" s="180" t="s">
        <v>670</v>
      </c>
      <c r="F752" s="180" t="s">
        <v>671</v>
      </c>
      <c r="G752" s="180" t="s">
        <v>672</v>
      </c>
      <c r="H752" s="181">
        <v>3.08</v>
      </c>
      <c r="I752" s="180" t="s">
        <v>673</v>
      </c>
      <c r="J752" s="182">
        <v>1</v>
      </c>
      <c r="K752" s="179">
        <v>2021</v>
      </c>
      <c r="L752" s="214" t="s">
        <v>765</v>
      </c>
      <c r="M752" s="213" t="s">
        <v>2332</v>
      </c>
      <c r="N752" s="215" t="s">
        <v>2700</v>
      </c>
      <c r="O752" s="213"/>
      <c r="P752" s="216" t="s">
        <v>676</v>
      </c>
      <c r="Q752" s="298"/>
      <c r="R752" s="155">
        <v>5</v>
      </c>
      <c r="S752" s="185"/>
      <c r="T752" s="185"/>
      <c r="U752" s="180"/>
      <c r="V752" s="180"/>
      <c r="W752" s="180"/>
      <c r="X752" s="186">
        <v>0</v>
      </c>
      <c r="Y752" s="186">
        <v>0</v>
      </c>
      <c r="Z752" s="187" t="s">
        <v>2160</v>
      </c>
      <c r="AA752" s="174">
        <v>2021</v>
      </c>
      <c r="AB752" s="188">
        <v>9</v>
      </c>
      <c r="AC752" s="188">
        <v>4</v>
      </c>
      <c r="AD752" s="122" t="b">
        <f>IF(ISBLANK(GroupMember[[#This Row],[1. Identifiant interne d’exploitation agricole*]]),"",IF(ISERROR(MATCH(GroupMember[[#This Row],[1. Identifiant interne d’exploitation agricole*]],CertifiedCrop[1. Identifiant interne d’exploitation agricole*],0)),FALSE,TRUE))</f>
        <v>1</v>
      </c>
      <c r="AE752" s="122" t="b">
        <f>IF(ISBLANK(GroupMember[[#This Row],[1. Identifiant interne d’exploitation agricole*]]),"",IF(ISERROR(MATCH(GroupMember[[#This Row],[1. Identifiant interne d’exploitation agricole*]],FarmUnit[1. Identifiant interne d’exploitation agricole*],0)),FALSE,TRUE))</f>
        <v>1</v>
      </c>
      <c r="AF752" s="9" t="str">
        <f t="shared" si="33"/>
        <v>KONE BAKARY</v>
      </c>
      <c r="AG752" s="243" t="str">
        <f t="shared" si="34"/>
        <v>4/9/2021</v>
      </c>
      <c r="AH752" s="51">
        <f>COUNTIFS(Z:Z,Z752,AG:AG,AG752)</f>
        <v>5</v>
      </c>
      <c r="AI752" s="49">
        <f t="shared" si="35"/>
        <v>0</v>
      </c>
    </row>
    <row r="753" spans="1:35" ht="15" x14ac:dyDescent="0.2">
      <c r="A753" s="193" t="s">
        <v>2701</v>
      </c>
      <c r="B753" s="146" t="s">
        <v>668</v>
      </c>
      <c r="C753" s="193" t="s">
        <v>2701</v>
      </c>
      <c r="D753" s="211" t="s">
        <v>2349</v>
      </c>
      <c r="E753" s="146" t="s">
        <v>670</v>
      </c>
      <c r="F753" s="146" t="s">
        <v>671</v>
      </c>
      <c r="G753" s="146" t="s">
        <v>672</v>
      </c>
      <c r="H753" s="148">
        <v>1.46</v>
      </c>
      <c r="I753" s="146" t="s">
        <v>673</v>
      </c>
      <c r="J753" s="149">
        <v>1</v>
      </c>
      <c r="K753" s="150">
        <v>2021</v>
      </c>
      <c r="L753" s="210" t="s">
        <v>701</v>
      </c>
      <c r="M753" s="211" t="s">
        <v>2702</v>
      </c>
      <c r="N753" s="212"/>
      <c r="O753" s="211"/>
      <c r="P753" s="208" t="s">
        <v>751</v>
      </c>
      <c r="Q753" s="278"/>
      <c r="R753" s="155">
        <v>8</v>
      </c>
      <c r="S753" s="168"/>
      <c r="T753" s="168"/>
      <c r="U753" s="146"/>
      <c r="V753" s="146"/>
      <c r="W753" s="146"/>
      <c r="X753" s="156">
        <v>0</v>
      </c>
      <c r="Y753" s="156">
        <v>0</v>
      </c>
      <c r="Z753" s="157" t="s">
        <v>2703</v>
      </c>
      <c r="AA753" s="158">
        <v>2021</v>
      </c>
      <c r="AB753" s="158">
        <v>7</v>
      </c>
      <c r="AC753" s="158">
        <v>3</v>
      </c>
      <c r="AD753" s="122" t="b">
        <f>IF(ISBLANK(GroupMember[[#This Row],[1. Identifiant interne d’exploitation agricole*]]),"",IF(ISERROR(MATCH(GroupMember[[#This Row],[1. Identifiant interne d’exploitation agricole*]],CertifiedCrop[1. Identifiant interne d’exploitation agricole*],0)),FALSE,TRUE))</f>
        <v>1</v>
      </c>
      <c r="AE753" s="122" t="b">
        <f>IF(ISBLANK(GroupMember[[#This Row],[1. Identifiant interne d’exploitation agricole*]]),"",IF(ISERROR(MATCH(GroupMember[[#This Row],[1. Identifiant interne d’exploitation agricole*]],FarmUnit[1. Identifiant interne d’exploitation agricole*],0)),FALSE,TRUE))</f>
        <v>1</v>
      </c>
      <c r="AF753" s="9" t="str">
        <f t="shared" si="33"/>
        <v>OUATTARA SAIMATA</v>
      </c>
      <c r="AG753" s="243" t="str">
        <f t="shared" si="34"/>
        <v>3/7/2021</v>
      </c>
      <c r="AH753" s="51">
        <f>COUNTIFS(Z:Z,Z753,AG:AG,AG753)</f>
        <v>4</v>
      </c>
      <c r="AI753" s="49">
        <f t="shared" si="35"/>
        <v>0</v>
      </c>
    </row>
    <row r="754" spans="1:35" ht="15" x14ac:dyDescent="0.2">
      <c r="A754" s="193" t="s">
        <v>2704</v>
      </c>
      <c r="B754" s="146" t="s">
        <v>668</v>
      </c>
      <c r="C754" s="193" t="s">
        <v>2704</v>
      </c>
      <c r="D754" s="211" t="s">
        <v>2349</v>
      </c>
      <c r="E754" s="146" t="s">
        <v>670</v>
      </c>
      <c r="F754" s="146" t="s">
        <v>671</v>
      </c>
      <c r="G754" s="146" t="s">
        <v>672</v>
      </c>
      <c r="H754" s="148">
        <v>1.89</v>
      </c>
      <c r="I754" s="146" t="s">
        <v>673</v>
      </c>
      <c r="J754" s="149">
        <v>1</v>
      </c>
      <c r="K754" s="150">
        <v>2021</v>
      </c>
      <c r="L754" s="210" t="s">
        <v>765</v>
      </c>
      <c r="M754" s="211" t="s">
        <v>2705</v>
      </c>
      <c r="N754" s="212"/>
      <c r="O754" s="211"/>
      <c r="P754" s="208" t="s">
        <v>676</v>
      </c>
      <c r="Q754" s="278"/>
      <c r="R754" s="155">
        <v>7</v>
      </c>
      <c r="S754" s="168"/>
      <c r="T754" s="168"/>
      <c r="U754" s="146"/>
      <c r="V754" s="146"/>
      <c r="W754" s="146"/>
      <c r="X754" s="156">
        <v>0</v>
      </c>
      <c r="Y754" s="156">
        <v>0</v>
      </c>
      <c r="Z754" s="157" t="s">
        <v>2703</v>
      </c>
      <c r="AA754" s="158">
        <v>2021</v>
      </c>
      <c r="AB754" s="158">
        <v>7</v>
      </c>
      <c r="AC754" s="158">
        <v>6</v>
      </c>
      <c r="AD754" s="122" t="b">
        <f>IF(ISBLANK(GroupMember[[#This Row],[1. Identifiant interne d’exploitation agricole*]]),"",IF(ISERROR(MATCH(GroupMember[[#This Row],[1. Identifiant interne d’exploitation agricole*]],CertifiedCrop[1. Identifiant interne d’exploitation agricole*],0)),FALSE,TRUE))</f>
        <v>1</v>
      </c>
      <c r="AE754" s="122" t="b">
        <f>IF(ISBLANK(GroupMember[[#This Row],[1. Identifiant interne d’exploitation agricole*]]),"",IF(ISERROR(MATCH(GroupMember[[#This Row],[1. Identifiant interne d’exploitation agricole*]],FarmUnit[1. Identifiant interne d’exploitation agricole*],0)),FALSE,TRUE))</f>
        <v>1</v>
      </c>
      <c r="AF754" s="9" t="str">
        <f t="shared" si="33"/>
        <v>KONE CHARKA</v>
      </c>
      <c r="AG754" s="243" t="str">
        <f t="shared" si="34"/>
        <v>6/7/2021</v>
      </c>
      <c r="AH754" s="51">
        <f>COUNTIFS(Z:Z,Z754,AG:AG,AG754)</f>
        <v>4</v>
      </c>
      <c r="AI754" s="49">
        <f t="shared" si="35"/>
        <v>0</v>
      </c>
    </row>
    <row r="755" spans="1:35" ht="15" x14ac:dyDescent="0.2">
      <c r="A755" s="193" t="s">
        <v>2706</v>
      </c>
      <c r="B755" s="146" t="s">
        <v>668</v>
      </c>
      <c r="C755" s="193" t="s">
        <v>2706</v>
      </c>
      <c r="D755" s="211" t="s">
        <v>2349</v>
      </c>
      <c r="E755" s="146" t="s">
        <v>670</v>
      </c>
      <c r="F755" s="146" t="s">
        <v>671</v>
      </c>
      <c r="G755" s="146" t="s">
        <v>672</v>
      </c>
      <c r="H755" s="148">
        <v>3.13</v>
      </c>
      <c r="I755" s="146" t="s">
        <v>673</v>
      </c>
      <c r="J755" s="149">
        <v>1</v>
      </c>
      <c r="K755" s="150">
        <v>2021</v>
      </c>
      <c r="L755" s="210" t="s">
        <v>715</v>
      </c>
      <c r="M755" s="211" t="s">
        <v>2707</v>
      </c>
      <c r="N755" s="212" t="s">
        <v>2708</v>
      </c>
      <c r="O755" s="211"/>
      <c r="P755" s="208" t="s">
        <v>676</v>
      </c>
      <c r="Q755" s="278"/>
      <c r="R755" s="155">
        <v>6</v>
      </c>
      <c r="S755" s="168"/>
      <c r="T755" s="168"/>
      <c r="U755" s="146"/>
      <c r="V755" s="146"/>
      <c r="W755" s="146"/>
      <c r="X755" s="156">
        <v>0</v>
      </c>
      <c r="Y755" s="156">
        <v>0</v>
      </c>
      <c r="Z755" s="157" t="s">
        <v>2703</v>
      </c>
      <c r="AA755" s="158">
        <v>2021</v>
      </c>
      <c r="AB755" s="158">
        <v>7</v>
      </c>
      <c r="AC755" s="158">
        <v>10</v>
      </c>
      <c r="AD755" s="122" t="b">
        <f>IF(ISBLANK(GroupMember[[#This Row],[1. Identifiant interne d’exploitation agricole*]]),"",IF(ISERROR(MATCH(GroupMember[[#This Row],[1. Identifiant interne d’exploitation agricole*]],CertifiedCrop[1. Identifiant interne d’exploitation agricole*],0)),FALSE,TRUE))</f>
        <v>1</v>
      </c>
      <c r="AE755" s="122" t="b">
        <f>IF(ISBLANK(GroupMember[[#This Row],[1. Identifiant interne d’exploitation agricole*]]),"",IF(ISERROR(MATCH(GroupMember[[#This Row],[1. Identifiant interne d’exploitation agricole*]],FarmUnit[1. Identifiant interne d’exploitation agricole*],0)),FALSE,TRUE))</f>
        <v>1</v>
      </c>
      <c r="AF755" s="9" t="str">
        <f t="shared" ref="AF755:AF818" si="36">IFERROR(CONCATENATE(L755," ",M755),"")</f>
        <v>TRAORE SOUMAHILA</v>
      </c>
      <c r="AG755" s="243" t="str">
        <f t="shared" ref="AG755:AG818" si="37">CONCATENATE(AC755,"/",AB755,"/",AA755)</f>
        <v>10/7/2021</v>
      </c>
      <c r="AH755" s="51">
        <f>COUNTIFS(Z:Z,Z755,AG:AG,AG755)</f>
        <v>4</v>
      </c>
      <c r="AI755" s="49">
        <f t="shared" ref="AI755:AI818" si="38">IF((X755+Y755/12)&lt;0,"",(X755+Y755/12))</f>
        <v>0</v>
      </c>
    </row>
    <row r="756" spans="1:35" ht="15" x14ac:dyDescent="0.2">
      <c r="A756" s="193" t="s">
        <v>2709</v>
      </c>
      <c r="B756" s="146" t="s">
        <v>668</v>
      </c>
      <c r="C756" s="193" t="s">
        <v>2709</v>
      </c>
      <c r="D756" s="211" t="s">
        <v>2349</v>
      </c>
      <c r="E756" s="146" t="s">
        <v>670</v>
      </c>
      <c r="F756" s="146" t="s">
        <v>671</v>
      </c>
      <c r="G756" s="146" t="s">
        <v>672</v>
      </c>
      <c r="H756" s="148">
        <v>3.31</v>
      </c>
      <c r="I756" s="146" t="s">
        <v>673</v>
      </c>
      <c r="J756" s="149">
        <v>1</v>
      </c>
      <c r="K756" s="150">
        <v>2021</v>
      </c>
      <c r="L756" s="210" t="s">
        <v>729</v>
      </c>
      <c r="M756" s="211" t="s">
        <v>1805</v>
      </c>
      <c r="N756" s="212" t="s">
        <v>2710</v>
      </c>
      <c r="O756" s="211"/>
      <c r="P756" s="208" t="s">
        <v>676</v>
      </c>
      <c r="Q756" s="278"/>
      <c r="R756" s="155">
        <v>8</v>
      </c>
      <c r="S756" s="168"/>
      <c r="T756" s="168"/>
      <c r="U756" s="146"/>
      <c r="V756" s="146"/>
      <c r="W756" s="146"/>
      <c r="X756" s="156">
        <v>0</v>
      </c>
      <c r="Y756" s="156">
        <v>0</v>
      </c>
      <c r="Z756" s="157" t="s">
        <v>2703</v>
      </c>
      <c r="AA756" s="158">
        <v>2021</v>
      </c>
      <c r="AB756" s="158">
        <v>7</v>
      </c>
      <c r="AC756" s="158">
        <v>19</v>
      </c>
      <c r="AD756" s="122" t="b">
        <f>IF(ISBLANK(GroupMember[[#This Row],[1. Identifiant interne d’exploitation agricole*]]),"",IF(ISERROR(MATCH(GroupMember[[#This Row],[1. Identifiant interne d’exploitation agricole*]],CertifiedCrop[1. Identifiant interne d’exploitation agricole*],0)),FALSE,TRUE))</f>
        <v>1</v>
      </c>
      <c r="AE756" s="122" t="b">
        <f>IF(ISBLANK(GroupMember[[#This Row],[1. Identifiant interne d’exploitation agricole*]]),"",IF(ISERROR(MATCH(GroupMember[[#This Row],[1. Identifiant interne d’exploitation agricole*]],FarmUnit[1. Identifiant interne d’exploitation agricole*],0)),FALSE,TRUE))</f>
        <v>1</v>
      </c>
      <c r="AF756" s="9" t="str">
        <f t="shared" si="36"/>
        <v>DOUMBIA YAYA</v>
      </c>
      <c r="AG756" s="243" t="str">
        <f t="shared" si="37"/>
        <v>19/7/2021</v>
      </c>
      <c r="AH756" s="51">
        <f>COUNTIFS(Z:Z,Z756,AG:AG,AG756)</f>
        <v>4</v>
      </c>
      <c r="AI756" s="49">
        <f t="shared" si="38"/>
        <v>0</v>
      </c>
    </row>
    <row r="757" spans="1:35" ht="15" x14ac:dyDescent="0.2">
      <c r="A757" s="193" t="s">
        <v>2711</v>
      </c>
      <c r="B757" s="146" t="s">
        <v>668</v>
      </c>
      <c r="C757" s="193" t="s">
        <v>2711</v>
      </c>
      <c r="D757" s="211" t="s">
        <v>2349</v>
      </c>
      <c r="E757" s="146" t="s">
        <v>670</v>
      </c>
      <c r="F757" s="146" t="s">
        <v>671</v>
      </c>
      <c r="G757" s="146" t="s">
        <v>672</v>
      </c>
      <c r="H757" s="148">
        <v>1.84</v>
      </c>
      <c r="I757" s="146" t="s">
        <v>673</v>
      </c>
      <c r="J757" s="149">
        <v>1</v>
      </c>
      <c r="K757" s="150">
        <v>2021</v>
      </c>
      <c r="L757" s="210" t="s">
        <v>701</v>
      </c>
      <c r="M757" s="211" t="s">
        <v>2199</v>
      </c>
      <c r="N757" s="212" t="s">
        <v>2712</v>
      </c>
      <c r="O757" s="211"/>
      <c r="P757" s="208" t="s">
        <v>676</v>
      </c>
      <c r="Q757" s="278"/>
      <c r="R757" s="155">
        <v>7</v>
      </c>
      <c r="S757" s="168"/>
      <c r="T757" s="168"/>
      <c r="U757" s="146"/>
      <c r="V757" s="146"/>
      <c r="W757" s="146"/>
      <c r="X757" s="156">
        <v>0</v>
      </c>
      <c r="Y757" s="156">
        <v>0</v>
      </c>
      <c r="Z757" s="157" t="s">
        <v>2703</v>
      </c>
      <c r="AA757" s="158">
        <v>2021</v>
      </c>
      <c r="AB757" s="158">
        <v>7</v>
      </c>
      <c r="AC757" s="158">
        <v>21</v>
      </c>
      <c r="AD757" s="122" t="b">
        <f>IF(ISBLANK(GroupMember[[#This Row],[1. Identifiant interne d’exploitation agricole*]]),"",IF(ISERROR(MATCH(GroupMember[[#This Row],[1. Identifiant interne d’exploitation agricole*]],CertifiedCrop[1. Identifiant interne d’exploitation agricole*],0)),FALSE,TRUE))</f>
        <v>1</v>
      </c>
      <c r="AE757" s="122" t="b">
        <f>IF(ISBLANK(GroupMember[[#This Row],[1. Identifiant interne d’exploitation agricole*]]),"",IF(ISERROR(MATCH(GroupMember[[#This Row],[1. Identifiant interne d’exploitation agricole*]],FarmUnit[1. Identifiant interne d’exploitation agricole*],0)),FALSE,TRUE))</f>
        <v>1</v>
      </c>
      <c r="AF757" s="9" t="str">
        <f t="shared" si="36"/>
        <v>OUATTARA MOUSSA</v>
      </c>
      <c r="AG757" s="243" t="str">
        <f t="shared" si="37"/>
        <v>21/7/2021</v>
      </c>
      <c r="AH757" s="51">
        <f>COUNTIFS(Z:Z,Z757,AG:AG,AG757)</f>
        <v>5</v>
      </c>
      <c r="AI757" s="49">
        <f t="shared" si="38"/>
        <v>0</v>
      </c>
    </row>
    <row r="758" spans="1:35" ht="15" x14ac:dyDescent="0.2">
      <c r="A758" s="193" t="s">
        <v>2713</v>
      </c>
      <c r="B758" s="146" t="s">
        <v>668</v>
      </c>
      <c r="C758" s="193" t="s">
        <v>2713</v>
      </c>
      <c r="D758" s="211" t="s">
        <v>2349</v>
      </c>
      <c r="E758" s="146" t="s">
        <v>670</v>
      </c>
      <c r="F758" s="146" t="s">
        <v>671</v>
      </c>
      <c r="G758" s="146" t="s">
        <v>672</v>
      </c>
      <c r="H758" s="148">
        <v>1.34</v>
      </c>
      <c r="I758" s="146" t="s">
        <v>673</v>
      </c>
      <c r="J758" s="149">
        <v>1</v>
      </c>
      <c r="K758" s="150">
        <v>2021</v>
      </c>
      <c r="L758" s="210" t="s">
        <v>939</v>
      </c>
      <c r="M758" s="211" t="s">
        <v>1808</v>
      </c>
      <c r="N758" s="212"/>
      <c r="O758" s="211" t="s">
        <v>2714</v>
      </c>
      <c r="P758" s="208" t="s">
        <v>676</v>
      </c>
      <c r="Q758" s="150">
        <v>1983</v>
      </c>
      <c r="R758" s="155">
        <v>6</v>
      </c>
      <c r="S758" s="168"/>
      <c r="T758" s="168"/>
      <c r="U758" s="146"/>
      <c r="V758" s="146"/>
      <c r="W758" s="146"/>
      <c r="X758" s="156">
        <v>0</v>
      </c>
      <c r="Y758" s="156">
        <v>0</v>
      </c>
      <c r="Z758" s="157" t="s">
        <v>2703</v>
      </c>
      <c r="AA758" s="158">
        <v>2021</v>
      </c>
      <c r="AB758" s="158">
        <v>7</v>
      </c>
      <c r="AC758" s="158">
        <v>23</v>
      </c>
      <c r="AD758" s="122" t="b">
        <f>IF(ISBLANK(GroupMember[[#This Row],[1. Identifiant interne d’exploitation agricole*]]),"",IF(ISERROR(MATCH(GroupMember[[#This Row],[1. Identifiant interne d’exploitation agricole*]],CertifiedCrop[1. Identifiant interne d’exploitation agricole*],0)),FALSE,TRUE))</f>
        <v>1</v>
      </c>
      <c r="AE758" s="122" t="b">
        <f>IF(ISBLANK(GroupMember[[#This Row],[1. Identifiant interne d’exploitation agricole*]]),"",IF(ISERROR(MATCH(GroupMember[[#This Row],[1. Identifiant interne d’exploitation agricole*]],FarmUnit[1. Identifiant interne d’exploitation agricole*],0)),FALSE,TRUE))</f>
        <v>1</v>
      </c>
      <c r="AF758" s="9" t="str">
        <f t="shared" si="36"/>
        <v>SANOGO SOLO</v>
      </c>
      <c r="AG758" s="243" t="str">
        <f t="shared" si="37"/>
        <v>23/7/2021</v>
      </c>
      <c r="AH758" s="51">
        <f>COUNTIFS(Z:Z,Z758,AG:AG,AG758)</f>
        <v>5</v>
      </c>
      <c r="AI758" s="49">
        <f t="shared" si="38"/>
        <v>0</v>
      </c>
    </row>
    <row r="759" spans="1:35" ht="15" x14ac:dyDescent="0.2">
      <c r="A759" s="193" t="s">
        <v>2715</v>
      </c>
      <c r="B759" s="146" t="s">
        <v>668</v>
      </c>
      <c r="C759" s="193" t="s">
        <v>2715</v>
      </c>
      <c r="D759" s="211" t="s">
        <v>2349</v>
      </c>
      <c r="E759" s="146" t="s">
        <v>670</v>
      </c>
      <c r="F759" s="146" t="s">
        <v>671</v>
      </c>
      <c r="G759" s="146" t="s">
        <v>672</v>
      </c>
      <c r="H759" s="148">
        <v>2.0099999999999998</v>
      </c>
      <c r="I759" s="146" t="s">
        <v>673</v>
      </c>
      <c r="J759" s="149">
        <v>1</v>
      </c>
      <c r="K759" s="150">
        <v>2021</v>
      </c>
      <c r="L759" s="210" t="s">
        <v>1193</v>
      </c>
      <c r="M759" s="211" t="s">
        <v>2716</v>
      </c>
      <c r="N759" s="212" t="s">
        <v>2717</v>
      </c>
      <c r="O759" s="110" t="s">
        <v>3365</v>
      </c>
      <c r="P759" s="208" t="s">
        <v>676</v>
      </c>
      <c r="Q759" s="278">
        <v>1976</v>
      </c>
      <c r="R759" s="155">
        <v>5</v>
      </c>
      <c r="S759" s="168"/>
      <c r="T759" s="168"/>
      <c r="U759" s="146"/>
      <c r="V759" s="146"/>
      <c r="W759" s="146"/>
      <c r="X759" s="156">
        <v>0</v>
      </c>
      <c r="Y759" s="156">
        <v>0</v>
      </c>
      <c r="Z759" s="157" t="s">
        <v>2703</v>
      </c>
      <c r="AA759" s="158">
        <v>2021</v>
      </c>
      <c r="AB759" s="158">
        <v>7</v>
      </c>
      <c r="AC759" s="158">
        <v>23</v>
      </c>
      <c r="AD759" s="122" t="b">
        <f>IF(ISBLANK(GroupMember[[#This Row],[1. Identifiant interne d’exploitation agricole*]]),"",IF(ISERROR(MATCH(GroupMember[[#This Row],[1. Identifiant interne d’exploitation agricole*]],CertifiedCrop[1. Identifiant interne d’exploitation agricole*],0)),FALSE,TRUE))</f>
        <v>1</v>
      </c>
      <c r="AE759" s="122" t="b">
        <f>IF(ISBLANK(GroupMember[[#This Row],[1. Identifiant interne d’exploitation agricole*]]),"",IF(ISERROR(MATCH(GroupMember[[#This Row],[1. Identifiant interne d’exploitation agricole*]],FarmUnit[1. Identifiant interne d’exploitation agricole*],0)),FALSE,TRUE))</f>
        <v>1</v>
      </c>
      <c r="AF759" s="9" t="str">
        <f t="shared" si="36"/>
        <v>DIOMANDE SALIF</v>
      </c>
      <c r="AG759" s="243" t="str">
        <f t="shared" si="37"/>
        <v>23/7/2021</v>
      </c>
      <c r="AH759" s="51">
        <f>COUNTIFS(Z:Z,Z759,AG:AG,AG759)</f>
        <v>5</v>
      </c>
      <c r="AI759" s="49">
        <f t="shared" si="38"/>
        <v>0</v>
      </c>
    </row>
    <row r="760" spans="1:35" ht="15" x14ac:dyDescent="0.2">
      <c r="A760" s="193" t="s">
        <v>2718</v>
      </c>
      <c r="B760" s="146" t="s">
        <v>668</v>
      </c>
      <c r="C760" s="193" t="s">
        <v>2718</v>
      </c>
      <c r="D760" s="211" t="s">
        <v>2349</v>
      </c>
      <c r="E760" s="146" t="s">
        <v>670</v>
      </c>
      <c r="F760" s="146" t="s">
        <v>671</v>
      </c>
      <c r="G760" s="146" t="s">
        <v>672</v>
      </c>
      <c r="H760" s="148">
        <v>3.48</v>
      </c>
      <c r="I760" s="146" t="s">
        <v>673</v>
      </c>
      <c r="J760" s="149">
        <v>1</v>
      </c>
      <c r="K760" s="150">
        <v>2021</v>
      </c>
      <c r="L760" s="210" t="s">
        <v>1193</v>
      </c>
      <c r="M760" s="211" t="s">
        <v>753</v>
      </c>
      <c r="N760" s="212" t="s">
        <v>2719</v>
      </c>
      <c r="O760" s="217" t="s">
        <v>3366</v>
      </c>
      <c r="P760" s="208" t="s">
        <v>676</v>
      </c>
      <c r="Q760" s="278">
        <v>1977</v>
      </c>
      <c r="R760" s="155">
        <v>7</v>
      </c>
      <c r="S760" s="168"/>
      <c r="T760" s="168"/>
      <c r="U760" s="146"/>
      <c r="V760" s="146"/>
      <c r="W760" s="146"/>
      <c r="X760" s="156">
        <v>0</v>
      </c>
      <c r="Y760" s="156">
        <v>0</v>
      </c>
      <c r="Z760" s="157" t="s">
        <v>2703</v>
      </c>
      <c r="AA760" s="158">
        <v>2021</v>
      </c>
      <c r="AB760" s="158">
        <v>7</v>
      </c>
      <c r="AC760" s="158">
        <v>7</v>
      </c>
      <c r="AD760" s="122" t="b">
        <f>IF(ISBLANK(GroupMember[[#This Row],[1. Identifiant interne d’exploitation agricole*]]),"",IF(ISERROR(MATCH(GroupMember[[#This Row],[1. Identifiant interne d’exploitation agricole*]],CertifiedCrop[1. Identifiant interne d’exploitation agricole*],0)),FALSE,TRUE))</f>
        <v>1</v>
      </c>
      <c r="AE760" s="122" t="b">
        <f>IF(ISBLANK(GroupMember[[#This Row],[1. Identifiant interne d’exploitation agricole*]]),"",IF(ISERROR(MATCH(GroupMember[[#This Row],[1. Identifiant interne d’exploitation agricole*]],FarmUnit[1. Identifiant interne d’exploitation agricole*],0)),FALSE,TRUE))</f>
        <v>1</v>
      </c>
      <c r="AF760" s="9" t="str">
        <f t="shared" si="36"/>
        <v>DIOMANDE ADAMA</v>
      </c>
      <c r="AG760" s="243" t="str">
        <f t="shared" si="37"/>
        <v>7/7/2021</v>
      </c>
      <c r="AH760" s="51">
        <f>COUNTIFS(Z:Z,Z760,AG:AG,AG760)</f>
        <v>4</v>
      </c>
      <c r="AI760" s="49">
        <f t="shared" si="38"/>
        <v>0</v>
      </c>
    </row>
    <row r="761" spans="1:35" ht="15" x14ac:dyDescent="0.2">
      <c r="A761" s="193" t="s">
        <v>2720</v>
      </c>
      <c r="B761" s="146" t="s">
        <v>668</v>
      </c>
      <c r="C761" s="193" t="s">
        <v>2720</v>
      </c>
      <c r="D761" s="211" t="s">
        <v>2349</v>
      </c>
      <c r="E761" s="146" t="s">
        <v>670</v>
      </c>
      <c r="F761" s="146" t="s">
        <v>671</v>
      </c>
      <c r="G761" s="146" t="s">
        <v>672</v>
      </c>
      <c r="H761" s="148">
        <v>2.17</v>
      </c>
      <c r="I761" s="146" t="s">
        <v>673</v>
      </c>
      <c r="J761" s="149">
        <v>1</v>
      </c>
      <c r="K761" s="150">
        <v>2021</v>
      </c>
      <c r="L761" s="210" t="s">
        <v>1193</v>
      </c>
      <c r="M761" s="211" t="s">
        <v>2721</v>
      </c>
      <c r="N761" s="212" t="s">
        <v>2722</v>
      </c>
      <c r="O761" s="287" t="s">
        <v>3367</v>
      </c>
      <c r="P761" s="208" t="s">
        <v>751</v>
      </c>
      <c r="Q761" s="278">
        <v>1974</v>
      </c>
      <c r="R761" s="155">
        <v>4</v>
      </c>
      <c r="S761" s="168"/>
      <c r="T761" s="168"/>
      <c r="U761" s="146"/>
      <c r="V761" s="146"/>
      <c r="W761" s="146"/>
      <c r="X761" s="156">
        <v>0</v>
      </c>
      <c r="Y761" s="156">
        <v>0</v>
      </c>
      <c r="Z761" s="157" t="s">
        <v>2703</v>
      </c>
      <c r="AA761" s="158">
        <v>2021</v>
      </c>
      <c r="AB761" s="158">
        <v>7</v>
      </c>
      <c r="AC761" s="158">
        <v>10</v>
      </c>
      <c r="AD761" s="122" t="b">
        <f>IF(ISBLANK(GroupMember[[#This Row],[1. Identifiant interne d’exploitation agricole*]]),"",IF(ISERROR(MATCH(GroupMember[[#This Row],[1. Identifiant interne d’exploitation agricole*]],CertifiedCrop[1. Identifiant interne d’exploitation agricole*],0)),FALSE,TRUE))</f>
        <v>1</v>
      </c>
      <c r="AE761" s="122" t="b">
        <f>IF(ISBLANK(GroupMember[[#This Row],[1. Identifiant interne d’exploitation agricole*]]),"",IF(ISERROR(MATCH(GroupMember[[#This Row],[1. Identifiant interne d’exploitation agricole*]],FarmUnit[1. Identifiant interne d’exploitation agricole*],0)),FALSE,TRUE))</f>
        <v>1</v>
      </c>
      <c r="AF761" s="9" t="str">
        <f t="shared" si="36"/>
        <v>DIOMANDE AMINATA</v>
      </c>
      <c r="AG761" s="243" t="str">
        <f t="shared" si="37"/>
        <v>10/7/2021</v>
      </c>
      <c r="AH761" s="51">
        <f>COUNTIFS(Z:Z,Z761,AG:AG,AG761)</f>
        <v>4</v>
      </c>
      <c r="AI761" s="49">
        <f t="shared" si="38"/>
        <v>0</v>
      </c>
    </row>
    <row r="762" spans="1:35" ht="15" x14ac:dyDescent="0.2">
      <c r="A762" s="193" t="s">
        <v>2723</v>
      </c>
      <c r="B762" s="146" t="s">
        <v>668</v>
      </c>
      <c r="C762" s="193" t="s">
        <v>2723</v>
      </c>
      <c r="D762" s="211" t="s">
        <v>2349</v>
      </c>
      <c r="E762" s="146" t="s">
        <v>670</v>
      </c>
      <c r="F762" s="146" t="s">
        <v>671</v>
      </c>
      <c r="G762" s="146" t="s">
        <v>672</v>
      </c>
      <c r="H762" s="148">
        <v>2.5</v>
      </c>
      <c r="I762" s="146" t="s">
        <v>673</v>
      </c>
      <c r="J762" s="149">
        <v>1</v>
      </c>
      <c r="K762" s="150">
        <v>2021</v>
      </c>
      <c r="L762" s="210" t="s">
        <v>701</v>
      </c>
      <c r="M762" s="211" t="s">
        <v>2724</v>
      </c>
      <c r="N762" s="212" t="s">
        <v>2725</v>
      </c>
      <c r="O762" s="287" t="s">
        <v>3368</v>
      </c>
      <c r="P762" s="208" t="s">
        <v>676</v>
      </c>
      <c r="Q762" s="278">
        <v>1990</v>
      </c>
      <c r="R762" s="155">
        <v>5</v>
      </c>
      <c r="S762" s="168"/>
      <c r="T762" s="168"/>
      <c r="U762" s="146"/>
      <c r="V762" s="146"/>
      <c r="W762" s="146"/>
      <c r="X762" s="156">
        <v>0</v>
      </c>
      <c r="Y762" s="156">
        <v>0</v>
      </c>
      <c r="Z762" s="157" t="s">
        <v>2703</v>
      </c>
      <c r="AA762" s="158">
        <v>2021</v>
      </c>
      <c r="AB762" s="158">
        <v>7</v>
      </c>
      <c r="AC762" s="158">
        <v>19</v>
      </c>
      <c r="AD762" s="122" t="b">
        <f>IF(ISBLANK(GroupMember[[#This Row],[1. Identifiant interne d’exploitation agricole*]]),"",IF(ISERROR(MATCH(GroupMember[[#This Row],[1. Identifiant interne d’exploitation agricole*]],CertifiedCrop[1. Identifiant interne d’exploitation agricole*],0)),FALSE,TRUE))</f>
        <v>1</v>
      </c>
      <c r="AE762" s="122" t="b">
        <f>IF(ISBLANK(GroupMember[[#This Row],[1. Identifiant interne d’exploitation agricole*]]),"",IF(ISERROR(MATCH(GroupMember[[#This Row],[1. Identifiant interne d’exploitation agricole*]],FarmUnit[1. Identifiant interne d’exploitation agricole*],0)),FALSE,TRUE))</f>
        <v>1</v>
      </c>
      <c r="AF762" s="9" t="str">
        <f t="shared" si="36"/>
        <v>OUATTARA N'GOLO</v>
      </c>
      <c r="AG762" s="243" t="str">
        <f t="shared" si="37"/>
        <v>19/7/2021</v>
      </c>
      <c r="AH762" s="51">
        <f>COUNTIFS(Z:Z,Z762,AG:AG,AG762)</f>
        <v>4</v>
      </c>
      <c r="AI762" s="49">
        <f t="shared" si="38"/>
        <v>0</v>
      </c>
    </row>
    <row r="763" spans="1:35" ht="15" x14ac:dyDescent="0.2">
      <c r="A763" s="193" t="s">
        <v>2726</v>
      </c>
      <c r="B763" s="146" t="s">
        <v>668</v>
      </c>
      <c r="C763" s="193" t="s">
        <v>2726</v>
      </c>
      <c r="D763" s="211" t="s">
        <v>2349</v>
      </c>
      <c r="E763" s="146" t="s">
        <v>670</v>
      </c>
      <c r="F763" s="146" t="s">
        <v>671</v>
      </c>
      <c r="G763" s="146" t="s">
        <v>672</v>
      </c>
      <c r="H763" s="148">
        <v>3</v>
      </c>
      <c r="I763" s="146" t="s">
        <v>673</v>
      </c>
      <c r="J763" s="149">
        <v>1</v>
      </c>
      <c r="K763" s="150">
        <v>2021</v>
      </c>
      <c r="L763" s="210" t="s">
        <v>701</v>
      </c>
      <c r="M763" s="211" t="s">
        <v>2202</v>
      </c>
      <c r="N763" s="212"/>
      <c r="O763" s="289"/>
      <c r="P763" s="208" t="s">
        <v>676</v>
      </c>
      <c r="Q763" s="300"/>
      <c r="R763" s="155">
        <v>6</v>
      </c>
      <c r="S763" s="168"/>
      <c r="T763" s="168"/>
      <c r="U763" s="146"/>
      <c r="V763" s="146"/>
      <c r="W763" s="146"/>
      <c r="X763" s="156">
        <v>0</v>
      </c>
      <c r="Y763" s="156">
        <v>0</v>
      </c>
      <c r="Z763" s="157" t="s">
        <v>2703</v>
      </c>
      <c r="AA763" s="158">
        <v>2021</v>
      </c>
      <c r="AB763" s="158">
        <v>7</v>
      </c>
      <c r="AC763" s="158">
        <v>21</v>
      </c>
      <c r="AD763" s="122" t="b">
        <f>IF(ISBLANK(GroupMember[[#This Row],[1. Identifiant interne d’exploitation agricole*]]),"",IF(ISERROR(MATCH(GroupMember[[#This Row],[1. Identifiant interne d’exploitation agricole*]],CertifiedCrop[1. Identifiant interne d’exploitation agricole*],0)),FALSE,TRUE))</f>
        <v>1</v>
      </c>
      <c r="AE763" s="122" t="b">
        <f>IF(ISBLANK(GroupMember[[#This Row],[1. Identifiant interne d’exploitation agricole*]]),"",IF(ISERROR(MATCH(GroupMember[[#This Row],[1. Identifiant interne d’exploitation agricole*]],FarmUnit[1. Identifiant interne d’exploitation agricole*],0)),FALSE,TRUE))</f>
        <v>1</v>
      </c>
      <c r="AF763" s="9" t="str">
        <f t="shared" si="36"/>
        <v>OUATTARA DRAMANE</v>
      </c>
      <c r="AG763" s="243" t="str">
        <f t="shared" si="37"/>
        <v>21/7/2021</v>
      </c>
      <c r="AH763" s="51">
        <f>COUNTIFS(Z:Z,Z763,AG:AG,AG763)</f>
        <v>5</v>
      </c>
      <c r="AI763" s="49">
        <f t="shared" si="38"/>
        <v>0</v>
      </c>
    </row>
    <row r="764" spans="1:35" ht="15" x14ac:dyDescent="0.2">
      <c r="A764" s="193" t="s">
        <v>2727</v>
      </c>
      <c r="B764" s="146" t="s">
        <v>668</v>
      </c>
      <c r="C764" s="193" t="s">
        <v>2727</v>
      </c>
      <c r="D764" s="211" t="s">
        <v>2349</v>
      </c>
      <c r="E764" s="146" t="s">
        <v>670</v>
      </c>
      <c r="F764" s="146" t="s">
        <v>671</v>
      </c>
      <c r="G764" s="146" t="s">
        <v>672</v>
      </c>
      <c r="H764" s="148">
        <v>3.83</v>
      </c>
      <c r="I764" s="146" t="s">
        <v>673</v>
      </c>
      <c r="J764" s="149">
        <v>1</v>
      </c>
      <c r="K764" s="150">
        <v>2021</v>
      </c>
      <c r="L764" s="210" t="s">
        <v>707</v>
      </c>
      <c r="M764" s="211" t="s">
        <v>2728</v>
      </c>
      <c r="N764" s="212"/>
      <c r="O764" s="288" t="s">
        <v>3369</v>
      </c>
      <c r="P764" s="208" t="s">
        <v>676</v>
      </c>
      <c r="Q764" s="278">
        <v>1980</v>
      </c>
      <c r="R764" s="155">
        <v>4</v>
      </c>
      <c r="S764" s="168"/>
      <c r="T764" s="168"/>
      <c r="U764" s="146"/>
      <c r="V764" s="146"/>
      <c r="W764" s="146"/>
      <c r="X764" s="156">
        <v>0</v>
      </c>
      <c r="Y764" s="156">
        <v>0</v>
      </c>
      <c r="Z764" s="157" t="s">
        <v>2703</v>
      </c>
      <c r="AA764" s="158">
        <v>2021</v>
      </c>
      <c r="AB764" s="158">
        <v>7</v>
      </c>
      <c r="AC764" s="158">
        <v>20</v>
      </c>
      <c r="AD764" s="122" t="b">
        <f>IF(ISBLANK(GroupMember[[#This Row],[1. Identifiant interne d’exploitation agricole*]]),"",IF(ISERROR(MATCH(GroupMember[[#This Row],[1. Identifiant interne d’exploitation agricole*]],CertifiedCrop[1. Identifiant interne d’exploitation agricole*],0)),FALSE,TRUE))</f>
        <v>1</v>
      </c>
      <c r="AE764" s="122" t="b">
        <f>IF(ISBLANK(GroupMember[[#This Row],[1. Identifiant interne d’exploitation agricole*]]),"",IF(ISERROR(MATCH(GroupMember[[#This Row],[1. Identifiant interne d’exploitation agricole*]],FarmUnit[1. Identifiant interne d’exploitation agricole*],0)),FALSE,TRUE))</f>
        <v>1</v>
      </c>
      <c r="AF764" s="9" t="str">
        <f t="shared" si="36"/>
        <v>OUEDRAOGO POUSBILA</v>
      </c>
      <c r="AG764" s="243" t="str">
        <f t="shared" si="37"/>
        <v>20/7/2021</v>
      </c>
      <c r="AH764" s="51">
        <f>COUNTIFS(Z:Z,Z764,AG:AG,AG764)</f>
        <v>3</v>
      </c>
      <c r="AI764" s="49">
        <f t="shared" si="38"/>
        <v>0</v>
      </c>
    </row>
    <row r="765" spans="1:35" ht="15" x14ac:dyDescent="0.2">
      <c r="A765" s="193" t="s">
        <v>2729</v>
      </c>
      <c r="B765" s="146" t="s">
        <v>668</v>
      </c>
      <c r="C765" s="193" t="s">
        <v>2729</v>
      </c>
      <c r="D765" s="211" t="s">
        <v>2349</v>
      </c>
      <c r="E765" s="146" t="s">
        <v>670</v>
      </c>
      <c r="F765" s="146" t="s">
        <v>671</v>
      </c>
      <c r="G765" s="146" t="s">
        <v>672</v>
      </c>
      <c r="H765" s="148">
        <v>1.91</v>
      </c>
      <c r="I765" s="146" t="s">
        <v>673</v>
      </c>
      <c r="J765" s="149">
        <v>1</v>
      </c>
      <c r="K765" s="150">
        <v>2021</v>
      </c>
      <c r="L765" s="210" t="s">
        <v>701</v>
      </c>
      <c r="M765" s="211" t="s">
        <v>2730</v>
      </c>
      <c r="N765" s="212" t="s">
        <v>2731</v>
      </c>
      <c r="O765" s="211"/>
      <c r="P765" s="208" t="s">
        <v>676</v>
      </c>
      <c r="Q765" s="301">
        <v>1969</v>
      </c>
      <c r="R765" s="155">
        <v>6</v>
      </c>
      <c r="S765" s="168"/>
      <c r="T765" s="168"/>
      <c r="U765" s="146"/>
      <c r="V765" s="146"/>
      <c r="W765" s="146"/>
      <c r="X765" s="156">
        <v>0</v>
      </c>
      <c r="Y765" s="156">
        <v>0</v>
      </c>
      <c r="Z765" s="157" t="s">
        <v>2703</v>
      </c>
      <c r="AA765" s="158">
        <v>2021</v>
      </c>
      <c r="AB765" s="158">
        <v>7</v>
      </c>
      <c r="AC765" s="158">
        <v>10</v>
      </c>
      <c r="AD765" s="122" t="b">
        <f>IF(ISBLANK(GroupMember[[#This Row],[1. Identifiant interne d’exploitation agricole*]]),"",IF(ISERROR(MATCH(GroupMember[[#This Row],[1. Identifiant interne d’exploitation agricole*]],CertifiedCrop[1. Identifiant interne d’exploitation agricole*],0)),FALSE,TRUE))</f>
        <v>1</v>
      </c>
      <c r="AE765" s="122" t="b">
        <f>IF(ISBLANK(GroupMember[[#This Row],[1. Identifiant interne d’exploitation agricole*]]),"",IF(ISERROR(MATCH(GroupMember[[#This Row],[1. Identifiant interne d’exploitation agricole*]],FarmUnit[1. Identifiant interne d’exploitation agricole*],0)),FALSE,TRUE))</f>
        <v>1</v>
      </c>
      <c r="AF765" s="9" t="str">
        <f t="shared" si="36"/>
        <v>OUATTARA AMIDOU</v>
      </c>
      <c r="AG765" s="243" t="str">
        <f t="shared" si="37"/>
        <v>10/7/2021</v>
      </c>
      <c r="AH765" s="51">
        <f>COUNTIFS(Z:Z,Z765,AG:AG,AG765)</f>
        <v>4</v>
      </c>
      <c r="AI765" s="49">
        <f t="shared" si="38"/>
        <v>0</v>
      </c>
    </row>
    <row r="766" spans="1:35" ht="15" x14ac:dyDescent="0.2">
      <c r="A766" s="193" t="s">
        <v>2732</v>
      </c>
      <c r="B766" s="146" t="s">
        <v>668</v>
      </c>
      <c r="C766" s="193" t="s">
        <v>2732</v>
      </c>
      <c r="D766" s="211" t="s">
        <v>2349</v>
      </c>
      <c r="E766" s="146" t="s">
        <v>670</v>
      </c>
      <c r="F766" s="146" t="s">
        <v>671</v>
      </c>
      <c r="G766" s="146" t="s">
        <v>672</v>
      </c>
      <c r="H766" s="148">
        <v>1.01</v>
      </c>
      <c r="I766" s="146" t="s">
        <v>673</v>
      </c>
      <c r="J766" s="149">
        <v>1</v>
      </c>
      <c r="K766" s="150">
        <v>2021</v>
      </c>
      <c r="L766" s="210" t="s">
        <v>701</v>
      </c>
      <c r="M766" s="211" t="s">
        <v>2733</v>
      </c>
      <c r="N766" s="212"/>
      <c r="O766" s="285" t="s">
        <v>3370</v>
      </c>
      <c r="P766" s="208" t="s">
        <v>676</v>
      </c>
      <c r="Q766" s="278">
        <v>1997</v>
      </c>
      <c r="R766" s="155">
        <v>5</v>
      </c>
      <c r="S766" s="168"/>
      <c r="T766" s="168"/>
      <c r="U766" s="146"/>
      <c r="V766" s="146"/>
      <c r="W766" s="146"/>
      <c r="X766" s="156">
        <v>0</v>
      </c>
      <c r="Y766" s="156">
        <v>0</v>
      </c>
      <c r="Z766" s="157" t="s">
        <v>2703</v>
      </c>
      <c r="AA766" s="158">
        <v>2021</v>
      </c>
      <c r="AB766" s="158">
        <v>8</v>
      </c>
      <c r="AC766" s="158">
        <v>23</v>
      </c>
      <c r="AD766" s="122" t="b">
        <f>IF(ISBLANK(GroupMember[[#This Row],[1. Identifiant interne d’exploitation agricole*]]),"",IF(ISERROR(MATCH(GroupMember[[#This Row],[1. Identifiant interne d’exploitation agricole*]],CertifiedCrop[1. Identifiant interne d’exploitation agricole*],0)),FALSE,TRUE))</f>
        <v>1</v>
      </c>
      <c r="AE766" s="122" t="b">
        <f>IF(ISBLANK(GroupMember[[#This Row],[1. Identifiant interne d’exploitation agricole*]]),"",IF(ISERROR(MATCH(GroupMember[[#This Row],[1. Identifiant interne d’exploitation agricole*]],FarmUnit[1. Identifiant interne d’exploitation agricole*],0)),FALSE,TRUE))</f>
        <v>1</v>
      </c>
      <c r="AF766" s="9" t="str">
        <f t="shared" si="36"/>
        <v>OUATTARA WASSA</v>
      </c>
      <c r="AG766" s="243" t="str">
        <f t="shared" si="37"/>
        <v>23/8/2021</v>
      </c>
      <c r="AH766" s="51">
        <f>COUNTIFS(Z:Z,Z766,AG:AG,AG766)</f>
        <v>4</v>
      </c>
      <c r="AI766" s="49">
        <f t="shared" si="38"/>
        <v>0</v>
      </c>
    </row>
    <row r="767" spans="1:35" ht="15" x14ac:dyDescent="0.2">
      <c r="A767" s="193" t="s">
        <v>2734</v>
      </c>
      <c r="B767" s="146" t="s">
        <v>668</v>
      </c>
      <c r="C767" s="193" t="s">
        <v>2734</v>
      </c>
      <c r="D767" s="211" t="s">
        <v>2349</v>
      </c>
      <c r="E767" s="146" t="s">
        <v>670</v>
      </c>
      <c r="F767" s="146" t="s">
        <v>671</v>
      </c>
      <c r="G767" s="146" t="s">
        <v>672</v>
      </c>
      <c r="H767" s="148">
        <v>1.5</v>
      </c>
      <c r="I767" s="146" t="s">
        <v>673</v>
      </c>
      <c r="J767" s="149">
        <v>1</v>
      </c>
      <c r="K767" s="150">
        <v>2021</v>
      </c>
      <c r="L767" s="210" t="s">
        <v>863</v>
      </c>
      <c r="M767" s="211" t="s">
        <v>2735</v>
      </c>
      <c r="N767" s="212"/>
      <c r="O767" s="286"/>
      <c r="P767" s="208" t="s">
        <v>676</v>
      </c>
      <c r="Q767" s="300"/>
      <c r="R767" s="155">
        <v>4</v>
      </c>
      <c r="S767" s="168"/>
      <c r="T767" s="168"/>
      <c r="U767" s="146"/>
      <c r="V767" s="146"/>
      <c r="W767" s="146"/>
      <c r="X767" s="156">
        <v>0</v>
      </c>
      <c r="Y767" s="156">
        <v>0</v>
      </c>
      <c r="Z767" s="157" t="s">
        <v>2703</v>
      </c>
      <c r="AA767" s="158">
        <v>2021</v>
      </c>
      <c r="AB767" s="158">
        <v>7</v>
      </c>
      <c r="AC767" s="158">
        <v>3</v>
      </c>
      <c r="AD767" s="122" t="b">
        <f>IF(ISBLANK(GroupMember[[#This Row],[1. Identifiant interne d’exploitation agricole*]]),"",IF(ISERROR(MATCH(GroupMember[[#This Row],[1. Identifiant interne d’exploitation agricole*]],CertifiedCrop[1. Identifiant interne d’exploitation agricole*],0)),FALSE,TRUE))</f>
        <v>1</v>
      </c>
      <c r="AE767" s="122" t="b">
        <f>IF(ISBLANK(GroupMember[[#This Row],[1. Identifiant interne d’exploitation agricole*]]),"",IF(ISERROR(MATCH(GroupMember[[#This Row],[1. Identifiant interne d’exploitation agricole*]],FarmUnit[1. Identifiant interne d’exploitation agricole*],0)),FALSE,TRUE))</f>
        <v>1</v>
      </c>
      <c r="AF767" s="9" t="str">
        <f t="shared" si="36"/>
        <v>KOULIBALY ADIARRA</v>
      </c>
      <c r="AG767" s="243" t="str">
        <f t="shared" si="37"/>
        <v>3/7/2021</v>
      </c>
      <c r="AH767" s="51">
        <f>COUNTIFS(Z:Z,Z767,AG:AG,AG767)</f>
        <v>4</v>
      </c>
      <c r="AI767" s="49">
        <f t="shared" si="38"/>
        <v>0</v>
      </c>
    </row>
    <row r="768" spans="1:35" ht="15" x14ac:dyDescent="0.2">
      <c r="A768" s="193" t="s">
        <v>2736</v>
      </c>
      <c r="B768" s="146" t="s">
        <v>668</v>
      </c>
      <c r="C768" s="193" t="s">
        <v>2736</v>
      </c>
      <c r="D768" s="211" t="s">
        <v>2349</v>
      </c>
      <c r="E768" s="146" t="s">
        <v>670</v>
      </c>
      <c r="F768" s="146" t="s">
        <v>671</v>
      </c>
      <c r="G768" s="146" t="s">
        <v>672</v>
      </c>
      <c r="H768" s="148">
        <v>1.96</v>
      </c>
      <c r="I768" s="146" t="s">
        <v>673</v>
      </c>
      <c r="J768" s="149">
        <v>1</v>
      </c>
      <c r="K768" s="150">
        <v>2021</v>
      </c>
      <c r="L768" s="210" t="s">
        <v>701</v>
      </c>
      <c r="M768" s="211" t="s">
        <v>2737</v>
      </c>
      <c r="N768" s="212"/>
      <c r="O768" s="285" t="s">
        <v>3371</v>
      </c>
      <c r="P768" s="208" t="s">
        <v>676</v>
      </c>
      <c r="Q768" s="150">
        <v>1983</v>
      </c>
      <c r="R768" s="155">
        <v>7</v>
      </c>
      <c r="S768" s="168"/>
      <c r="T768" s="168"/>
      <c r="U768" s="146"/>
      <c r="V768" s="146"/>
      <c r="W768" s="146"/>
      <c r="X768" s="156">
        <v>0</v>
      </c>
      <c r="Y768" s="156">
        <v>0</v>
      </c>
      <c r="Z768" s="157" t="s">
        <v>2703</v>
      </c>
      <c r="AA768" s="158">
        <v>2021</v>
      </c>
      <c r="AB768" s="158">
        <v>7</v>
      </c>
      <c r="AC768" s="158">
        <v>12</v>
      </c>
      <c r="AD768" s="122" t="b">
        <f>IF(ISBLANK(GroupMember[[#This Row],[1. Identifiant interne d’exploitation agricole*]]),"",IF(ISERROR(MATCH(GroupMember[[#This Row],[1. Identifiant interne d’exploitation agricole*]],CertifiedCrop[1. Identifiant interne d’exploitation agricole*],0)),FALSE,TRUE))</f>
        <v>1</v>
      </c>
      <c r="AE768" s="122" t="b">
        <f>IF(ISBLANK(GroupMember[[#This Row],[1. Identifiant interne d’exploitation agricole*]]),"",IF(ISERROR(MATCH(GroupMember[[#This Row],[1. Identifiant interne d’exploitation agricole*]],FarmUnit[1. Identifiant interne d’exploitation agricole*],0)),FALSE,TRUE))</f>
        <v>1</v>
      </c>
      <c r="AF768" s="9" t="str">
        <f t="shared" si="36"/>
        <v>OUATTARA KARIM</v>
      </c>
      <c r="AG768" s="243" t="str">
        <f t="shared" si="37"/>
        <v>12/7/2021</v>
      </c>
      <c r="AH768" s="51">
        <f>COUNTIFS(Z:Z,Z768,AG:AG,AG768)</f>
        <v>3</v>
      </c>
      <c r="AI768" s="49">
        <f t="shared" si="38"/>
        <v>0</v>
      </c>
    </row>
    <row r="769" spans="1:35" ht="15" x14ac:dyDescent="0.2">
      <c r="A769" s="193" t="s">
        <v>2738</v>
      </c>
      <c r="B769" s="146" t="s">
        <v>668</v>
      </c>
      <c r="C769" s="193" t="s">
        <v>2738</v>
      </c>
      <c r="D769" s="211" t="s">
        <v>2349</v>
      </c>
      <c r="E769" s="146" t="s">
        <v>670</v>
      </c>
      <c r="F769" s="146" t="s">
        <v>671</v>
      </c>
      <c r="G769" s="146" t="s">
        <v>672</v>
      </c>
      <c r="H769" s="148">
        <v>6</v>
      </c>
      <c r="I769" s="146" t="s">
        <v>673</v>
      </c>
      <c r="J769" s="149">
        <v>1</v>
      </c>
      <c r="K769" s="150">
        <v>2021</v>
      </c>
      <c r="L769" s="210" t="s">
        <v>715</v>
      </c>
      <c r="M769" s="211" t="s">
        <v>2716</v>
      </c>
      <c r="N769" s="212"/>
      <c r="O769" s="286"/>
      <c r="P769" s="208" t="s">
        <v>676</v>
      </c>
      <c r="Q769" s="300"/>
      <c r="R769" s="155">
        <v>8</v>
      </c>
      <c r="S769" s="168"/>
      <c r="T769" s="168"/>
      <c r="U769" s="146"/>
      <c r="V769" s="146"/>
      <c r="W769" s="146"/>
      <c r="X769" s="156">
        <v>0</v>
      </c>
      <c r="Y769" s="156">
        <v>0</v>
      </c>
      <c r="Z769" s="157" t="s">
        <v>2703</v>
      </c>
      <c r="AA769" s="158">
        <v>2021</v>
      </c>
      <c r="AB769" s="158">
        <v>7</v>
      </c>
      <c r="AC769" s="158">
        <v>21</v>
      </c>
      <c r="AD769" s="122" t="b">
        <f>IF(ISBLANK(GroupMember[[#This Row],[1. Identifiant interne d’exploitation agricole*]]),"",IF(ISERROR(MATCH(GroupMember[[#This Row],[1. Identifiant interne d’exploitation agricole*]],CertifiedCrop[1. Identifiant interne d’exploitation agricole*],0)),FALSE,TRUE))</f>
        <v>1</v>
      </c>
      <c r="AE769" s="122" t="b">
        <f>IF(ISBLANK(GroupMember[[#This Row],[1. Identifiant interne d’exploitation agricole*]]),"",IF(ISERROR(MATCH(GroupMember[[#This Row],[1. Identifiant interne d’exploitation agricole*]],FarmUnit[1. Identifiant interne d’exploitation agricole*],0)),FALSE,TRUE))</f>
        <v>1</v>
      </c>
      <c r="AF769" s="9" t="str">
        <f t="shared" si="36"/>
        <v>TRAORE SALIF</v>
      </c>
      <c r="AG769" s="243" t="str">
        <f t="shared" si="37"/>
        <v>21/7/2021</v>
      </c>
      <c r="AH769" s="51">
        <f>COUNTIFS(Z:Z,Z769,AG:AG,AG769)</f>
        <v>5</v>
      </c>
      <c r="AI769" s="49">
        <f t="shared" si="38"/>
        <v>0</v>
      </c>
    </row>
    <row r="770" spans="1:35" ht="15" x14ac:dyDescent="0.2">
      <c r="A770" s="193" t="s">
        <v>2739</v>
      </c>
      <c r="B770" s="146" t="s">
        <v>668</v>
      </c>
      <c r="C770" s="193" t="s">
        <v>2739</v>
      </c>
      <c r="D770" s="211" t="s">
        <v>2349</v>
      </c>
      <c r="E770" s="146" t="s">
        <v>670</v>
      </c>
      <c r="F770" s="146" t="s">
        <v>671</v>
      </c>
      <c r="G770" s="146" t="s">
        <v>672</v>
      </c>
      <c r="H770" s="148">
        <v>2.0099999999999998</v>
      </c>
      <c r="I770" s="146" t="s">
        <v>673</v>
      </c>
      <c r="J770" s="149">
        <v>1</v>
      </c>
      <c r="K770" s="150">
        <v>2021</v>
      </c>
      <c r="L770" s="210" t="s">
        <v>1193</v>
      </c>
      <c r="M770" s="211" t="s">
        <v>2740</v>
      </c>
      <c r="N770" s="212"/>
      <c r="O770" s="217" t="s">
        <v>3372</v>
      </c>
      <c r="P770" s="208" t="s">
        <v>751</v>
      </c>
      <c r="Q770" s="217">
        <v>1976</v>
      </c>
      <c r="R770" s="155">
        <v>6</v>
      </c>
      <c r="S770" s="168"/>
      <c r="T770" s="168"/>
      <c r="U770" s="146"/>
      <c r="V770" s="146"/>
      <c r="W770" s="146"/>
      <c r="X770" s="156">
        <v>0</v>
      </c>
      <c r="Y770" s="156">
        <v>0</v>
      </c>
      <c r="Z770" s="157" t="s">
        <v>2703</v>
      </c>
      <c r="AA770" s="158">
        <v>2021</v>
      </c>
      <c r="AB770" s="158">
        <v>7</v>
      </c>
      <c r="AC770" s="158">
        <v>20</v>
      </c>
      <c r="AD770" s="122" t="b">
        <f>IF(ISBLANK(GroupMember[[#This Row],[1. Identifiant interne d’exploitation agricole*]]),"",IF(ISERROR(MATCH(GroupMember[[#This Row],[1. Identifiant interne d’exploitation agricole*]],CertifiedCrop[1. Identifiant interne d’exploitation agricole*],0)),FALSE,TRUE))</f>
        <v>1</v>
      </c>
      <c r="AE770" s="122" t="b">
        <f>IF(ISBLANK(GroupMember[[#This Row],[1. Identifiant interne d’exploitation agricole*]]),"",IF(ISERROR(MATCH(GroupMember[[#This Row],[1. Identifiant interne d’exploitation agricole*]],FarmUnit[1. Identifiant interne d’exploitation agricole*],0)),FALSE,TRUE))</f>
        <v>1</v>
      </c>
      <c r="AF770" s="9" t="str">
        <f t="shared" si="36"/>
        <v>DIOMANDE FATIME</v>
      </c>
      <c r="AG770" s="243" t="str">
        <f t="shared" si="37"/>
        <v>20/7/2021</v>
      </c>
      <c r="AH770" s="51">
        <f>COUNTIFS(Z:Z,Z770,AG:AG,AG770)</f>
        <v>3</v>
      </c>
      <c r="AI770" s="49">
        <f t="shared" si="38"/>
        <v>0</v>
      </c>
    </row>
    <row r="771" spans="1:35" ht="15" x14ac:dyDescent="0.2">
      <c r="A771" s="193" t="s">
        <v>2741</v>
      </c>
      <c r="B771" s="146" t="s">
        <v>668</v>
      </c>
      <c r="C771" s="193" t="s">
        <v>2741</v>
      </c>
      <c r="D771" s="211" t="s">
        <v>2349</v>
      </c>
      <c r="E771" s="146" t="s">
        <v>670</v>
      </c>
      <c r="F771" s="146" t="s">
        <v>671</v>
      </c>
      <c r="G771" s="146" t="s">
        <v>672</v>
      </c>
      <c r="H771" s="148">
        <v>4.9400000000000004</v>
      </c>
      <c r="I771" s="146" t="s">
        <v>673</v>
      </c>
      <c r="J771" s="149">
        <v>1</v>
      </c>
      <c r="K771" s="150">
        <v>2021</v>
      </c>
      <c r="L771" s="210" t="s">
        <v>2742</v>
      </c>
      <c r="M771" s="211" t="s">
        <v>2264</v>
      </c>
      <c r="N771" s="212"/>
      <c r="O771" s="217" t="s">
        <v>3373</v>
      </c>
      <c r="P771" s="208" t="s">
        <v>676</v>
      </c>
      <c r="Q771" s="217">
        <v>1982</v>
      </c>
      <c r="R771" s="155">
        <v>5</v>
      </c>
      <c r="S771" s="168"/>
      <c r="T771" s="168"/>
      <c r="U771" s="146"/>
      <c r="V771" s="146"/>
      <c r="W771" s="146"/>
      <c r="X771" s="156">
        <v>0</v>
      </c>
      <c r="Y771" s="156">
        <v>0</v>
      </c>
      <c r="Z771" s="157" t="s">
        <v>2703</v>
      </c>
      <c r="AA771" s="158">
        <v>2021</v>
      </c>
      <c r="AB771" s="158">
        <v>7</v>
      </c>
      <c r="AC771" s="158">
        <v>22</v>
      </c>
      <c r="AD771" s="122" t="b">
        <f>IF(ISBLANK(GroupMember[[#This Row],[1. Identifiant interne d’exploitation agricole*]]),"",IF(ISERROR(MATCH(GroupMember[[#This Row],[1. Identifiant interne d’exploitation agricole*]],CertifiedCrop[1. Identifiant interne d’exploitation agricole*],0)),FALSE,TRUE))</f>
        <v>1</v>
      </c>
      <c r="AE771" s="122" t="b">
        <f>IF(ISBLANK(GroupMember[[#This Row],[1. Identifiant interne d’exploitation agricole*]]),"",IF(ISERROR(MATCH(GroupMember[[#This Row],[1. Identifiant interne d’exploitation agricole*]],FarmUnit[1. Identifiant interne d’exploitation agricole*],0)),FALSE,TRUE))</f>
        <v>1</v>
      </c>
      <c r="AF771" s="9" t="str">
        <f t="shared" si="36"/>
        <v>FOFANA ABDOULAYE</v>
      </c>
      <c r="AG771" s="243" t="str">
        <f t="shared" si="37"/>
        <v>22/7/2021</v>
      </c>
      <c r="AH771" s="51">
        <f>COUNTIFS(Z:Z,Z771,AG:AG,AG771)</f>
        <v>3</v>
      </c>
      <c r="AI771" s="49">
        <f t="shared" si="38"/>
        <v>0</v>
      </c>
    </row>
    <row r="772" spans="1:35" ht="15" x14ac:dyDescent="0.2">
      <c r="A772" s="193" t="s">
        <v>2743</v>
      </c>
      <c r="B772" s="146" t="s">
        <v>668</v>
      </c>
      <c r="C772" s="193" t="s">
        <v>2743</v>
      </c>
      <c r="D772" s="211" t="s">
        <v>2349</v>
      </c>
      <c r="E772" s="146" t="s">
        <v>670</v>
      </c>
      <c r="F772" s="146" t="s">
        <v>671</v>
      </c>
      <c r="G772" s="146" t="s">
        <v>672</v>
      </c>
      <c r="H772" s="148">
        <v>1.01</v>
      </c>
      <c r="I772" s="146" t="s">
        <v>673</v>
      </c>
      <c r="J772" s="149">
        <v>1</v>
      </c>
      <c r="K772" s="150">
        <v>2021</v>
      </c>
      <c r="L772" s="210" t="s">
        <v>2744</v>
      </c>
      <c r="M772" s="211" t="s">
        <v>2730</v>
      </c>
      <c r="N772" s="212"/>
      <c r="O772" s="283" t="s">
        <v>3374</v>
      </c>
      <c r="P772" s="208" t="s">
        <v>676</v>
      </c>
      <c r="Q772" s="217">
        <v>1973</v>
      </c>
      <c r="R772" s="155">
        <v>8</v>
      </c>
      <c r="S772" s="168"/>
      <c r="T772" s="168"/>
      <c r="U772" s="146"/>
      <c r="V772" s="146"/>
      <c r="W772" s="146"/>
      <c r="X772" s="156">
        <v>0</v>
      </c>
      <c r="Y772" s="156">
        <v>0</v>
      </c>
      <c r="Z772" s="157" t="s">
        <v>2703</v>
      </c>
      <c r="AA772" s="158">
        <v>2021</v>
      </c>
      <c r="AB772" s="158">
        <v>7</v>
      </c>
      <c r="AC772" s="158">
        <v>24</v>
      </c>
      <c r="AD772" s="122" t="b">
        <f>IF(ISBLANK(GroupMember[[#This Row],[1. Identifiant interne d’exploitation agricole*]]),"",IF(ISERROR(MATCH(GroupMember[[#This Row],[1. Identifiant interne d’exploitation agricole*]],CertifiedCrop[1. Identifiant interne d’exploitation agricole*],0)),FALSE,TRUE))</f>
        <v>1</v>
      </c>
      <c r="AE772" s="122" t="b">
        <f>IF(ISBLANK(GroupMember[[#This Row],[1. Identifiant interne d’exploitation agricole*]]),"",IF(ISERROR(MATCH(GroupMember[[#This Row],[1. Identifiant interne d’exploitation agricole*]],FarmUnit[1. Identifiant interne d’exploitation agricole*],0)),FALSE,TRUE))</f>
        <v>1</v>
      </c>
      <c r="AF772" s="9" t="str">
        <f t="shared" si="36"/>
        <v>BALLO AMIDOU</v>
      </c>
      <c r="AG772" s="243" t="str">
        <f t="shared" si="37"/>
        <v>24/7/2021</v>
      </c>
      <c r="AH772" s="51">
        <f>COUNTIFS(Z:Z,Z772,AG:AG,AG772)</f>
        <v>4</v>
      </c>
      <c r="AI772" s="49">
        <f t="shared" si="38"/>
        <v>0</v>
      </c>
    </row>
    <row r="773" spans="1:35" ht="15" x14ac:dyDescent="0.2">
      <c r="A773" s="193" t="s">
        <v>2745</v>
      </c>
      <c r="B773" s="146" t="s">
        <v>668</v>
      </c>
      <c r="C773" s="193" t="s">
        <v>2745</v>
      </c>
      <c r="D773" s="211" t="s">
        <v>2146</v>
      </c>
      <c r="E773" s="146" t="s">
        <v>670</v>
      </c>
      <c r="F773" s="146" t="s">
        <v>671</v>
      </c>
      <c r="G773" s="146" t="s">
        <v>672</v>
      </c>
      <c r="H773" s="148">
        <v>3.79</v>
      </c>
      <c r="I773" s="146" t="s">
        <v>673</v>
      </c>
      <c r="J773" s="149">
        <v>1</v>
      </c>
      <c r="K773" s="150">
        <v>2021</v>
      </c>
      <c r="L773" s="210" t="s">
        <v>2744</v>
      </c>
      <c r="M773" s="211" t="s">
        <v>2199</v>
      </c>
      <c r="N773" s="212"/>
      <c r="O773" s="284"/>
      <c r="P773" s="208" t="s">
        <v>676</v>
      </c>
      <c r="Q773" s="300"/>
      <c r="R773" s="155">
        <v>5</v>
      </c>
      <c r="S773" s="168"/>
      <c r="T773" s="168"/>
      <c r="U773" s="146"/>
      <c r="V773" s="146"/>
      <c r="W773" s="146"/>
      <c r="X773" s="156">
        <v>0</v>
      </c>
      <c r="Y773" s="156">
        <v>0</v>
      </c>
      <c r="Z773" s="157" t="s">
        <v>2703</v>
      </c>
      <c r="AA773" s="158">
        <v>2021</v>
      </c>
      <c r="AB773" s="158">
        <v>7</v>
      </c>
      <c r="AC773" s="158">
        <v>24</v>
      </c>
      <c r="AD773" s="122" t="b">
        <f>IF(ISBLANK(GroupMember[[#This Row],[1. Identifiant interne d’exploitation agricole*]]),"",IF(ISERROR(MATCH(GroupMember[[#This Row],[1. Identifiant interne d’exploitation agricole*]],CertifiedCrop[1. Identifiant interne d’exploitation agricole*],0)),FALSE,TRUE))</f>
        <v>1</v>
      </c>
      <c r="AE773" s="122" t="b">
        <f>IF(ISBLANK(GroupMember[[#This Row],[1. Identifiant interne d’exploitation agricole*]]),"",IF(ISERROR(MATCH(GroupMember[[#This Row],[1. Identifiant interne d’exploitation agricole*]],FarmUnit[1. Identifiant interne d’exploitation agricole*],0)),FALSE,TRUE))</f>
        <v>1</v>
      </c>
      <c r="AF773" s="9" t="str">
        <f t="shared" si="36"/>
        <v>BALLO MOUSSA</v>
      </c>
      <c r="AG773" s="243" t="str">
        <f t="shared" si="37"/>
        <v>24/7/2021</v>
      </c>
      <c r="AH773" s="51">
        <f>COUNTIFS(Z:Z,Z773,AG:AG,AG773)</f>
        <v>4</v>
      </c>
      <c r="AI773" s="49">
        <f t="shared" si="38"/>
        <v>0</v>
      </c>
    </row>
    <row r="774" spans="1:35" ht="15" x14ac:dyDescent="0.2">
      <c r="A774" s="193" t="s">
        <v>2746</v>
      </c>
      <c r="B774" s="146" t="s">
        <v>668</v>
      </c>
      <c r="C774" s="193" t="s">
        <v>2746</v>
      </c>
      <c r="D774" s="211" t="s">
        <v>2146</v>
      </c>
      <c r="E774" s="146" t="s">
        <v>670</v>
      </c>
      <c r="F774" s="146" t="s">
        <v>671</v>
      </c>
      <c r="G774" s="146" t="s">
        <v>672</v>
      </c>
      <c r="H774" s="148">
        <v>2.5</v>
      </c>
      <c r="I774" s="146" t="s">
        <v>673</v>
      </c>
      <c r="J774" s="149">
        <v>1</v>
      </c>
      <c r="K774" s="150">
        <v>2021</v>
      </c>
      <c r="L774" s="210" t="s">
        <v>707</v>
      </c>
      <c r="M774" s="211" t="s">
        <v>1785</v>
      </c>
      <c r="N774" s="212"/>
      <c r="O774" s="211"/>
      <c r="P774" s="208" t="s">
        <v>676</v>
      </c>
      <c r="Q774" s="278"/>
      <c r="R774" s="155">
        <v>4</v>
      </c>
      <c r="S774" s="168"/>
      <c r="T774" s="168"/>
      <c r="U774" s="146"/>
      <c r="V774" s="146"/>
      <c r="W774" s="146"/>
      <c r="X774" s="156">
        <v>0</v>
      </c>
      <c r="Y774" s="156">
        <v>0</v>
      </c>
      <c r="Z774" s="157" t="s">
        <v>2703</v>
      </c>
      <c r="AA774" s="158">
        <v>2021</v>
      </c>
      <c r="AB774" s="158">
        <v>7</v>
      </c>
      <c r="AC774" s="158">
        <v>23</v>
      </c>
      <c r="AD774" s="122" t="b">
        <f>IF(ISBLANK(GroupMember[[#This Row],[1. Identifiant interne d’exploitation agricole*]]),"",IF(ISERROR(MATCH(GroupMember[[#This Row],[1. Identifiant interne d’exploitation agricole*]],CertifiedCrop[1. Identifiant interne d’exploitation agricole*],0)),FALSE,TRUE))</f>
        <v>1</v>
      </c>
      <c r="AE774" s="122" t="b">
        <f>IF(ISBLANK(GroupMember[[#This Row],[1. Identifiant interne d’exploitation agricole*]]),"",IF(ISERROR(MATCH(GroupMember[[#This Row],[1. Identifiant interne d’exploitation agricole*]],FarmUnit[1. Identifiant interne d’exploitation agricole*],0)),FALSE,TRUE))</f>
        <v>1</v>
      </c>
      <c r="AF774" s="9" t="str">
        <f t="shared" si="36"/>
        <v>OUEDRAOGO MAMADOU</v>
      </c>
      <c r="AG774" s="243" t="str">
        <f t="shared" si="37"/>
        <v>23/7/2021</v>
      </c>
      <c r="AH774" s="51">
        <f>COUNTIFS(Z:Z,Z774,AG:AG,AG774)</f>
        <v>5</v>
      </c>
      <c r="AI774" s="49">
        <f t="shared" si="38"/>
        <v>0</v>
      </c>
    </row>
    <row r="775" spans="1:35" ht="15" x14ac:dyDescent="0.2">
      <c r="A775" s="193" t="s">
        <v>2747</v>
      </c>
      <c r="B775" s="146" t="s">
        <v>668</v>
      </c>
      <c r="C775" s="193" t="s">
        <v>2747</v>
      </c>
      <c r="D775" s="211" t="s">
        <v>2146</v>
      </c>
      <c r="E775" s="146" t="s">
        <v>670</v>
      </c>
      <c r="F775" s="146" t="s">
        <v>671</v>
      </c>
      <c r="G775" s="146" t="s">
        <v>672</v>
      </c>
      <c r="H775" s="148">
        <v>1.74</v>
      </c>
      <c r="I775" s="146" t="s">
        <v>673</v>
      </c>
      <c r="J775" s="149">
        <v>1</v>
      </c>
      <c r="K775" s="150">
        <v>2021</v>
      </c>
      <c r="L775" s="210" t="s">
        <v>715</v>
      </c>
      <c r="M775" s="211" t="s">
        <v>2748</v>
      </c>
      <c r="N775" s="212"/>
      <c r="O775" s="211"/>
      <c r="P775" s="208" t="s">
        <v>676</v>
      </c>
      <c r="Q775" s="278"/>
      <c r="R775" s="155">
        <v>6</v>
      </c>
      <c r="S775" s="168"/>
      <c r="T775" s="168"/>
      <c r="U775" s="146"/>
      <c r="V775" s="146"/>
      <c r="W775" s="146"/>
      <c r="X775" s="156">
        <v>0</v>
      </c>
      <c r="Y775" s="156">
        <v>0</v>
      </c>
      <c r="Z775" s="157" t="s">
        <v>2703</v>
      </c>
      <c r="AA775" s="158">
        <v>2021</v>
      </c>
      <c r="AB775" s="158">
        <v>7</v>
      </c>
      <c r="AC775" s="158">
        <v>20</v>
      </c>
      <c r="AD775" s="122" t="b">
        <f>IF(ISBLANK(GroupMember[[#This Row],[1. Identifiant interne d’exploitation agricole*]]),"",IF(ISERROR(MATCH(GroupMember[[#This Row],[1. Identifiant interne d’exploitation agricole*]],CertifiedCrop[1. Identifiant interne d’exploitation agricole*],0)),FALSE,TRUE))</f>
        <v>1</v>
      </c>
      <c r="AE775" s="122" t="b">
        <f>IF(ISBLANK(GroupMember[[#This Row],[1. Identifiant interne d’exploitation agricole*]]),"",IF(ISERROR(MATCH(GroupMember[[#This Row],[1. Identifiant interne d’exploitation agricole*]],FarmUnit[1. Identifiant interne d’exploitation agricole*],0)),FALSE,TRUE))</f>
        <v>1</v>
      </c>
      <c r="AF775" s="9" t="str">
        <f t="shared" si="36"/>
        <v>TRAORE SOUNGALO</v>
      </c>
      <c r="AG775" s="243" t="str">
        <f t="shared" si="37"/>
        <v>20/7/2021</v>
      </c>
      <c r="AH775" s="51">
        <f>COUNTIFS(Z:Z,Z775,AG:AG,AG775)</f>
        <v>3</v>
      </c>
      <c r="AI775" s="49">
        <f t="shared" si="38"/>
        <v>0</v>
      </c>
    </row>
    <row r="776" spans="1:35" ht="15" x14ac:dyDescent="0.2">
      <c r="A776" s="193" t="s">
        <v>2749</v>
      </c>
      <c r="B776" s="146" t="s">
        <v>668</v>
      </c>
      <c r="C776" s="193" t="s">
        <v>2749</v>
      </c>
      <c r="D776" s="211" t="s">
        <v>2146</v>
      </c>
      <c r="E776" s="146" t="s">
        <v>670</v>
      </c>
      <c r="F776" s="146" t="s">
        <v>671</v>
      </c>
      <c r="G776" s="146" t="s">
        <v>672</v>
      </c>
      <c r="H776" s="148">
        <v>2.71</v>
      </c>
      <c r="I776" s="146" t="s">
        <v>673</v>
      </c>
      <c r="J776" s="149">
        <v>1</v>
      </c>
      <c r="K776" s="150">
        <v>2021</v>
      </c>
      <c r="L776" s="210" t="s">
        <v>701</v>
      </c>
      <c r="M776" s="211" t="s">
        <v>2750</v>
      </c>
      <c r="N776" s="212"/>
      <c r="O776" s="217" t="s">
        <v>3375</v>
      </c>
      <c r="P776" s="208" t="s">
        <v>676</v>
      </c>
      <c r="Q776" s="217">
        <v>1983</v>
      </c>
      <c r="R776" s="155">
        <v>6</v>
      </c>
      <c r="S776" s="168"/>
      <c r="T776" s="168"/>
      <c r="U776" s="146"/>
      <c r="V776" s="146"/>
      <c r="W776" s="146"/>
      <c r="X776" s="156">
        <v>0</v>
      </c>
      <c r="Y776" s="156">
        <v>0</v>
      </c>
      <c r="Z776" s="157" t="s">
        <v>2703</v>
      </c>
      <c r="AA776" s="158">
        <v>2021</v>
      </c>
      <c r="AB776" s="158">
        <v>7</v>
      </c>
      <c r="AC776" s="158">
        <v>10</v>
      </c>
      <c r="AD776" s="122" t="b">
        <f>IF(ISBLANK(GroupMember[[#This Row],[1. Identifiant interne d’exploitation agricole*]]),"",IF(ISERROR(MATCH(GroupMember[[#This Row],[1. Identifiant interne d’exploitation agricole*]],CertifiedCrop[1. Identifiant interne d’exploitation agricole*],0)),FALSE,TRUE))</f>
        <v>1</v>
      </c>
      <c r="AE776" s="122" t="b">
        <f>IF(ISBLANK(GroupMember[[#This Row],[1. Identifiant interne d’exploitation agricole*]]),"",IF(ISERROR(MATCH(GroupMember[[#This Row],[1. Identifiant interne d’exploitation agricole*]],FarmUnit[1. Identifiant interne d’exploitation agricole*],0)),FALSE,TRUE))</f>
        <v>1</v>
      </c>
      <c r="AF776" s="9" t="str">
        <f t="shared" si="36"/>
        <v>OUATTARA ABOUBAKA</v>
      </c>
      <c r="AG776" s="243" t="str">
        <f t="shared" si="37"/>
        <v>10/7/2021</v>
      </c>
      <c r="AH776" s="51">
        <f>COUNTIFS(Z:Z,Z776,AG:AG,AG776)</f>
        <v>4</v>
      </c>
      <c r="AI776" s="49">
        <f t="shared" si="38"/>
        <v>0</v>
      </c>
    </row>
    <row r="777" spans="1:35" ht="15" x14ac:dyDescent="0.2">
      <c r="A777" s="193" t="s">
        <v>2751</v>
      </c>
      <c r="B777" s="146" t="s">
        <v>668</v>
      </c>
      <c r="C777" s="193" t="s">
        <v>2751</v>
      </c>
      <c r="D777" s="211" t="s">
        <v>2146</v>
      </c>
      <c r="E777" s="146" t="s">
        <v>670</v>
      </c>
      <c r="F777" s="146" t="s">
        <v>671</v>
      </c>
      <c r="G777" s="146" t="s">
        <v>672</v>
      </c>
      <c r="H777" s="148">
        <v>5.12</v>
      </c>
      <c r="I777" s="146" t="s">
        <v>673</v>
      </c>
      <c r="J777" s="149">
        <v>1</v>
      </c>
      <c r="K777" s="150">
        <v>2021</v>
      </c>
      <c r="L777" s="210" t="s">
        <v>715</v>
      </c>
      <c r="M777" s="211" t="s">
        <v>2199</v>
      </c>
      <c r="N777" s="212"/>
      <c r="O777" s="217" t="s">
        <v>3376</v>
      </c>
      <c r="P777" s="208" t="s">
        <v>676</v>
      </c>
      <c r="Q777" s="217">
        <v>1988</v>
      </c>
      <c r="R777" s="155">
        <v>8</v>
      </c>
      <c r="S777" s="168"/>
      <c r="T777" s="168"/>
      <c r="U777" s="146"/>
      <c r="V777" s="146"/>
      <c r="W777" s="146"/>
      <c r="X777" s="156">
        <v>0</v>
      </c>
      <c r="Y777" s="156">
        <v>0</v>
      </c>
      <c r="Z777" s="157" t="s">
        <v>2703</v>
      </c>
      <c r="AA777" s="158">
        <v>2021</v>
      </c>
      <c r="AB777" s="158">
        <v>7</v>
      </c>
      <c r="AC777" s="158">
        <v>21</v>
      </c>
      <c r="AD777" s="122" t="b">
        <f>IF(ISBLANK(GroupMember[[#This Row],[1. Identifiant interne d’exploitation agricole*]]),"",IF(ISERROR(MATCH(GroupMember[[#This Row],[1. Identifiant interne d’exploitation agricole*]],CertifiedCrop[1. Identifiant interne d’exploitation agricole*],0)),FALSE,TRUE))</f>
        <v>1</v>
      </c>
      <c r="AE777" s="122" t="b">
        <f>IF(ISBLANK(GroupMember[[#This Row],[1. Identifiant interne d’exploitation agricole*]]),"",IF(ISERROR(MATCH(GroupMember[[#This Row],[1. Identifiant interne d’exploitation agricole*]],FarmUnit[1. Identifiant interne d’exploitation agricole*],0)),FALSE,TRUE))</f>
        <v>1</v>
      </c>
      <c r="AF777" s="9" t="str">
        <f t="shared" si="36"/>
        <v>TRAORE MOUSSA</v>
      </c>
      <c r="AG777" s="243" t="str">
        <f t="shared" si="37"/>
        <v>21/7/2021</v>
      </c>
      <c r="AH777" s="51">
        <f>COUNTIFS(Z:Z,Z777,AG:AG,AG777)</f>
        <v>5</v>
      </c>
      <c r="AI777" s="49">
        <f t="shared" si="38"/>
        <v>0</v>
      </c>
    </row>
    <row r="778" spans="1:35" ht="15" x14ac:dyDescent="0.2">
      <c r="A778" s="193" t="s">
        <v>2752</v>
      </c>
      <c r="B778" s="146" t="s">
        <v>668</v>
      </c>
      <c r="C778" s="193" t="s">
        <v>2752</v>
      </c>
      <c r="D778" s="211" t="s">
        <v>2146</v>
      </c>
      <c r="E778" s="146" t="s">
        <v>670</v>
      </c>
      <c r="F778" s="146" t="s">
        <v>671</v>
      </c>
      <c r="G778" s="146" t="s">
        <v>672</v>
      </c>
      <c r="H778" s="148">
        <v>1.61</v>
      </c>
      <c r="I778" s="146" t="s">
        <v>673</v>
      </c>
      <c r="J778" s="149">
        <v>1</v>
      </c>
      <c r="K778" s="150">
        <v>2021</v>
      </c>
      <c r="L778" s="210" t="s">
        <v>715</v>
      </c>
      <c r="M778" s="211" t="s">
        <v>2753</v>
      </c>
      <c r="N778" s="212"/>
      <c r="O778" s="217" t="s">
        <v>3377</v>
      </c>
      <c r="P778" s="208" t="s">
        <v>751</v>
      </c>
      <c r="Q778" s="217">
        <v>1970</v>
      </c>
      <c r="R778" s="155">
        <v>7</v>
      </c>
      <c r="S778" s="168"/>
      <c r="T778" s="168"/>
      <c r="U778" s="146"/>
      <c r="V778" s="146"/>
      <c r="W778" s="146"/>
      <c r="X778" s="156">
        <v>0</v>
      </c>
      <c r="Y778" s="156">
        <v>0</v>
      </c>
      <c r="Z778" s="157" t="s">
        <v>2703</v>
      </c>
      <c r="AA778" s="158">
        <v>2021</v>
      </c>
      <c r="AB778" s="158">
        <v>7</v>
      </c>
      <c r="AC778" s="158">
        <v>22</v>
      </c>
      <c r="AD778" s="122" t="b">
        <f>IF(ISBLANK(GroupMember[[#This Row],[1. Identifiant interne d’exploitation agricole*]]),"",IF(ISERROR(MATCH(GroupMember[[#This Row],[1. Identifiant interne d’exploitation agricole*]],CertifiedCrop[1. Identifiant interne d’exploitation agricole*],0)),FALSE,TRUE))</f>
        <v>1</v>
      </c>
      <c r="AE778" s="122" t="b">
        <f>IF(ISBLANK(GroupMember[[#This Row],[1. Identifiant interne d’exploitation agricole*]]),"",IF(ISERROR(MATCH(GroupMember[[#This Row],[1. Identifiant interne d’exploitation agricole*]],FarmUnit[1. Identifiant interne d’exploitation agricole*],0)),FALSE,TRUE))</f>
        <v>1</v>
      </c>
      <c r="AF778" s="9" t="str">
        <f t="shared" si="36"/>
        <v>TRAORE DJENEBA</v>
      </c>
      <c r="AG778" s="243" t="str">
        <f t="shared" si="37"/>
        <v>22/7/2021</v>
      </c>
      <c r="AH778" s="51">
        <f>COUNTIFS(Z:Z,Z778,AG:AG,AG778)</f>
        <v>3</v>
      </c>
      <c r="AI778" s="49">
        <f t="shared" si="38"/>
        <v>0</v>
      </c>
    </row>
    <row r="779" spans="1:35" ht="15" x14ac:dyDescent="0.2">
      <c r="A779" s="193" t="s">
        <v>2754</v>
      </c>
      <c r="B779" s="146" t="s">
        <v>668</v>
      </c>
      <c r="C779" s="193" t="s">
        <v>2754</v>
      </c>
      <c r="D779" s="211" t="s">
        <v>2146</v>
      </c>
      <c r="E779" s="146" t="s">
        <v>670</v>
      </c>
      <c r="F779" s="146" t="s">
        <v>671</v>
      </c>
      <c r="G779" s="146" t="s">
        <v>672</v>
      </c>
      <c r="H779" s="148">
        <v>1.05</v>
      </c>
      <c r="I779" s="146" t="s">
        <v>673</v>
      </c>
      <c r="J779" s="149">
        <v>1</v>
      </c>
      <c r="K779" s="150">
        <v>2021</v>
      </c>
      <c r="L779" s="210" t="s">
        <v>765</v>
      </c>
      <c r="M779" s="211" t="s">
        <v>2755</v>
      </c>
      <c r="N779" s="212"/>
      <c r="O779" s="287" t="s">
        <v>3378</v>
      </c>
      <c r="P779" s="208" t="s">
        <v>676</v>
      </c>
      <c r="Q779" s="217">
        <v>1979</v>
      </c>
      <c r="R779" s="155">
        <v>4</v>
      </c>
      <c r="S779" s="168"/>
      <c r="T779" s="168"/>
      <c r="U779" s="146"/>
      <c r="V779" s="146"/>
      <c r="W779" s="146"/>
      <c r="X779" s="156">
        <v>0</v>
      </c>
      <c r="Y779" s="156">
        <v>0</v>
      </c>
      <c r="Z779" s="157" t="s">
        <v>2703</v>
      </c>
      <c r="AA779" s="158">
        <v>2021</v>
      </c>
      <c r="AB779" s="158">
        <v>7</v>
      </c>
      <c r="AC779" s="158">
        <v>24</v>
      </c>
      <c r="AD779" s="122" t="b">
        <f>IF(ISBLANK(GroupMember[[#This Row],[1. Identifiant interne d’exploitation agricole*]]),"",IF(ISERROR(MATCH(GroupMember[[#This Row],[1. Identifiant interne d’exploitation agricole*]],CertifiedCrop[1. Identifiant interne d’exploitation agricole*],0)),FALSE,TRUE))</f>
        <v>1</v>
      </c>
      <c r="AE779" s="122" t="b">
        <f>IF(ISBLANK(GroupMember[[#This Row],[1. Identifiant interne d’exploitation agricole*]]),"",IF(ISERROR(MATCH(GroupMember[[#This Row],[1. Identifiant interne d’exploitation agricole*]],FarmUnit[1. Identifiant interne d’exploitation agricole*],0)),FALSE,TRUE))</f>
        <v>1</v>
      </c>
      <c r="AF779" s="9" t="str">
        <f t="shared" si="36"/>
        <v>KONE BRAMA</v>
      </c>
      <c r="AG779" s="243" t="str">
        <f t="shared" si="37"/>
        <v>24/7/2021</v>
      </c>
      <c r="AH779" s="51">
        <f>COUNTIFS(Z:Z,Z779,AG:AG,AG779)</f>
        <v>4</v>
      </c>
      <c r="AI779" s="49">
        <f t="shared" si="38"/>
        <v>0</v>
      </c>
    </row>
    <row r="780" spans="1:35" ht="15" x14ac:dyDescent="0.2">
      <c r="A780" s="193" t="s">
        <v>2756</v>
      </c>
      <c r="B780" s="146" t="s">
        <v>668</v>
      </c>
      <c r="C780" s="193" t="s">
        <v>2756</v>
      </c>
      <c r="D780" s="211" t="s">
        <v>2146</v>
      </c>
      <c r="E780" s="146" t="s">
        <v>670</v>
      </c>
      <c r="F780" s="146" t="s">
        <v>671</v>
      </c>
      <c r="G780" s="146" t="s">
        <v>672</v>
      </c>
      <c r="H780" s="148">
        <v>1.26</v>
      </c>
      <c r="I780" s="146" t="s">
        <v>673</v>
      </c>
      <c r="J780" s="149">
        <v>1</v>
      </c>
      <c r="K780" s="150">
        <v>2021</v>
      </c>
      <c r="L780" s="210" t="s">
        <v>701</v>
      </c>
      <c r="M780" s="211" t="s">
        <v>2757</v>
      </c>
      <c r="N780" s="212"/>
      <c r="O780" s="287" t="s">
        <v>3379</v>
      </c>
      <c r="P780" s="208" t="s">
        <v>676</v>
      </c>
      <c r="Q780" s="217">
        <v>1991</v>
      </c>
      <c r="R780" s="155">
        <v>5</v>
      </c>
      <c r="S780" s="168"/>
      <c r="T780" s="168"/>
      <c r="U780" s="146"/>
      <c r="V780" s="146"/>
      <c r="W780" s="146"/>
      <c r="X780" s="156">
        <v>0</v>
      </c>
      <c r="Y780" s="156">
        <v>0</v>
      </c>
      <c r="Z780" s="157" t="s">
        <v>2703</v>
      </c>
      <c r="AA780" s="158">
        <v>2021</v>
      </c>
      <c r="AB780" s="158">
        <v>7</v>
      </c>
      <c r="AC780" s="158">
        <v>12</v>
      </c>
      <c r="AD780" s="122" t="b">
        <f>IF(ISBLANK(GroupMember[[#This Row],[1. Identifiant interne d’exploitation agricole*]]),"",IF(ISERROR(MATCH(GroupMember[[#This Row],[1. Identifiant interne d’exploitation agricole*]],CertifiedCrop[1. Identifiant interne d’exploitation agricole*],0)),FALSE,TRUE))</f>
        <v>1</v>
      </c>
      <c r="AE780" s="122" t="b">
        <f>IF(ISBLANK(GroupMember[[#This Row],[1. Identifiant interne d’exploitation agricole*]]),"",IF(ISERROR(MATCH(GroupMember[[#This Row],[1. Identifiant interne d’exploitation agricole*]],FarmUnit[1. Identifiant interne d’exploitation agricole*],0)),FALSE,TRUE))</f>
        <v>1</v>
      </c>
      <c r="AF780" s="9" t="str">
        <f t="shared" si="36"/>
        <v>OUATTARA YOUSSOUF</v>
      </c>
      <c r="AG780" s="243" t="str">
        <f t="shared" si="37"/>
        <v>12/7/2021</v>
      </c>
      <c r="AH780" s="51">
        <f>COUNTIFS(Z:Z,Z780,AG:AG,AG780)</f>
        <v>3</v>
      </c>
      <c r="AI780" s="49">
        <f t="shared" si="38"/>
        <v>0</v>
      </c>
    </row>
    <row r="781" spans="1:35" ht="15" x14ac:dyDescent="0.2">
      <c r="A781" s="193" t="s">
        <v>2758</v>
      </c>
      <c r="B781" s="146" t="s">
        <v>668</v>
      </c>
      <c r="C781" s="193" t="s">
        <v>2758</v>
      </c>
      <c r="D781" s="211" t="s">
        <v>2146</v>
      </c>
      <c r="E781" s="146" t="s">
        <v>670</v>
      </c>
      <c r="F781" s="146" t="s">
        <v>671</v>
      </c>
      <c r="G781" s="146" t="s">
        <v>672</v>
      </c>
      <c r="H781" s="148">
        <v>2.73</v>
      </c>
      <c r="I781" s="146" t="s">
        <v>673</v>
      </c>
      <c r="J781" s="149">
        <v>2</v>
      </c>
      <c r="K781" s="150">
        <v>2021</v>
      </c>
      <c r="L781" s="210" t="s">
        <v>701</v>
      </c>
      <c r="M781" s="211" t="s">
        <v>2759</v>
      </c>
      <c r="N781" s="212"/>
      <c r="O781" s="287" t="s">
        <v>3380</v>
      </c>
      <c r="P781" s="208" t="s">
        <v>676</v>
      </c>
      <c r="Q781" s="217">
        <v>1974</v>
      </c>
      <c r="R781" s="155">
        <v>4</v>
      </c>
      <c r="S781" s="168"/>
      <c r="T781" s="168"/>
      <c r="U781" s="146"/>
      <c r="V781" s="146"/>
      <c r="W781" s="146"/>
      <c r="X781" s="156">
        <v>0</v>
      </c>
      <c r="Y781" s="156">
        <v>0</v>
      </c>
      <c r="Z781" s="157" t="s">
        <v>2703</v>
      </c>
      <c r="AA781" s="158">
        <v>2021</v>
      </c>
      <c r="AB781" s="158">
        <v>7</v>
      </c>
      <c r="AC781" s="158">
        <v>6</v>
      </c>
      <c r="AD781" s="122" t="b">
        <f>IF(ISBLANK(GroupMember[[#This Row],[1. Identifiant interne d’exploitation agricole*]]),"",IF(ISERROR(MATCH(GroupMember[[#This Row],[1. Identifiant interne d’exploitation agricole*]],CertifiedCrop[1. Identifiant interne d’exploitation agricole*],0)),FALSE,TRUE))</f>
        <v>1</v>
      </c>
      <c r="AE781" s="122" t="b">
        <f>IF(ISBLANK(GroupMember[[#This Row],[1. Identifiant interne d’exploitation agricole*]]),"",IF(ISERROR(MATCH(GroupMember[[#This Row],[1. Identifiant interne d’exploitation agricole*]],FarmUnit[1. Identifiant interne d’exploitation agricole*],0)),FALSE,TRUE))</f>
        <v>1</v>
      </c>
      <c r="AF781" s="9" t="str">
        <f t="shared" si="36"/>
        <v>OUATTARA ISSOUF</v>
      </c>
      <c r="AG781" s="243" t="str">
        <f t="shared" si="37"/>
        <v>6/7/2021</v>
      </c>
      <c r="AH781" s="51">
        <f>COUNTIFS(Z:Z,Z781,AG:AG,AG781)</f>
        <v>4</v>
      </c>
      <c r="AI781" s="49">
        <f t="shared" si="38"/>
        <v>0</v>
      </c>
    </row>
    <row r="782" spans="1:35" ht="15" x14ac:dyDescent="0.2">
      <c r="A782" s="193" t="s">
        <v>2760</v>
      </c>
      <c r="B782" s="146" t="s">
        <v>668</v>
      </c>
      <c r="C782" s="193" t="s">
        <v>2760</v>
      </c>
      <c r="D782" s="211" t="s">
        <v>2146</v>
      </c>
      <c r="E782" s="146" t="s">
        <v>670</v>
      </c>
      <c r="F782" s="146" t="s">
        <v>671</v>
      </c>
      <c r="G782" s="146" t="s">
        <v>672</v>
      </c>
      <c r="H782" s="148">
        <v>3.68</v>
      </c>
      <c r="I782" s="146" t="s">
        <v>673</v>
      </c>
      <c r="J782" s="149">
        <v>1</v>
      </c>
      <c r="K782" s="150">
        <v>2021</v>
      </c>
      <c r="L782" s="210" t="s">
        <v>715</v>
      </c>
      <c r="M782" s="211" t="s">
        <v>829</v>
      </c>
      <c r="N782" s="212"/>
      <c r="O782" s="288" t="s">
        <v>3381</v>
      </c>
      <c r="P782" s="208" t="s">
        <v>676</v>
      </c>
      <c r="Q782" s="217">
        <v>1968</v>
      </c>
      <c r="R782" s="155">
        <v>7</v>
      </c>
      <c r="S782" s="168"/>
      <c r="T782" s="168"/>
      <c r="U782" s="146"/>
      <c r="V782" s="146"/>
      <c r="W782" s="146"/>
      <c r="X782" s="156">
        <v>0</v>
      </c>
      <c r="Y782" s="156">
        <v>0</v>
      </c>
      <c r="Z782" s="157" t="s">
        <v>2703</v>
      </c>
      <c r="AA782" s="158">
        <v>2021</v>
      </c>
      <c r="AB782" s="158">
        <v>7</v>
      </c>
      <c r="AC782" s="158">
        <v>23</v>
      </c>
      <c r="AD782" s="122" t="b">
        <f>IF(ISBLANK(GroupMember[[#This Row],[1. Identifiant interne d’exploitation agricole*]]),"",IF(ISERROR(MATCH(GroupMember[[#This Row],[1. Identifiant interne d’exploitation agricole*]],CertifiedCrop[1. Identifiant interne d’exploitation agricole*],0)),FALSE,TRUE))</f>
        <v>1</v>
      </c>
      <c r="AE782" s="122" t="b">
        <f>IF(ISBLANK(GroupMember[[#This Row],[1. Identifiant interne d’exploitation agricole*]]),"",IF(ISERROR(MATCH(GroupMember[[#This Row],[1. Identifiant interne d’exploitation agricole*]],FarmUnit[1. Identifiant interne d’exploitation agricole*],0)),FALSE,TRUE))</f>
        <v>1</v>
      </c>
      <c r="AF782" s="9" t="str">
        <f t="shared" si="36"/>
        <v>TRAORE ALI</v>
      </c>
      <c r="AG782" s="243" t="str">
        <f t="shared" si="37"/>
        <v>23/7/2021</v>
      </c>
      <c r="AH782" s="51">
        <f>COUNTIFS(Z:Z,Z782,AG:AG,AG782)</f>
        <v>5</v>
      </c>
      <c r="AI782" s="49">
        <f t="shared" si="38"/>
        <v>0</v>
      </c>
    </row>
    <row r="783" spans="1:35" ht="15" x14ac:dyDescent="0.2">
      <c r="A783" s="193" t="s">
        <v>2761</v>
      </c>
      <c r="B783" s="146" t="s">
        <v>668</v>
      </c>
      <c r="C783" s="193" t="s">
        <v>2761</v>
      </c>
      <c r="D783" s="211" t="s">
        <v>2146</v>
      </c>
      <c r="E783" s="146" t="s">
        <v>670</v>
      </c>
      <c r="F783" s="146" t="s">
        <v>671</v>
      </c>
      <c r="G783" s="146" t="s">
        <v>672</v>
      </c>
      <c r="H783" s="148">
        <v>1.92</v>
      </c>
      <c r="I783" s="146" t="s">
        <v>673</v>
      </c>
      <c r="J783" s="149">
        <v>1</v>
      </c>
      <c r="K783" s="150">
        <v>2021</v>
      </c>
      <c r="L783" s="210" t="s">
        <v>701</v>
      </c>
      <c r="M783" s="211" t="s">
        <v>2762</v>
      </c>
      <c r="N783" s="212"/>
      <c r="O783" s="282" t="s">
        <v>3382</v>
      </c>
      <c r="P783" s="208" t="s">
        <v>676</v>
      </c>
      <c r="Q783" s="217">
        <v>1992</v>
      </c>
      <c r="R783" s="155">
        <v>8</v>
      </c>
      <c r="S783" s="168"/>
      <c r="T783" s="168"/>
      <c r="U783" s="146"/>
      <c r="V783" s="146"/>
      <c r="W783" s="146"/>
      <c r="X783" s="156">
        <v>0</v>
      </c>
      <c r="Y783" s="156">
        <v>0</v>
      </c>
      <c r="Z783" s="157" t="s">
        <v>2703</v>
      </c>
      <c r="AA783" s="158">
        <v>2021</v>
      </c>
      <c r="AB783" s="158">
        <v>7</v>
      </c>
      <c r="AC783" s="158">
        <v>21</v>
      </c>
      <c r="AD783" s="122" t="b">
        <f>IF(ISBLANK(GroupMember[[#This Row],[1. Identifiant interne d’exploitation agricole*]]),"",IF(ISERROR(MATCH(GroupMember[[#This Row],[1. Identifiant interne d’exploitation agricole*]],CertifiedCrop[1. Identifiant interne d’exploitation agricole*],0)),FALSE,TRUE))</f>
        <v>1</v>
      </c>
      <c r="AE783" s="122" t="b">
        <f>IF(ISBLANK(GroupMember[[#This Row],[1. Identifiant interne d’exploitation agricole*]]),"",IF(ISERROR(MATCH(GroupMember[[#This Row],[1. Identifiant interne d’exploitation agricole*]],FarmUnit[1. Identifiant interne d’exploitation agricole*],0)),FALSE,TRUE))</f>
        <v>1</v>
      </c>
      <c r="AF783" s="9" t="str">
        <f t="shared" si="36"/>
        <v>OUATTARA AROUM</v>
      </c>
      <c r="AG783" s="243" t="str">
        <f t="shared" si="37"/>
        <v>21/7/2021</v>
      </c>
      <c r="AH783" s="51">
        <f>COUNTIFS(Z:Z,Z783,AG:AG,AG783)</f>
        <v>5</v>
      </c>
      <c r="AI783" s="49">
        <f t="shared" si="38"/>
        <v>0</v>
      </c>
    </row>
    <row r="784" spans="1:35" ht="15" x14ac:dyDescent="0.2">
      <c r="A784" s="193" t="s">
        <v>2763</v>
      </c>
      <c r="B784" s="146" t="s">
        <v>668</v>
      </c>
      <c r="C784" s="193" t="s">
        <v>2763</v>
      </c>
      <c r="D784" s="211" t="s">
        <v>2146</v>
      </c>
      <c r="E784" s="146" t="s">
        <v>670</v>
      </c>
      <c r="F784" s="146" t="s">
        <v>671</v>
      </c>
      <c r="G784" s="146" t="s">
        <v>672</v>
      </c>
      <c r="H784" s="148">
        <v>1.96</v>
      </c>
      <c r="I784" s="146" t="s">
        <v>673</v>
      </c>
      <c r="J784" s="149">
        <v>1</v>
      </c>
      <c r="K784" s="150">
        <v>2021</v>
      </c>
      <c r="L784" s="210" t="s">
        <v>715</v>
      </c>
      <c r="M784" s="211" t="s">
        <v>2759</v>
      </c>
      <c r="N784" s="212"/>
      <c r="O784" s="291" t="s">
        <v>3383</v>
      </c>
      <c r="P784" s="208" t="s">
        <v>676</v>
      </c>
      <c r="Q784" s="217">
        <v>1976</v>
      </c>
      <c r="R784" s="155">
        <v>5</v>
      </c>
      <c r="S784" s="168"/>
      <c r="T784" s="168"/>
      <c r="U784" s="146"/>
      <c r="V784" s="146"/>
      <c r="W784" s="146"/>
      <c r="X784" s="156">
        <v>0</v>
      </c>
      <c r="Y784" s="156">
        <v>0</v>
      </c>
      <c r="Z784" s="157" t="s">
        <v>2703</v>
      </c>
      <c r="AA784" s="158">
        <v>2021</v>
      </c>
      <c r="AB784" s="158">
        <v>7</v>
      </c>
      <c r="AC784" s="158">
        <v>3</v>
      </c>
      <c r="AD784" s="122" t="b">
        <f>IF(ISBLANK(GroupMember[[#This Row],[1. Identifiant interne d’exploitation agricole*]]),"",IF(ISERROR(MATCH(GroupMember[[#This Row],[1. Identifiant interne d’exploitation agricole*]],CertifiedCrop[1. Identifiant interne d’exploitation agricole*],0)),FALSE,TRUE))</f>
        <v>1</v>
      </c>
      <c r="AE784" s="122" t="b">
        <f>IF(ISBLANK(GroupMember[[#This Row],[1. Identifiant interne d’exploitation agricole*]]),"",IF(ISERROR(MATCH(GroupMember[[#This Row],[1. Identifiant interne d’exploitation agricole*]],FarmUnit[1. Identifiant interne d’exploitation agricole*],0)),FALSE,TRUE))</f>
        <v>1</v>
      </c>
      <c r="AF784" s="9" t="str">
        <f t="shared" si="36"/>
        <v>TRAORE ISSOUF</v>
      </c>
      <c r="AG784" s="243" t="str">
        <f t="shared" si="37"/>
        <v>3/7/2021</v>
      </c>
      <c r="AH784" s="51">
        <f>COUNTIFS(Z:Z,Z784,AG:AG,AG784)</f>
        <v>4</v>
      </c>
      <c r="AI784" s="49">
        <f t="shared" si="38"/>
        <v>0</v>
      </c>
    </row>
    <row r="785" spans="1:35" ht="15" x14ac:dyDescent="0.2">
      <c r="A785" s="193" t="s">
        <v>2764</v>
      </c>
      <c r="B785" s="146" t="s">
        <v>668</v>
      </c>
      <c r="C785" s="193" t="s">
        <v>2764</v>
      </c>
      <c r="D785" s="211" t="s">
        <v>2146</v>
      </c>
      <c r="E785" s="146" t="s">
        <v>670</v>
      </c>
      <c r="F785" s="146" t="s">
        <v>671</v>
      </c>
      <c r="G785" s="146" t="s">
        <v>672</v>
      </c>
      <c r="H785" s="148">
        <v>1.5</v>
      </c>
      <c r="I785" s="146" t="s">
        <v>673</v>
      </c>
      <c r="J785" s="149">
        <v>1</v>
      </c>
      <c r="K785" s="150">
        <v>2021</v>
      </c>
      <c r="L785" s="210" t="s">
        <v>701</v>
      </c>
      <c r="M785" s="211" t="s">
        <v>2765</v>
      </c>
      <c r="N785" s="212"/>
      <c r="O785" s="217" t="s">
        <v>3384</v>
      </c>
      <c r="P785" s="208" t="s">
        <v>676</v>
      </c>
      <c r="Q785" s="217">
        <v>1986</v>
      </c>
      <c r="R785" s="155">
        <v>5</v>
      </c>
      <c r="S785" s="168"/>
      <c r="T785" s="168"/>
      <c r="U785" s="146"/>
      <c r="V785" s="146"/>
      <c r="W785" s="146"/>
      <c r="X785" s="156">
        <v>0</v>
      </c>
      <c r="Y785" s="156">
        <v>0</v>
      </c>
      <c r="Z785" s="157" t="s">
        <v>2703</v>
      </c>
      <c r="AA785" s="158">
        <v>2021</v>
      </c>
      <c r="AB785" s="158">
        <v>7</v>
      </c>
      <c r="AC785" s="158">
        <v>12</v>
      </c>
      <c r="AD785" s="122" t="b">
        <f>IF(ISBLANK(GroupMember[[#This Row],[1. Identifiant interne d’exploitation agricole*]]),"",IF(ISERROR(MATCH(GroupMember[[#This Row],[1. Identifiant interne d’exploitation agricole*]],CertifiedCrop[1. Identifiant interne d’exploitation agricole*],0)),FALSE,TRUE))</f>
        <v>1</v>
      </c>
      <c r="AE785" s="122" t="b">
        <f>IF(ISBLANK(GroupMember[[#This Row],[1. Identifiant interne d’exploitation agricole*]]),"",IF(ISERROR(MATCH(GroupMember[[#This Row],[1. Identifiant interne d’exploitation agricole*]],FarmUnit[1. Identifiant interne d’exploitation agricole*],0)),FALSE,TRUE))</f>
        <v>1</v>
      </c>
      <c r="AF785" s="9" t="str">
        <f t="shared" si="36"/>
        <v>OUATTARA HOMAR</v>
      </c>
      <c r="AG785" s="243" t="str">
        <f t="shared" si="37"/>
        <v>12/7/2021</v>
      </c>
      <c r="AH785" s="51">
        <f>COUNTIFS(Z:Z,Z785,AG:AG,AG785)</f>
        <v>3</v>
      </c>
      <c r="AI785" s="49">
        <f t="shared" si="38"/>
        <v>0</v>
      </c>
    </row>
    <row r="786" spans="1:35" ht="15" x14ac:dyDescent="0.2">
      <c r="A786" s="193" t="s">
        <v>2766</v>
      </c>
      <c r="B786" s="146" t="s">
        <v>668</v>
      </c>
      <c r="C786" s="193" t="s">
        <v>2766</v>
      </c>
      <c r="D786" s="211" t="s">
        <v>2146</v>
      </c>
      <c r="E786" s="146" t="s">
        <v>670</v>
      </c>
      <c r="F786" s="146" t="s">
        <v>671</v>
      </c>
      <c r="G786" s="146" t="s">
        <v>672</v>
      </c>
      <c r="H786" s="148">
        <v>2.75</v>
      </c>
      <c r="I786" s="146" t="s">
        <v>673</v>
      </c>
      <c r="J786" s="149">
        <v>1</v>
      </c>
      <c r="K786" s="150">
        <v>2021</v>
      </c>
      <c r="L786" s="210" t="s">
        <v>765</v>
      </c>
      <c r="M786" s="211" t="s">
        <v>2767</v>
      </c>
      <c r="N786" s="212"/>
      <c r="O786" s="217" t="s">
        <v>3385</v>
      </c>
      <c r="P786" s="208" t="s">
        <v>676</v>
      </c>
      <c r="Q786" s="217">
        <v>1989</v>
      </c>
      <c r="R786" s="155">
        <v>5</v>
      </c>
      <c r="S786" s="168"/>
      <c r="T786" s="168"/>
      <c r="U786" s="146"/>
      <c r="V786" s="146"/>
      <c r="W786" s="146"/>
      <c r="X786" s="156">
        <v>0</v>
      </c>
      <c r="Y786" s="156">
        <v>0</v>
      </c>
      <c r="Z786" s="157" t="s">
        <v>2703</v>
      </c>
      <c r="AA786" s="158">
        <v>2021</v>
      </c>
      <c r="AB786" s="158">
        <v>7</v>
      </c>
      <c r="AC786" s="158">
        <v>22</v>
      </c>
      <c r="AD786" s="122" t="b">
        <f>IF(ISBLANK(GroupMember[[#This Row],[1. Identifiant interne d’exploitation agricole*]]),"",IF(ISERROR(MATCH(GroupMember[[#This Row],[1. Identifiant interne d’exploitation agricole*]],CertifiedCrop[1. Identifiant interne d’exploitation agricole*],0)),FALSE,TRUE))</f>
        <v>1</v>
      </c>
      <c r="AE786" s="122" t="b">
        <f>IF(ISBLANK(GroupMember[[#This Row],[1. Identifiant interne d’exploitation agricole*]]),"",IF(ISERROR(MATCH(GroupMember[[#This Row],[1. Identifiant interne d’exploitation agricole*]],FarmUnit[1. Identifiant interne d’exploitation agricole*],0)),FALSE,TRUE))</f>
        <v>1</v>
      </c>
      <c r="AF786" s="9" t="str">
        <f t="shared" si="36"/>
        <v>KONE BAKARI</v>
      </c>
      <c r="AG786" s="243" t="str">
        <f t="shared" si="37"/>
        <v>22/7/2021</v>
      </c>
      <c r="AH786" s="51">
        <f>COUNTIFS(Z:Z,Z786,AG:AG,AG786)</f>
        <v>3</v>
      </c>
      <c r="AI786" s="49">
        <f t="shared" si="38"/>
        <v>0</v>
      </c>
    </row>
    <row r="787" spans="1:35" ht="15" x14ac:dyDescent="0.2">
      <c r="A787" s="193" t="s">
        <v>2768</v>
      </c>
      <c r="B787" s="146" t="s">
        <v>668</v>
      </c>
      <c r="C787" s="193" t="s">
        <v>2768</v>
      </c>
      <c r="D787" s="211" t="s">
        <v>2146</v>
      </c>
      <c r="E787" s="146" t="s">
        <v>670</v>
      </c>
      <c r="F787" s="146" t="s">
        <v>671</v>
      </c>
      <c r="G787" s="146" t="s">
        <v>672</v>
      </c>
      <c r="H787" s="148">
        <v>1.74</v>
      </c>
      <c r="I787" s="146" t="s">
        <v>673</v>
      </c>
      <c r="J787" s="149">
        <v>1</v>
      </c>
      <c r="K787" s="150">
        <v>2021</v>
      </c>
      <c r="L787" s="210" t="s">
        <v>765</v>
      </c>
      <c r="M787" s="211" t="s">
        <v>2570</v>
      </c>
      <c r="N787" s="212"/>
      <c r="O787" s="281" t="s">
        <v>3386</v>
      </c>
      <c r="P787" s="208" t="s">
        <v>751</v>
      </c>
      <c r="Q787" s="217">
        <v>1977</v>
      </c>
      <c r="R787" s="155">
        <v>4</v>
      </c>
      <c r="S787" s="168"/>
      <c r="T787" s="168"/>
      <c r="U787" s="146"/>
      <c r="V787" s="146"/>
      <c r="W787" s="146"/>
      <c r="X787" s="156">
        <v>0</v>
      </c>
      <c r="Y787" s="156">
        <v>0</v>
      </c>
      <c r="Z787" s="157" t="s">
        <v>2703</v>
      </c>
      <c r="AA787" s="158">
        <v>2021</v>
      </c>
      <c r="AB787" s="158">
        <v>7</v>
      </c>
      <c r="AC787" s="158">
        <v>28</v>
      </c>
      <c r="AD787" s="122" t="b">
        <f>IF(ISBLANK(GroupMember[[#This Row],[1. Identifiant interne d’exploitation agricole*]]),"",IF(ISERROR(MATCH(GroupMember[[#This Row],[1. Identifiant interne d’exploitation agricole*]],CertifiedCrop[1. Identifiant interne d’exploitation agricole*],0)),FALSE,TRUE))</f>
        <v>1</v>
      </c>
      <c r="AE787" s="122" t="b">
        <f>IF(ISBLANK(GroupMember[[#This Row],[1. Identifiant interne d’exploitation agricole*]]),"",IF(ISERROR(MATCH(GroupMember[[#This Row],[1. Identifiant interne d’exploitation agricole*]],FarmUnit[1. Identifiant interne d’exploitation agricole*],0)),FALSE,TRUE))</f>
        <v>1</v>
      </c>
      <c r="AF787" s="9" t="str">
        <f t="shared" si="36"/>
        <v>KONE MINATA</v>
      </c>
      <c r="AG787" s="243" t="str">
        <f t="shared" si="37"/>
        <v>28/7/2021</v>
      </c>
      <c r="AH787" s="51">
        <f>COUNTIFS(Z:Z,Z787,AG:AG,AG787)</f>
        <v>4</v>
      </c>
      <c r="AI787" s="49">
        <f t="shared" si="38"/>
        <v>0</v>
      </c>
    </row>
    <row r="788" spans="1:35" ht="15" x14ac:dyDescent="0.2">
      <c r="A788" s="193" t="s">
        <v>2769</v>
      </c>
      <c r="B788" s="146" t="s">
        <v>668</v>
      </c>
      <c r="C788" s="193" t="s">
        <v>2769</v>
      </c>
      <c r="D788" s="211" t="s">
        <v>2146</v>
      </c>
      <c r="E788" s="146" t="s">
        <v>670</v>
      </c>
      <c r="F788" s="146" t="s">
        <v>671</v>
      </c>
      <c r="G788" s="146" t="s">
        <v>672</v>
      </c>
      <c r="H788" s="148">
        <v>4.9400000000000004</v>
      </c>
      <c r="I788" s="146" t="s">
        <v>673</v>
      </c>
      <c r="J788" s="149">
        <v>1</v>
      </c>
      <c r="K788" s="150">
        <v>2021</v>
      </c>
      <c r="L788" s="210" t="s">
        <v>765</v>
      </c>
      <c r="M788" s="211" t="s">
        <v>2675</v>
      </c>
      <c r="N788" s="212"/>
      <c r="O788" s="217" t="s">
        <v>3387</v>
      </c>
      <c r="P788" s="208" t="s">
        <v>676</v>
      </c>
      <c r="Q788" s="217">
        <v>1971</v>
      </c>
      <c r="R788" s="155">
        <v>5</v>
      </c>
      <c r="S788" s="168"/>
      <c r="T788" s="168"/>
      <c r="U788" s="146"/>
      <c r="V788" s="146"/>
      <c r="W788" s="146"/>
      <c r="X788" s="156">
        <v>0</v>
      </c>
      <c r="Y788" s="156">
        <v>0</v>
      </c>
      <c r="Z788" s="157" t="s">
        <v>2703</v>
      </c>
      <c r="AA788" s="158">
        <v>2021</v>
      </c>
      <c r="AB788" s="158">
        <v>7</v>
      </c>
      <c r="AC788" s="158">
        <v>26</v>
      </c>
      <c r="AD788" s="122" t="b">
        <f>IF(ISBLANK(GroupMember[[#This Row],[1. Identifiant interne d’exploitation agricole*]]),"",IF(ISERROR(MATCH(GroupMember[[#This Row],[1. Identifiant interne d’exploitation agricole*]],CertifiedCrop[1. Identifiant interne d’exploitation agricole*],0)),FALSE,TRUE))</f>
        <v>1</v>
      </c>
      <c r="AE788" s="122" t="b">
        <f>IF(ISBLANK(GroupMember[[#This Row],[1. Identifiant interne d’exploitation agricole*]]),"",IF(ISERROR(MATCH(GroupMember[[#This Row],[1. Identifiant interne d’exploitation agricole*]],FarmUnit[1. Identifiant interne d’exploitation agricole*],0)),FALSE,TRUE))</f>
        <v>1</v>
      </c>
      <c r="AF788" s="9" t="str">
        <f t="shared" si="36"/>
        <v>KONE YAKOUBA</v>
      </c>
      <c r="AG788" s="243" t="str">
        <f t="shared" si="37"/>
        <v>26/7/2021</v>
      </c>
      <c r="AH788" s="51">
        <f>COUNTIFS(Z:Z,Z788,AG:AG,AG788)</f>
        <v>4</v>
      </c>
      <c r="AI788" s="49">
        <f t="shared" si="38"/>
        <v>0</v>
      </c>
    </row>
    <row r="789" spans="1:35" ht="15" x14ac:dyDescent="0.2">
      <c r="A789" s="193" t="s">
        <v>2770</v>
      </c>
      <c r="B789" s="146" t="s">
        <v>668</v>
      </c>
      <c r="C789" s="193" t="s">
        <v>2770</v>
      </c>
      <c r="D789" s="211" t="s">
        <v>2146</v>
      </c>
      <c r="E789" s="146" t="s">
        <v>670</v>
      </c>
      <c r="F789" s="146" t="s">
        <v>671</v>
      </c>
      <c r="G789" s="146" t="s">
        <v>672</v>
      </c>
      <c r="H789" s="148">
        <v>0.97</v>
      </c>
      <c r="I789" s="146" t="s">
        <v>673</v>
      </c>
      <c r="J789" s="149">
        <v>1</v>
      </c>
      <c r="K789" s="150">
        <v>2021</v>
      </c>
      <c r="L789" s="210" t="s">
        <v>765</v>
      </c>
      <c r="M789" s="211" t="s">
        <v>2771</v>
      </c>
      <c r="N789" s="212"/>
      <c r="O789" s="217" t="s">
        <v>3388</v>
      </c>
      <c r="P789" s="208" t="s">
        <v>676</v>
      </c>
      <c r="Q789" s="217">
        <v>1975</v>
      </c>
      <c r="R789" s="155">
        <v>7</v>
      </c>
      <c r="S789" s="168"/>
      <c r="T789" s="168"/>
      <c r="U789" s="146"/>
      <c r="V789" s="146"/>
      <c r="W789" s="146"/>
      <c r="X789" s="156">
        <v>0</v>
      </c>
      <c r="Y789" s="156">
        <v>0</v>
      </c>
      <c r="Z789" s="157" t="s">
        <v>2703</v>
      </c>
      <c r="AA789" s="158">
        <v>2021</v>
      </c>
      <c r="AB789" s="158">
        <v>7</v>
      </c>
      <c r="AC789" s="158">
        <v>28</v>
      </c>
      <c r="AD789" s="122" t="b">
        <f>IF(ISBLANK(GroupMember[[#This Row],[1. Identifiant interne d’exploitation agricole*]]),"",IF(ISERROR(MATCH(GroupMember[[#This Row],[1. Identifiant interne d’exploitation agricole*]],CertifiedCrop[1. Identifiant interne d’exploitation agricole*],0)),FALSE,TRUE))</f>
        <v>1</v>
      </c>
      <c r="AE789" s="122" t="b">
        <f>IF(ISBLANK(GroupMember[[#This Row],[1. Identifiant interne d’exploitation agricole*]]),"",IF(ISERROR(MATCH(GroupMember[[#This Row],[1. Identifiant interne d’exploitation agricole*]],FarmUnit[1. Identifiant interne d’exploitation agricole*],0)),FALSE,TRUE))</f>
        <v>1</v>
      </c>
      <c r="AF789" s="9" t="str">
        <f t="shared" si="36"/>
        <v>KONE SIBRIL</v>
      </c>
      <c r="AG789" s="243" t="str">
        <f t="shared" si="37"/>
        <v>28/7/2021</v>
      </c>
      <c r="AH789" s="51">
        <f>COUNTIFS(Z:Z,Z789,AG:AG,AG789)</f>
        <v>4</v>
      </c>
      <c r="AI789" s="49">
        <f t="shared" si="38"/>
        <v>0</v>
      </c>
    </row>
    <row r="790" spans="1:35" ht="15" x14ac:dyDescent="0.2">
      <c r="A790" s="193" t="s">
        <v>2772</v>
      </c>
      <c r="B790" s="146" t="s">
        <v>668</v>
      </c>
      <c r="C790" s="193" t="s">
        <v>2772</v>
      </c>
      <c r="D790" s="211" t="s">
        <v>2146</v>
      </c>
      <c r="E790" s="146" t="s">
        <v>670</v>
      </c>
      <c r="F790" s="146" t="s">
        <v>671</v>
      </c>
      <c r="G790" s="146" t="s">
        <v>672</v>
      </c>
      <c r="H790" s="148">
        <v>3.01</v>
      </c>
      <c r="I790" s="146" t="s">
        <v>673</v>
      </c>
      <c r="J790" s="149">
        <v>1</v>
      </c>
      <c r="K790" s="150">
        <v>2021</v>
      </c>
      <c r="L790" s="210" t="s">
        <v>1002</v>
      </c>
      <c r="M790" s="211" t="s">
        <v>2773</v>
      </c>
      <c r="N790" s="212"/>
      <c r="O790" s="292" t="s">
        <v>3389</v>
      </c>
      <c r="P790" s="208" t="s">
        <v>676</v>
      </c>
      <c r="Q790" s="217">
        <v>1984</v>
      </c>
      <c r="R790" s="155">
        <v>6</v>
      </c>
      <c r="S790" s="168"/>
      <c r="T790" s="168"/>
      <c r="U790" s="146"/>
      <c r="V790" s="146"/>
      <c r="W790" s="146"/>
      <c r="X790" s="156">
        <v>0</v>
      </c>
      <c r="Y790" s="156">
        <v>0</v>
      </c>
      <c r="Z790" s="157" t="s">
        <v>2703</v>
      </c>
      <c r="AA790" s="158">
        <v>2021</v>
      </c>
      <c r="AB790" s="158">
        <v>7</v>
      </c>
      <c r="AC790" s="158">
        <v>26</v>
      </c>
      <c r="AD790" s="122" t="b">
        <f>IF(ISBLANK(GroupMember[[#This Row],[1. Identifiant interne d’exploitation agricole*]]),"",IF(ISERROR(MATCH(GroupMember[[#This Row],[1. Identifiant interne d’exploitation agricole*]],CertifiedCrop[1. Identifiant interne d’exploitation agricole*],0)),FALSE,TRUE))</f>
        <v>1</v>
      </c>
      <c r="AE790" s="122" t="b">
        <f>IF(ISBLANK(GroupMember[[#This Row],[1. Identifiant interne d’exploitation agricole*]]),"",IF(ISERROR(MATCH(GroupMember[[#This Row],[1. Identifiant interne d’exploitation agricole*]],FarmUnit[1. Identifiant interne d’exploitation agricole*],0)),FALSE,TRUE))</f>
        <v>1</v>
      </c>
      <c r="AF790" s="9" t="str">
        <f t="shared" si="36"/>
        <v>SAVADOGO YOUBA</v>
      </c>
      <c r="AG790" s="243" t="str">
        <f t="shared" si="37"/>
        <v>26/7/2021</v>
      </c>
      <c r="AH790" s="51">
        <f>COUNTIFS(Z:Z,Z790,AG:AG,AG790)</f>
        <v>4</v>
      </c>
      <c r="AI790" s="49">
        <f t="shared" si="38"/>
        <v>0</v>
      </c>
    </row>
    <row r="791" spans="1:35" ht="15" x14ac:dyDescent="0.2">
      <c r="A791" s="193" t="s">
        <v>2774</v>
      </c>
      <c r="B791" s="146" t="s">
        <v>668</v>
      </c>
      <c r="C791" s="193" t="s">
        <v>2774</v>
      </c>
      <c r="D791" s="211" t="s">
        <v>2146</v>
      </c>
      <c r="E791" s="146" t="s">
        <v>670</v>
      </c>
      <c r="F791" s="146" t="s">
        <v>671</v>
      </c>
      <c r="G791" s="146" t="s">
        <v>672</v>
      </c>
      <c r="H791" s="148">
        <v>2.3199999999999998</v>
      </c>
      <c r="I791" s="146" t="s">
        <v>673</v>
      </c>
      <c r="J791" s="149">
        <v>1</v>
      </c>
      <c r="K791" s="150">
        <v>2021</v>
      </c>
      <c r="L791" s="210" t="s">
        <v>1002</v>
      </c>
      <c r="M791" s="211" t="s">
        <v>2775</v>
      </c>
      <c r="N791" s="212"/>
      <c r="O791" s="293"/>
      <c r="P791" s="208" t="s">
        <v>676</v>
      </c>
      <c r="Q791" s="300"/>
      <c r="R791" s="155">
        <v>5</v>
      </c>
      <c r="S791" s="168"/>
      <c r="T791" s="168"/>
      <c r="U791" s="146"/>
      <c r="V791" s="146"/>
      <c r="W791" s="146"/>
      <c r="X791" s="156">
        <v>0</v>
      </c>
      <c r="Y791" s="156">
        <v>0</v>
      </c>
      <c r="Z791" s="157" t="s">
        <v>2703</v>
      </c>
      <c r="AA791" s="158">
        <v>2021</v>
      </c>
      <c r="AB791" s="158">
        <v>7</v>
      </c>
      <c r="AC791" s="158">
        <v>2</v>
      </c>
      <c r="AD791" s="122" t="b">
        <f>IF(ISBLANK(GroupMember[[#This Row],[1. Identifiant interne d’exploitation agricole*]]),"",IF(ISERROR(MATCH(GroupMember[[#This Row],[1. Identifiant interne d’exploitation agricole*]],CertifiedCrop[1. Identifiant interne d’exploitation agricole*],0)),FALSE,TRUE))</f>
        <v>1</v>
      </c>
      <c r="AE791" s="122" t="b">
        <f>IF(ISBLANK(GroupMember[[#This Row],[1. Identifiant interne d’exploitation agricole*]]),"",IF(ISERROR(MATCH(GroupMember[[#This Row],[1. Identifiant interne d’exploitation agricole*]],FarmUnit[1. Identifiant interne d’exploitation agricole*],0)),FALSE,TRUE))</f>
        <v>1</v>
      </c>
      <c r="AF791" s="9" t="str">
        <f t="shared" si="36"/>
        <v>SAVADOGO ADAMAN</v>
      </c>
      <c r="AG791" s="243" t="str">
        <f t="shared" si="37"/>
        <v>2/7/2021</v>
      </c>
      <c r="AH791" s="51">
        <f>COUNTIFS(Z:Z,Z791,AG:AG,AG791)</f>
        <v>4</v>
      </c>
      <c r="AI791" s="49">
        <f t="shared" si="38"/>
        <v>0</v>
      </c>
    </row>
    <row r="792" spans="1:35" ht="15" x14ac:dyDescent="0.2">
      <c r="A792" s="193" t="s">
        <v>2776</v>
      </c>
      <c r="B792" s="146" t="s">
        <v>668</v>
      </c>
      <c r="C792" s="193" t="s">
        <v>2776</v>
      </c>
      <c r="D792" s="211" t="s">
        <v>2146</v>
      </c>
      <c r="E792" s="146" t="s">
        <v>670</v>
      </c>
      <c r="F792" s="146" t="s">
        <v>671</v>
      </c>
      <c r="G792" s="146" t="s">
        <v>672</v>
      </c>
      <c r="H792" s="148">
        <v>3.12</v>
      </c>
      <c r="I792" s="146" t="s">
        <v>673</v>
      </c>
      <c r="J792" s="149">
        <v>1</v>
      </c>
      <c r="K792" s="150">
        <v>2021</v>
      </c>
      <c r="L792" s="210" t="s">
        <v>1002</v>
      </c>
      <c r="M792" s="211" t="s">
        <v>2777</v>
      </c>
      <c r="N792" s="212"/>
      <c r="O792" s="287" t="s">
        <v>3390</v>
      </c>
      <c r="P792" s="208" t="s">
        <v>676</v>
      </c>
      <c r="Q792" s="217">
        <v>1984</v>
      </c>
      <c r="R792" s="155">
        <v>8</v>
      </c>
      <c r="S792" s="168"/>
      <c r="T792" s="168"/>
      <c r="U792" s="146"/>
      <c r="V792" s="146"/>
      <c r="W792" s="146"/>
      <c r="X792" s="156">
        <v>0</v>
      </c>
      <c r="Y792" s="156">
        <v>0</v>
      </c>
      <c r="Z792" s="157" t="s">
        <v>2703</v>
      </c>
      <c r="AA792" s="158">
        <v>2021</v>
      </c>
      <c r="AB792" s="158">
        <v>7</v>
      </c>
      <c r="AC792" s="158">
        <v>23</v>
      </c>
      <c r="AD792" s="122" t="b">
        <f>IF(ISBLANK(GroupMember[[#This Row],[1. Identifiant interne d’exploitation agricole*]]),"",IF(ISERROR(MATCH(GroupMember[[#This Row],[1. Identifiant interne d’exploitation agricole*]],CertifiedCrop[1. Identifiant interne d’exploitation agricole*],0)),FALSE,TRUE))</f>
        <v>1</v>
      </c>
      <c r="AE792" s="122" t="b">
        <f>IF(ISBLANK(GroupMember[[#This Row],[1. Identifiant interne d’exploitation agricole*]]),"",IF(ISERROR(MATCH(GroupMember[[#This Row],[1. Identifiant interne d’exploitation agricole*]],FarmUnit[1. Identifiant interne d’exploitation agricole*],0)),FALSE,TRUE))</f>
        <v>1</v>
      </c>
      <c r="AF792" s="9" t="str">
        <f t="shared" si="36"/>
        <v>SAVADOGO YOROBO</v>
      </c>
      <c r="AG792" s="243" t="str">
        <f t="shared" si="37"/>
        <v>23/7/2021</v>
      </c>
      <c r="AH792" s="51">
        <f>COUNTIFS(Z:Z,Z792,AG:AG,AG792)</f>
        <v>5</v>
      </c>
      <c r="AI792" s="49">
        <f t="shared" si="38"/>
        <v>0</v>
      </c>
    </row>
    <row r="793" spans="1:35" ht="15" x14ac:dyDescent="0.2">
      <c r="A793" s="193" t="s">
        <v>2778</v>
      </c>
      <c r="B793" s="146" t="s">
        <v>668</v>
      </c>
      <c r="C793" s="193" t="s">
        <v>2778</v>
      </c>
      <c r="D793" s="211" t="s">
        <v>2146</v>
      </c>
      <c r="E793" s="146" t="s">
        <v>670</v>
      </c>
      <c r="F793" s="146" t="s">
        <v>671</v>
      </c>
      <c r="G793" s="146" t="s">
        <v>672</v>
      </c>
      <c r="H793" s="148">
        <v>2.68</v>
      </c>
      <c r="I793" s="146" t="s">
        <v>673</v>
      </c>
      <c r="J793" s="149">
        <v>1</v>
      </c>
      <c r="K793" s="150">
        <v>2021</v>
      </c>
      <c r="L793" s="210" t="s">
        <v>1002</v>
      </c>
      <c r="M793" s="211" t="s">
        <v>2779</v>
      </c>
      <c r="N793" s="212"/>
      <c r="O793" s="287" t="s">
        <v>3391</v>
      </c>
      <c r="P793" s="208" t="s">
        <v>676</v>
      </c>
      <c r="Q793" s="217">
        <v>1976</v>
      </c>
      <c r="R793" s="155">
        <v>5</v>
      </c>
      <c r="S793" s="168"/>
      <c r="T793" s="168"/>
      <c r="U793" s="146"/>
      <c r="V793" s="146"/>
      <c r="W793" s="146"/>
      <c r="X793" s="156">
        <v>0</v>
      </c>
      <c r="Y793" s="156">
        <v>0</v>
      </c>
      <c r="Z793" s="157" t="s">
        <v>2703</v>
      </c>
      <c r="AA793" s="158">
        <v>2021</v>
      </c>
      <c r="AB793" s="158">
        <v>7</v>
      </c>
      <c r="AC793" s="158">
        <v>13</v>
      </c>
      <c r="AD793" s="122" t="b">
        <f>IF(ISBLANK(GroupMember[[#This Row],[1. Identifiant interne d’exploitation agricole*]]),"",IF(ISERROR(MATCH(GroupMember[[#This Row],[1. Identifiant interne d’exploitation agricole*]],CertifiedCrop[1. Identifiant interne d’exploitation agricole*],0)),FALSE,TRUE))</f>
        <v>1</v>
      </c>
      <c r="AE793" s="122" t="b">
        <f>IF(ISBLANK(GroupMember[[#This Row],[1. Identifiant interne d’exploitation agricole*]]),"",IF(ISERROR(MATCH(GroupMember[[#This Row],[1. Identifiant interne d’exploitation agricole*]],FarmUnit[1. Identifiant interne d’exploitation agricole*],0)),FALSE,TRUE))</f>
        <v>1</v>
      </c>
      <c r="AF793" s="9" t="str">
        <f t="shared" si="36"/>
        <v>SAVADOGO WINSICRIVO</v>
      </c>
      <c r="AG793" s="243" t="str">
        <f t="shared" si="37"/>
        <v>13/7/2021</v>
      </c>
      <c r="AH793" s="51">
        <f>COUNTIFS(Z:Z,Z793,AG:AG,AG793)</f>
        <v>4</v>
      </c>
      <c r="AI793" s="49">
        <f t="shared" si="38"/>
        <v>0</v>
      </c>
    </row>
    <row r="794" spans="1:35" ht="15" x14ac:dyDescent="0.2">
      <c r="A794" s="193" t="s">
        <v>2780</v>
      </c>
      <c r="B794" s="146" t="s">
        <v>668</v>
      </c>
      <c r="C794" s="193" t="s">
        <v>2780</v>
      </c>
      <c r="D794" s="211" t="s">
        <v>2146</v>
      </c>
      <c r="E794" s="146" t="s">
        <v>670</v>
      </c>
      <c r="F794" s="146" t="s">
        <v>671</v>
      </c>
      <c r="G794" s="146" t="s">
        <v>672</v>
      </c>
      <c r="H794" s="148">
        <v>1.64</v>
      </c>
      <c r="I794" s="146" t="s">
        <v>673</v>
      </c>
      <c r="J794" s="149">
        <v>1</v>
      </c>
      <c r="K794" s="150">
        <v>2021</v>
      </c>
      <c r="L794" s="210" t="s">
        <v>1002</v>
      </c>
      <c r="M794" s="211" t="s">
        <v>2781</v>
      </c>
      <c r="N794" s="212"/>
      <c r="O794" s="287" t="s">
        <v>3392</v>
      </c>
      <c r="P794" s="208" t="s">
        <v>676</v>
      </c>
      <c r="Q794" s="217">
        <v>1982</v>
      </c>
      <c r="R794" s="155">
        <v>7</v>
      </c>
      <c r="S794" s="168"/>
      <c r="T794" s="168"/>
      <c r="U794" s="146"/>
      <c r="V794" s="146"/>
      <c r="W794" s="146"/>
      <c r="X794" s="156">
        <v>0</v>
      </c>
      <c r="Y794" s="156">
        <v>0</v>
      </c>
      <c r="Z794" s="157" t="s">
        <v>2703</v>
      </c>
      <c r="AA794" s="158">
        <v>2021</v>
      </c>
      <c r="AB794" s="158">
        <v>7</v>
      </c>
      <c r="AC794" s="158">
        <v>28</v>
      </c>
      <c r="AD794" s="122" t="b">
        <f>IF(ISBLANK(GroupMember[[#This Row],[1. Identifiant interne d’exploitation agricole*]]),"",IF(ISERROR(MATCH(GroupMember[[#This Row],[1. Identifiant interne d’exploitation agricole*]],CertifiedCrop[1. Identifiant interne d’exploitation agricole*],0)),FALSE,TRUE))</f>
        <v>1</v>
      </c>
      <c r="AE794" s="122" t="b">
        <f>IF(ISBLANK(GroupMember[[#This Row],[1. Identifiant interne d’exploitation agricole*]]),"",IF(ISERROR(MATCH(GroupMember[[#This Row],[1. Identifiant interne d’exploitation agricole*]],FarmUnit[1. Identifiant interne d’exploitation agricole*],0)),FALSE,TRUE))</f>
        <v>1</v>
      </c>
      <c r="AF794" s="9" t="str">
        <f t="shared" si="36"/>
        <v>SAVADOGO OUSMANE</v>
      </c>
      <c r="AG794" s="243" t="str">
        <f t="shared" si="37"/>
        <v>28/7/2021</v>
      </c>
      <c r="AH794" s="51">
        <f>COUNTIFS(Z:Z,Z794,AG:AG,AG794)</f>
        <v>4</v>
      </c>
      <c r="AI794" s="49">
        <f t="shared" si="38"/>
        <v>0</v>
      </c>
    </row>
    <row r="795" spans="1:35" ht="15" x14ac:dyDescent="0.2">
      <c r="A795" s="193" t="s">
        <v>2782</v>
      </c>
      <c r="B795" s="146" t="s">
        <v>668</v>
      </c>
      <c r="C795" s="193" t="s">
        <v>2782</v>
      </c>
      <c r="D795" s="211" t="s">
        <v>2146</v>
      </c>
      <c r="E795" s="146" t="s">
        <v>670</v>
      </c>
      <c r="F795" s="146" t="s">
        <v>671</v>
      </c>
      <c r="G795" s="146" t="s">
        <v>672</v>
      </c>
      <c r="H795" s="148">
        <v>2.19</v>
      </c>
      <c r="I795" s="146" t="s">
        <v>673</v>
      </c>
      <c r="J795" s="149">
        <v>1</v>
      </c>
      <c r="K795" s="150">
        <v>2021</v>
      </c>
      <c r="L795" s="210" t="s">
        <v>1002</v>
      </c>
      <c r="M795" s="211" t="s">
        <v>2783</v>
      </c>
      <c r="N795" s="212"/>
      <c r="O795" s="282" t="s">
        <v>3393</v>
      </c>
      <c r="P795" s="208" t="s">
        <v>676</v>
      </c>
      <c r="Q795" s="217">
        <v>1973</v>
      </c>
      <c r="R795" s="155">
        <v>8</v>
      </c>
      <c r="S795" s="168"/>
      <c r="T795" s="168"/>
      <c r="U795" s="146"/>
      <c r="V795" s="146"/>
      <c r="W795" s="146"/>
      <c r="X795" s="156">
        <v>0</v>
      </c>
      <c r="Y795" s="156">
        <v>0</v>
      </c>
      <c r="Z795" s="157" t="s">
        <v>2703</v>
      </c>
      <c r="AA795" s="158">
        <v>2021</v>
      </c>
      <c r="AB795" s="158">
        <v>7</v>
      </c>
      <c r="AC795" s="158">
        <v>26</v>
      </c>
      <c r="AD795" s="122" t="b">
        <f>IF(ISBLANK(GroupMember[[#This Row],[1. Identifiant interne d’exploitation agricole*]]),"",IF(ISERROR(MATCH(GroupMember[[#This Row],[1. Identifiant interne d’exploitation agricole*]],CertifiedCrop[1. Identifiant interne d’exploitation agricole*],0)),FALSE,TRUE))</f>
        <v>1</v>
      </c>
      <c r="AE795" s="122" t="b">
        <f>IF(ISBLANK(GroupMember[[#This Row],[1. Identifiant interne d’exploitation agricole*]]),"",IF(ISERROR(MATCH(GroupMember[[#This Row],[1. Identifiant interne d’exploitation agricole*]],FarmUnit[1. Identifiant interne d’exploitation agricole*],0)),FALSE,TRUE))</f>
        <v>1</v>
      </c>
      <c r="AF795" s="9" t="str">
        <f t="shared" si="36"/>
        <v>SAVADOGO AMANDOU</v>
      </c>
      <c r="AG795" s="243" t="str">
        <f t="shared" si="37"/>
        <v>26/7/2021</v>
      </c>
      <c r="AH795" s="51">
        <f>COUNTIFS(Z:Z,Z795,AG:AG,AG795)</f>
        <v>4</v>
      </c>
      <c r="AI795" s="49">
        <f t="shared" si="38"/>
        <v>0</v>
      </c>
    </row>
    <row r="796" spans="1:35" ht="15" x14ac:dyDescent="0.2">
      <c r="A796" s="193" t="s">
        <v>2784</v>
      </c>
      <c r="B796" s="146" t="s">
        <v>668</v>
      </c>
      <c r="C796" s="193" t="s">
        <v>2784</v>
      </c>
      <c r="D796" s="211" t="s">
        <v>2146</v>
      </c>
      <c r="E796" s="146" t="s">
        <v>670</v>
      </c>
      <c r="F796" s="146" t="s">
        <v>671</v>
      </c>
      <c r="G796" s="146" t="s">
        <v>672</v>
      </c>
      <c r="H796" s="148">
        <v>3.78</v>
      </c>
      <c r="I796" s="146" t="s">
        <v>673</v>
      </c>
      <c r="J796" s="149">
        <v>1</v>
      </c>
      <c r="K796" s="150">
        <v>2021</v>
      </c>
      <c r="L796" s="210" t="s">
        <v>1002</v>
      </c>
      <c r="M796" s="211" t="s">
        <v>2785</v>
      </c>
      <c r="N796" s="212"/>
      <c r="O796" s="217" t="s">
        <v>3394</v>
      </c>
      <c r="P796" s="208" t="s">
        <v>676</v>
      </c>
      <c r="Q796" s="217">
        <v>1985</v>
      </c>
      <c r="R796" s="155">
        <v>7</v>
      </c>
      <c r="S796" s="168"/>
      <c r="T796" s="168"/>
      <c r="U796" s="146"/>
      <c r="V796" s="146"/>
      <c r="W796" s="146"/>
      <c r="X796" s="156">
        <v>0</v>
      </c>
      <c r="Y796" s="156">
        <v>0</v>
      </c>
      <c r="Z796" s="157" t="s">
        <v>2703</v>
      </c>
      <c r="AA796" s="158">
        <v>2021</v>
      </c>
      <c r="AB796" s="158">
        <v>7</v>
      </c>
      <c r="AC796" s="158">
        <v>30</v>
      </c>
      <c r="AD796" s="122" t="b">
        <f>IF(ISBLANK(GroupMember[[#This Row],[1. Identifiant interne d’exploitation agricole*]]),"",IF(ISERROR(MATCH(GroupMember[[#This Row],[1. Identifiant interne d’exploitation agricole*]],CertifiedCrop[1. Identifiant interne d’exploitation agricole*],0)),FALSE,TRUE))</f>
        <v>1</v>
      </c>
      <c r="AE796" s="122" t="b">
        <f>IF(ISBLANK(GroupMember[[#This Row],[1. Identifiant interne d’exploitation agricole*]]),"",IF(ISERROR(MATCH(GroupMember[[#This Row],[1. Identifiant interne d’exploitation agricole*]],FarmUnit[1. Identifiant interne d’exploitation agricole*],0)),FALSE,TRUE))</f>
        <v>1</v>
      </c>
      <c r="AF796" s="9" t="str">
        <f t="shared" si="36"/>
        <v>SAVADOGO LARBILA</v>
      </c>
      <c r="AG796" s="243" t="str">
        <f t="shared" si="37"/>
        <v>30/7/2021</v>
      </c>
      <c r="AH796" s="51">
        <f>COUNTIFS(Z:Z,Z796,AG:AG,AG796)</f>
        <v>4</v>
      </c>
      <c r="AI796" s="49">
        <f t="shared" si="38"/>
        <v>0</v>
      </c>
    </row>
    <row r="797" spans="1:35" ht="15" x14ac:dyDescent="0.2">
      <c r="A797" s="193" t="s">
        <v>2786</v>
      </c>
      <c r="B797" s="146" t="s">
        <v>668</v>
      </c>
      <c r="C797" s="193" t="s">
        <v>2786</v>
      </c>
      <c r="D797" s="211" t="s">
        <v>2146</v>
      </c>
      <c r="E797" s="146" t="s">
        <v>670</v>
      </c>
      <c r="F797" s="146" t="s">
        <v>671</v>
      </c>
      <c r="G797" s="146" t="s">
        <v>672</v>
      </c>
      <c r="H797" s="148">
        <v>6</v>
      </c>
      <c r="I797" s="146" t="s">
        <v>673</v>
      </c>
      <c r="J797" s="149">
        <v>2</v>
      </c>
      <c r="K797" s="150">
        <v>2021</v>
      </c>
      <c r="L797" s="210" t="s">
        <v>1002</v>
      </c>
      <c r="M797" s="211" t="s">
        <v>2787</v>
      </c>
      <c r="N797" s="212"/>
      <c r="O797" s="217" t="s">
        <v>3395</v>
      </c>
      <c r="P797" s="208" t="s">
        <v>676</v>
      </c>
      <c r="Q797" s="217">
        <v>1977</v>
      </c>
      <c r="R797" s="155">
        <v>5</v>
      </c>
      <c r="S797" s="168"/>
      <c r="T797" s="168"/>
      <c r="U797" s="146"/>
      <c r="V797" s="146"/>
      <c r="W797" s="146"/>
      <c r="X797" s="156">
        <v>0</v>
      </c>
      <c r="Y797" s="156">
        <v>0</v>
      </c>
      <c r="Z797" s="157" t="s">
        <v>2703</v>
      </c>
      <c r="AA797" s="158">
        <v>2021</v>
      </c>
      <c r="AB797" s="158">
        <v>8</v>
      </c>
      <c r="AC797" s="158">
        <v>3</v>
      </c>
      <c r="AD797" s="122" t="b">
        <f>IF(ISBLANK(GroupMember[[#This Row],[1. Identifiant interne d’exploitation agricole*]]),"",IF(ISERROR(MATCH(GroupMember[[#This Row],[1. Identifiant interne d’exploitation agricole*]],CertifiedCrop[1. Identifiant interne d’exploitation agricole*],0)),FALSE,TRUE))</f>
        <v>1</v>
      </c>
      <c r="AE797" s="122" t="b">
        <f>IF(ISBLANK(GroupMember[[#This Row],[1. Identifiant interne d’exploitation agricole*]]),"",IF(ISERROR(MATCH(GroupMember[[#This Row],[1. Identifiant interne d’exploitation agricole*]],FarmUnit[1. Identifiant interne d’exploitation agricole*],0)),FALSE,TRUE))</f>
        <v>1</v>
      </c>
      <c r="AF797" s="9" t="str">
        <f t="shared" si="36"/>
        <v>SAVADOGO ABOULAYE</v>
      </c>
      <c r="AG797" s="243" t="str">
        <f t="shared" si="37"/>
        <v>3/8/2021</v>
      </c>
      <c r="AH797" s="51">
        <f>COUNTIFS(Z:Z,Z797,AG:AG,AG797)</f>
        <v>4</v>
      </c>
      <c r="AI797" s="49">
        <f t="shared" si="38"/>
        <v>0</v>
      </c>
    </row>
    <row r="798" spans="1:35" ht="15" x14ac:dyDescent="0.2">
      <c r="A798" s="193" t="s">
        <v>2788</v>
      </c>
      <c r="B798" s="146" t="s">
        <v>668</v>
      </c>
      <c r="C798" s="193" t="s">
        <v>2788</v>
      </c>
      <c r="D798" s="211" t="s">
        <v>2146</v>
      </c>
      <c r="E798" s="146" t="s">
        <v>670</v>
      </c>
      <c r="F798" s="146" t="s">
        <v>671</v>
      </c>
      <c r="G798" s="146" t="s">
        <v>672</v>
      </c>
      <c r="H798" s="148">
        <v>2.91</v>
      </c>
      <c r="I798" s="146" t="s">
        <v>673</v>
      </c>
      <c r="J798" s="149">
        <v>1</v>
      </c>
      <c r="K798" s="150">
        <v>2021</v>
      </c>
      <c r="L798" s="210" t="s">
        <v>1002</v>
      </c>
      <c r="M798" s="211" t="s">
        <v>2789</v>
      </c>
      <c r="N798" s="212"/>
      <c r="O798" s="217" t="s">
        <v>3396</v>
      </c>
      <c r="P798" s="208" t="s">
        <v>676</v>
      </c>
      <c r="Q798" s="217">
        <v>1981</v>
      </c>
      <c r="R798" s="155">
        <v>5</v>
      </c>
      <c r="S798" s="168"/>
      <c r="T798" s="168"/>
      <c r="U798" s="146"/>
      <c r="V798" s="146"/>
      <c r="W798" s="146"/>
      <c r="X798" s="156">
        <v>0</v>
      </c>
      <c r="Y798" s="156">
        <v>0</v>
      </c>
      <c r="Z798" s="157" t="s">
        <v>2703</v>
      </c>
      <c r="AA798" s="158">
        <v>2021</v>
      </c>
      <c r="AB798" s="158">
        <v>7</v>
      </c>
      <c r="AC798" s="158">
        <v>30</v>
      </c>
      <c r="AD798" s="122" t="b">
        <f>IF(ISBLANK(GroupMember[[#This Row],[1. Identifiant interne d’exploitation agricole*]]),"",IF(ISERROR(MATCH(GroupMember[[#This Row],[1. Identifiant interne d’exploitation agricole*]],CertifiedCrop[1. Identifiant interne d’exploitation agricole*],0)),FALSE,TRUE))</f>
        <v>1</v>
      </c>
      <c r="AE798" s="122" t="b">
        <f>IF(ISBLANK(GroupMember[[#This Row],[1. Identifiant interne d’exploitation agricole*]]),"",IF(ISERROR(MATCH(GroupMember[[#This Row],[1. Identifiant interne d’exploitation agricole*]],FarmUnit[1. Identifiant interne d’exploitation agricole*],0)),FALSE,TRUE))</f>
        <v>1</v>
      </c>
      <c r="AF798" s="9" t="str">
        <f t="shared" si="36"/>
        <v>SAVADOGO BRAHIMAN</v>
      </c>
      <c r="AG798" s="243" t="str">
        <f t="shared" si="37"/>
        <v>30/7/2021</v>
      </c>
      <c r="AH798" s="51">
        <f>COUNTIFS(Z:Z,Z798,AG:AG,AG798)</f>
        <v>4</v>
      </c>
      <c r="AI798" s="49">
        <f t="shared" si="38"/>
        <v>0</v>
      </c>
    </row>
    <row r="799" spans="1:35" ht="15" x14ac:dyDescent="0.2">
      <c r="A799" s="193" t="s">
        <v>2790</v>
      </c>
      <c r="B799" s="146" t="s">
        <v>668</v>
      </c>
      <c r="C799" s="193" t="s">
        <v>2790</v>
      </c>
      <c r="D799" s="211" t="s">
        <v>2146</v>
      </c>
      <c r="E799" s="146" t="s">
        <v>670</v>
      </c>
      <c r="F799" s="146" t="s">
        <v>671</v>
      </c>
      <c r="G799" s="146" t="s">
        <v>672</v>
      </c>
      <c r="H799" s="148">
        <v>1.48</v>
      </c>
      <c r="I799" s="146" t="s">
        <v>673</v>
      </c>
      <c r="J799" s="149">
        <v>1</v>
      </c>
      <c r="K799" s="150">
        <v>2021</v>
      </c>
      <c r="L799" s="210" t="s">
        <v>2791</v>
      </c>
      <c r="M799" s="211" t="s">
        <v>2261</v>
      </c>
      <c r="N799" s="212"/>
      <c r="O799" s="287" t="s">
        <v>3397</v>
      </c>
      <c r="P799" s="208" t="s">
        <v>676</v>
      </c>
      <c r="Q799" s="217">
        <v>1990</v>
      </c>
      <c r="R799" s="155">
        <v>7</v>
      </c>
      <c r="S799" s="168"/>
      <c r="T799" s="168"/>
      <c r="U799" s="146"/>
      <c r="V799" s="146"/>
      <c r="W799" s="146"/>
      <c r="X799" s="156">
        <v>0</v>
      </c>
      <c r="Y799" s="156">
        <v>0</v>
      </c>
      <c r="Z799" s="157" t="s">
        <v>2703</v>
      </c>
      <c r="AA799" s="158">
        <v>2021</v>
      </c>
      <c r="AB799" s="158">
        <v>7</v>
      </c>
      <c r="AC799" s="158">
        <v>28</v>
      </c>
      <c r="AD799" s="122" t="b">
        <f>IF(ISBLANK(GroupMember[[#This Row],[1. Identifiant interne d’exploitation agricole*]]),"",IF(ISERROR(MATCH(GroupMember[[#This Row],[1. Identifiant interne d’exploitation agricole*]],CertifiedCrop[1. Identifiant interne d’exploitation agricole*],0)),FALSE,TRUE))</f>
        <v>1</v>
      </c>
      <c r="AE799" s="122" t="b">
        <f>IF(ISBLANK(GroupMember[[#This Row],[1. Identifiant interne d’exploitation agricole*]]),"",IF(ISERROR(MATCH(GroupMember[[#This Row],[1. Identifiant interne d’exploitation agricole*]],FarmUnit[1. Identifiant interne d’exploitation agricole*],0)),FALSE,TRUE))</f>
        <v>1</v>
      </c>
      <c r="AF799" s="9" t="str">
        <f t="shared" si="36"/>
        <v>ZOUGRANA SEKOU</v>
      </c>
      <c r="AG799" s="243" t="str">
        <f t="shared" si="37"/>
        <v>28/7/2021</v>
      </c>
      <c r="AH799" s="51">
        <f>COUNTIFS(Z:Z,Z799,AG:AG,AG799)</f>
        <v>4</v>
      </c>
      <c r="AI799" s="49">
        <f t="shared" si="38"/>
        <v>0</v>
      </c>
    </row>
    <row r="800" spans="1:35" ht="15" x14ac:dyDescent="0.2">
      <c r="A800" s="193" t="s">
        <v>2792</v>
      </c>
      <c r="B800" s="146" t="s">
        <v>668</v>
      </c>
      <c r="C800" s="193" t="s">
        <v>2792</v>
      </c>
      <c r="D800" s="211" t="s">
        <v>2146</v>
      </c>
      <c r="E800" s="146" t="s">
        <v>670</v>
      </c>
      <c r="F800" s="146" t="s">
        <v>671</v>
      </c>
      <c r="G800" s="146" t="s">
        <v>672</v>
      </c>
      <c r="H800" s="148">
        <v>5.31</v>
      </c>
      <c r="I800" s="146" t="s">
        <v>673</v>
      </c>
      <c r="J800" s="149">
        <v>1</v>
      </c>
      <c r="K800" s="150">
        <v>2021</v>
      </c>
      <c r="L800" s="210" t="s">
        <v>1735</v>
      </c>
      <c r="M800" s="211" t="s">
        <v>2793</v>
      </c>
      <c r="N800" s="212"/>
      <c r="O800" s="287" t="s">
        <v>3398</v>
      </c>
      <c r="P800" s="208" t="s">
        <v>676</v>
      </c>
      <c r="Q800" s="217">
        <v>1989</v>
      </c>
      <c r="R800" s="155">
        <v>5</v>
      </c>
      <c r="S800" s="168"/>
      <c r="T800" s="168"/>
      <c r="U800" s="146"/>
      <c r="V800" s="146"/>
      <c r="W800" s="146"/>
      <c r="X800" s="156">
        <v>0</v>
      </c>
      <c r="Y800" s="156">
        <v>0</v>
      </c>
      <c r="Z800" s="157" t="s">
        <v>2703</v>
      </c>
      <c r="AA800" s="158">
        <v>2021</v>
      </c>
      <c r="AB800" s="158">
        <v>7</v>
      </c>
      <c r="AC800" s="158">
        <v>6</v>
      </c>
      <c r="AD800" s="122" t="b">
        <f>IF(ISBLANK(GroupMember[[#This Row],[1. Identifiant interne d’exploitation agricole*]]),"",IF(ISERROR(MATCH(GroupMember[[#This Row],[1. Identifiant interne d’exploitation agricole*]],CertifiedCrop[1. Identifiant interne d’exploitation agricole*],0)),FALSE,TRUE))</f>
        <v>1</v>
      </c>
      <c r="AE800" s="122" t="b">
        <f>IF(ISBLANK(GroupMember[[#This Row],[1. Identifiant interne d’exploitation agricole*]]),"",IF(ISERROR(MATCH(GroupMember[[#This Row],[1. Identifiant interne d’exploitation agricole*]],FarmUnit[1. Identifiant interne d’exploitation agricole*],0)),FALSE,TRUE))</f>
        <v>1</v>
      </c>
      <c r="AF800" s="9" t="str">
        <f t="shared" si="36"/>
        <v>DIABATE IBRAHIME</v>
      </c>
      <c r="AG800" s="243" t="str">
        <f t="shared" si="37"/>
        <v>6/7/2021</v>
      </c>
      <c r="AH800" s="51">
        <f>COUNTIFS(Z:Z,Z800,AG:AG,AG800)</f>
        <v>4</v>
      </c>
      <c r="AI800" s="49">
        <f t="shared" si="38"/>
        <v>0</v>
      </c>
    </row>
    <row r="801" spans="1:35" ht="15" x14ac:dyDescent="0.2">
      <c r="A801" s="193" t="s">
        <v>2794</v>
      </c>
      <c r="B801" s="146" t="s">
        <v>668</v>
      </c>
      <c r="C801" s="193" t="s">
        <v>2794</v>
      </c>
      <c r="D801" s="211" t="s">
        <v>2146</v>
      </c>
      <c r="E801" s="146" t="s">
        <v>670</v>
      </c>
      <c r="F801" s="146" t="s">
        <v>671</v>
      </c>
      <c r="G801" s="146" t="s">
        <v>672</v>
      </c>
      <c r="H801" s="148">
        <v>3.92</v>
      </c>
      <c r="I801" s="146" t="s">
        <v>673</v>
      </c>
      <c r="J801" s="149">
        <v>1</v>
      </c>
      <c r="K801" s="150">
        <v>2021</v>
      </c>
      <c r="L801" s="210" t="s">
        <v>2795</v>
      </c>
      <c r="M801" s="211" t="s">
        <v>2775</v>
      </c>
      <c r="N801" s="212"/>
      <c r="O801" s="287" t="s">
        <v>3399</v>
      </c>
      <c r="P801" s="208" t="s">
        <v>676</v>
      </c>
      <c r="Q801" s="217">
        <v>1979</v>
      </c>
      <c r="R801" s="155">
        <v>7</v>
      </c>
      <c r="S801" s="168"/>
      <c r="T801" s="168"/>
      <c r="U801" s="146"/>
      <c r="V801" s="146"/>
      <c r="W801" s="146"/>
      <c r="X801" s="156">
        <v>0</v>
      </c>
      <c r="Y801" s="156">
        <v>0</v>
      </c>
      <c r="Z801" s="157" t="s">
        <v>2703</v>
      </c>
      <c r="AA801" s="158">
        <v>2021</v>
      </c>
      <c r="AB801" s="158">
        <v>7</v>
      </c>
      <c r="AC801" s="158">
        <v>13</v>
      </c>
      <c r="AD801" s="122" t="b">
        <f>IF(ISBLANK(GroupMember[[#This Row],[1. Identifiant interne d’exploitation agricole*]]),"",IF(ISERROR(MATCH(GroupMember[[#This Row],[1. Identifiant interne d’exploitation agricole*]],CertifiedCrop[1. Identifiant interne d’exploitation agricole*],0)),FALSE,TRUE))</f>
        <v>1</v>
      </c>
      <c r="AE801" s="122" t="b">
        <f>IF(ISBLANK(GroupMember[[#This Row],[1. Identifiant interne d’exploitation agricole*]]),"",IF(ISERROR(MATCH(GroupMember[[#This Row],[1. Identifiant interne d’exploitation agricole*]],FarmUnit[1. Identifiant interne d’exploitation agricole*],0)),FALSE,TRUE))</f>
        <v>1</v>
      </c>
      <c r="AF801" s="9" t="str">
        <f t="shared" si="36"/>
        <v>FOMBA ADAMAN</v>
      </c>
      <c r="AG801" s="243" t="str">
        <f t="shared" si="37"/>
        <v>13/7/2021</v>
      </c>
      <c r="AH801" s="51">
        <f>COUNTIFS(Z:Z,Z801,AG:AG,AG801)</f>
        <v>4</v>
      </c>
      <c r="AI801" s="49">
        <f t="shared" si="38"/>
        <v>0</v>
      </c>
    </row>
    <row r="802" spans="1:35" ht="15" x14ac:dyDescent="0.2">
      <c r="A802" s="193" t="s">
        <v>2796</v>
      </c>
      <c r="B802" s="146" t="s">
        <v>668</v>
      </c>
      <c r="C802" s="193" t="s">
        <v>2796</v>
      </c>
      <c r="D802" s="211" t="s">
        <v>2146</v>
      </c>
      <c r="E802" s="146" t="s">
        <v>670</v>
      </c>
      <c r="F802" s="146" t="s">
        <v>671</v>
      </c>
      <c r="G802" s="146" t="s">
        <v>672</v>
      </c>
      <c r="H802" s="148">
        <v>3.31</v>
      </c>
      <c r="I802" s="146" t="s">
        <v>673</v>
      </c>
      <c r="J802" s="149">
        <v>1</v>
      </c>
      <c r="K802" s="150">
        <v>2021</v>
      </c>
      <c r="L802" s="210" t="s">
        <v>2797</v>
      </c>
      <c r="M802" s="211" t="s">
        <v>2798</v>
      </c>
      <c r="N802" s="212"/>
      <c r="O802" s="287" t="s">
        <v>3400</v>
      </c>
      <c r="P802" s="208" t="s">
        <v>676</v>
      </c>
      <c r="Q802" s="217">
        <v>1983</v>
      </c>
      <c r="R802" s="155">
        <v>4</v>
      </c>
      <c r="S802" s="168"/>
      <c r="T802" s="168"/>
      <c r="U802" s="146"/>
      <c r="V802" s="146"/>
      <c r="W802" s="146"/>
      <c r="X802" s="156">
        <v>0</v>
      </c>
      <c r="Y802" s="156">
        <v>0</v>
      </c>
      <c r="Z802" s="157" t="s">
        <v>2703</v>
      </c>
      <c r="AA802" s="158">
        <v>2021</v>
      </c>
      <c r="AB802" s="158">
        <v>7</v>
      </c>
      <c r="AC802" s="158">
        <v>27</v>
      </c>
      <c r="AD802" s="122" t="b">
        <f>IF(ISBLANK(GroupMember[[#This Row],[1. Identifiant interne d’exploitation agricole*]]),"",IF(ISERROR(MATCH(GroupMember[[#This Row],[1. Identifiant interne d’exploitation agricole*]],CertifiedCrop[1. Identifiant interne d’exploitation agricole*],0)),FALSE,TRUE))</f>
        <v>1</v>
      </c>
      <c r="AE802" s="122" t="b">
        <f>IF(ISBLANK(GroupMember[[#This Row],[1. Identifiant interne d’exploitation agricole*]]),"",IF(ISERROR(MATCH(GroupMember[[#This Row],[1. Identifiant interne d’exploitation agricole*]],FarmUnit[1. Identifiant interne d’exploitation agricole*],0)),FALSE,TRUE))</f>
        <v>1</v>
      </c>
      <c r="AF802" s="9" t="str">
        <f t="shared" si="36"/>
        <v>KAMBIRE ANDRE</v>
      </c>
      <c r="AG802" s="243" t="str">
        <f t="shared" si="37"/>
        <v>27/7/2021</v>
      </c>
      <c r="AH802" s="51">
        <f>COUNTIFS(Z:Z,Z802,AG:AG,AG802)</f>
        <v>5</v>
      </c>
      <c r="AI802" s="49">
        <f t="shared" si="38"/>
        <v>0</v>
      </c>
    </row>
    <row r="803" spans="1:35" ht="15" x14ac:dyDescent="0.2">
      <c r="A803" s="193" t="s">
        <v>2799</v>
      </c>
      <c r="B803" s="146" t="s">
        <v>668</v>
      </c>
      <c r="C803" s="193" t="s">
        <v>2799</v>
      </c>
      <c r="D803" s="211" t="s">
        <v>2146</v>
      </c>
      <c r="E803" s="146" t="s">
        <v>670</v>
      </c>
      <c r="F803" s="146" t="s">
        <v>671</v>
      </c>
      <c r="G803" s="146" t="s">
        <v>672</v>
      </c>
      <c r="H803" s="148">
        <v>2.04</v>
      </c>
      <c r="I803" s="146" t="s">
        <v>673</v>
      </c>
      <c r="J803" s="149">
        <v>1</v>
      </c>
      <c r="K803" s="150">
        <v>2021</v>
      </c>
      <c r="L803" s="210" t="s">
        <v>2800</v>
      </c>
      <c r="M803" s="211" t="s">
        <v>2801</v>
      </c>
      <c r="N803" s="212"/>
      <c r="O803" s="288" t="s">
        <v>3401</v>
      </c>
      <c r="P803" s="208" t="s">
        <v>751</v>
      </c>
      <c r="Q803" s="217">
        <v>1978</v>
      </c>
      <c r="R803" s="155">
        <v>6</v>
      </c>
      <c r="S803" s="168"/>
      <c r="T803" s="168"/>
      <c r="U803" s="146"/>
      <c r="V803" s="146"/>
      <c r="W803" s="146"/>
      <c r="X803" s="156">
        <v>0</v>
      </c>
      <c r="Y803" s="156">
        <v>0</v>
      </c>
      <c r="Z803" s="157" t="s">
        <v>2703</v>
      </c>
      <c r="AA803" s="158">
        <v>2021</v>
      </c>
      <c r="AB803" s="158">
        <v>7</v>
      </c>
      <c r="AC803" s="158">
        <v>30</v>
      </c>
      <c r="AD803" s="122" t="b">
        <f>IF(ISBLANK(GroupMember[[#This Row],[1. Identifiant interne d’exploitation agricole*]]),"",IF(ISERROR(MATCH(GroupMember[[#This Row],[1. Identifiant interne d’exploitation agricole*]],CertifiedCrop[1. Identifiant interne d’exploitation agricole*],0)),FALSE,TRUE))</f>
        <v>1</v>
      </c>
      <c r="AE803" s="122" t="b">
        <f>IF(ISBLANK(GroupMember[[#This Row],[1. Identifiant interne d’exploitation agricole*]]),"",IF(ISERROR(MATCH(GroupMember[[#This Row],[1. Identifiant interne d’exploitation agricole*]],FarmUnit[1. Identifiant interne d’exploitation agricole*],0)),FALSE,TRUE))</f>
        <v>1</v>
      </c>
      <c r="AF803" s="9" t="str">
        <f t="shared" si="36"/>
        <v>CONE SALI</v>
      </c>
      <c r="AG803" s="243" t="str">
        <f t="shared" si="37"/>
        <v>30/7/2021</v>
      </c>
      <c r="AH803" s="51">
        <f>COUNTIFS(Z:Z,Z803,AG:AG,AG803)</f>
        <v>4</v>
      </c>
      <c r="AI803" s="49">
        <f t="shared" si="38"/>
        <v>0</v>
      </c>
    </row>
    <row r="804" spans="1:35" ht="15" x14ac:dyDescent="0.2">
      <c r="A804" s="193" t="s">
        <v>2802</v>
      </c>
      <c r="B804" s="146" t="s">
        <v>668</v>
      </c>
      <c r="C804" s="193" t="s">
        <v>2802</v>
      </c>
      <c r="D804" s="211" t="s">
        <v>2146</v>
      </c>
      <c r="E804" s="146" t="s">
        <v>670</v>
      </c>
      <c r="F804" s="146" t="s">
        <v>671</v>
      </c>
      <c r="G804" s="146" t="s">
        <v>672</v>
      </c>
      <c r="H804" s="148">
        <v>1.91</v>
      </c>
      <c r="I804" s="146" t="s">
        <v>673</v>
      </c>
      <c r="J804" s="149">
        <v>1</v>
      </c>
      <c r="K804" s="150">
        <v>2021</v>
      </c>
      <c r="L804" s="210" t="s">
        <v>2803</v>
      </c>
      <c r="M804" s="211" t="s">
        <v>2804</v>
      </c>
      <c r="N804" s="212"/>
      <c r="O804" s="288" t="s">
        <v>3402</v>
      </c>
      <c r="P804" s="208" t="s">
        <v>676</v>
      </c>
      <c r="Q804" s="217">
        <v>1983</v>
      </c>
      <c r="R804" s="155">
        <v>8</v>
      </c>
      <c r="S804" s="168"/>
      <c r="T804" s="168"/>
      <c r="U804" s="146"/>
      <c r="V804" s="146"/>
      <c r="W804" s="146"/>
      <c r="X804" s="156">
        <v>0</v>
      </c>
      <c r="Y804" s="156">
        <v>0</v>
      </c>
      <c r="Z804" s="157" t="s">
        <v>2703</v>
      </c>
      <c r="AA804" s="158">
        <v>2021</v>
      </c>
      <c r="AB804" s="158">
        <v>7</v>
      </c>
      <c r="AC804" s="158">
        <v>27</v>
      </c>
      <c r="AD804" s="122" t="b">
        <f>IF(ISBLANK(GroupMember[[#This Row],[1. Identifiant interne d’exploitation agricole*]]),"",IF(ISERROR(MATCH(GroupMember[[#This Row],[1. Identifiant interne d’exploitation agricole*]],CertifiedCrop[1. Identifiant interne d’exploitation agricole*],0)),FALSE,TRUE))</f>
        <v>1</v>
      </c>
      <c r="AE804" s="122" t="b">
        <f>IF(ISBLANK(GroupMember[[#This Row],[1. Identifiant interne d’exploitation agricole*]]),"",IF(ISERROR(MATCH(GroupMember[[#This Row],[1. Identifiant interne d’exploitation agricole*]],FarmUnit[1. Identifiant interne d’exploitation agricole*],0)),FALSE,TRUE))</f>
        <v>1</v>
      </c>
      <c r="AF804" s="9" t="str">
        <f t="shared" si="36"/>
        <v>AMANI YAO KOUADIO KAN</v>
      </c>
      <c r="AG804" s="243" t="str">
        <f t="shared" si="37"/>
        <v>27/7/2021</v>
      </c>
      <c r="AH804" s="51">
        <f>COUNTIFS(Z:Z,Z804,AG:AG,AG804)</f>
        <v>5</v>
      </c>
      <c r="AI804" s="49">
        <f t="shared" si="38"/>
        <v>0</v>
      </c>
    </row>
    <row r="805" spans="1:35" ht="15" x14ac:dyDescent="0.2">
      <c r="A805" s="193" t="s">
        <v>2805</v>
      </c>
      <c r="B805" s="146" t="s">
        <v>668</v>
      </c>
      <c r="C805" s="193" t="s">
        <v>2805</v>
      </c>
      <c r="D805" s="211" t="s">
        <v>2146</v>
      </c>
      <c r="E805" s="146" t="s">
        <v>670</v>
      </c>
      <c r="F805" s="146" t="s">
        <v>671</v>
      </c>
      <c r="G805" s="146" t="s">
        <v>672</v>
      </c>
      <c r="H805" s="148">
        <v>1.5</v>
      </c>
      <c r="I805" s="146" t="s">
        <v>673</v>
      </c>
      <c r="J805" s="149">
        <v>2</v>
      </c>
      <c r="K805" s="150">
        <v>2021</v>
      </c>
      <c r="L805" s="210" t="s">
        <v>765</v>
      </c>
      <c r="M805" s="211" t="s">
        <v>1811</v>
      </c>
      <c r="N805" s="212"/>
      <c r="O805" s="288" t="s">
        <v>3413</v>
      </c>
      <c r="P805" s="208" t="s">
        <v>676</v>
      </c>
      <c r="Q805" s="217">
        <v>1988</v>
      </c>
      <c r="R805" s="155">
        <v>5</v>
      </c>
      <c r="S805" s="168"/>
      <c r="T805" s="168"/>
      <c r="U805" s="146"/>
      <c r="V805" s="146"/>
      <c r="W805" s="146"/>
      <c r="X805" s="156">
        <v>0</v>
      </c>
      <c r="Y805" s="156">
        <v>0</v>
      </c>
      <c r="Z805" s="157" t="s">
        <v>2703</v>
      </c>
      <c r="AA805" s="158">
        <v>2021</v>
      </c>
      <c r="AB805" s="158">
        <v>7</v>
      </c>
      <c r="AC805" s="158">
        <v>13</v>
      </c>
      <c r="AD805" s="122" t="b">
        <f>IF(ISBLANK(GroupMember[[#This Row],[1. Identifiant interne d’exploitation agricole*]]),"",IF(ISERROR(MATCH(GroupMember[[#This Row],[1. Identifiant interne d’exploitation agricole*]],CertifiedCrop[1. Identifiant interne d’exploitation agricole*],0)),FALSE,TRUE))</f>
        <v>1</v>
      </c>
      <c r="AE805" s="122" t="b">
        <f>IF(ISBLANK(GroupMember[[#This Row],[1. Identifiant interne d’exploitation agricole*]]),"",IF(ISERROR(MATCH(GroupMember[[#This Row],[1. Identifiant interne d’exploitation agricole*]],FarmUnit[1. Identifiant interne d’exploitation agricole*],0)),FALSE,TRUE))</f>
        <v>1</v>
      </c>
      <c r="AF805" s="9" t="str">
        <f t="shared" si="36"/>
        <v>KONE SEYDOU</v>
      </c>
      <c r="AG805" s="243" t="str">
        <f t="shared" si="37"/>
        <v>13/7/2021</v>
      </c>
      <c r="AH805" s="51">
        <f>COUNTIFS(Z:Z,Z805,AG:AG,AG805)</f>
        <v>4</v>
      </c>
      <c r="AI805" s="49">
        <f t="shared" si="38"/>
        <v>0</v>
      </c>
    </row>
    <row r="806" spans="1:35" ht="15" x14ac:dyDescent="0.2">
      <c r="A806" s="193" t="s">
        <v>2806</v>
      </c>
      <c r="B806" s="146" t="s">
        <v>668</v>
      </c>
      <c r="C806" s="193" t="s">
        <v>2806</v>
      </c>
      <c r="D806" s="211" t="s">
        <v>2146</v>
      </c>
      <c r="E806" s="146" t="s">
        <v>670</v>
      </c>
      <c r="F806" s="146" t="s">
        <v>671</v>
      </c>
      <c r="G806" s="146" t="s">
        <v>672</v>
      </c>
      <c r="H806" s="148">
        <v>0.92</v>
      </c>
      <c r="I806" s="146" t="s">
        <v>673</v>
      </c>
      <c r="J806" s="149">
        <v>1</v>
      </c>
      <c r="K806" s="150">
        <v>2021</v>
      </c>
      <c r="L806" s="210" t="s">
        <v>863</v>
      </c>
      <c r="M806" s="211" t="s">
        <v>730</v>
      </c>
      <c r="N806" s="212"/>
      <c r="O806" s="282" t="s">
        <v>3403</v>
      </c>
      <c r="P806" s="208" t="s">
        <v>676</v>
      </c>
      <c r="Q806" s="217">
        <v>1970</v>
      </c>
      <c r="R806" s="155">
        <v>6</v>
      </c>
      <c r="S806" s="168"/>
      <c r="T806" s="168"/>
      <c r="U806" s="146"/>
      <c r="V806" s="146"/>
      <c r="W806" s="146"/>
      <c r="X806" s="156">
        <v>0</v>
      </c>
      <c r="Y806" s="156">
        <v>0</v>
      </c>
      <c r="Z806" s="157" t="s">
        <v>2703</v>
      </c>
      <c r="AA806" s="158">
        <v>2021</v>
      </c>
      <c r="AB806" s="158">
        <v>7</v>
      </c>
      <c r="AC806" s="158">
        <v>3</v>
      </c>
      <c r="AD806" s="122" t="b">
        <f>IF(ISBLANK(GroupMember[[#This Row],[1. Identifiant interne d’exploitation agricole*]]),"",IF(ISERROR(MATCH(GroupMember[[#This Row],[1. Identifiant interne d’exploitation agricole*]],CertifiedCrop[1. Identifiant interne d’exploitation agricole*],0)),FALSE,TRUE))</f>
        <v>1</v>
      </c>
      <c r="AE806" s="122" t="b">
        <f>IF(ISBLANK(GroupMember[[#This Row],[1. Identifiant interne d’exploitation agricole*]]),"",IF(ISERROR(MATCH(GroupMember[[#This Row],[1. Identifiant interne d’exploitation agricole*]],FarmUnit[1. Identifiant interne d’exploitation agricole*],0)),FALSE,TRUE))</f>
        <v>1</v>
      </c>
      <c r="AF806" s="9" t="str">
        <f t="shared" si="36"/>
        <v>KOULIBALY DAOUDA</v>
      </c>
      <c r="AG806" s="243" t="str">
        <f t="shared" si="37"/>
        <v>3/7/2021</v>
      </c>
      <c r="AH806" s="51">
        <f>COUNTIFS(Z:Z,Z806,AG:AG,AG806)</f>
        <v>4</v>
      </c>
      <c r="AI806" s="49">
        <f t="shared" si="38"/>
        <v>0</v>
      </c>
    </row>
    <row r="807" spans="1:35" ht="15" x14ac:dyDescent="0.2">
      <c r="A807" s="193" t="s">
        <v>2807</v>
      </c>
      <c r="B807" s="146" t="s">
        <v>668</v>
      </c>
      <c r="C807" s="193" t="s">
        <v>2807</v>
      </c>
      <c r="D807" s="211" t="s">
        <v>2146</v>
      </c>
      <c r="E807" s="146" t="s">
        <v>670</v>
      </c>
      <c r="F807" s="146" t="s">
        <v>671</v>
      </c>
      <c r="G807" s="146" t="s">
        <v>672</v>
      </c>
      <c r="H807" s="148">
        <v>4</v>
      </c>
      <c r="I807" s="146" t="s">
        <v>673</v>
      </c>
      <c r="J807" s="149">
        <v>1</v>
      </c>
      <c r="K807" s="150">
        <v>2021</v>
      </c>
      <c r="L807" s="210" t="s">
        <v>765</v>
      </c>
      <c r="M807" s="211" t="s">
        <v>753</v>
      </c>
      <c r="N807" s="212"/>
      <c r="O807" s="217" t="s">
        <v>3404</v>
      </c>
      <c r="P807" s="208" t="s">
        <v>676</v>
      </c>
      <c r="Q807" s="217">
        <v>1979</v>
      </c>
      <c r="R807" s="155">
        <v>6</v>
      </c>
      <c r="S807" s="168"/>
      <c r="T807" s="168"/>
      <c r="U807" s="146"/>
      <c r="V807" s="146"/>
      <c r="W807" s="146"/>
      <c r="X807" s="156">
        <v>0</v>
      </c>
      <c r="Y807" s="156">
        <v>0</v>
      </c>
      <c r="Z807" s="157" t="s">
        <v>2703</v>
      </c>
      <c r="AA807" s="158">
        <v>2021</v>
      </c>
      <c r="AB807" s="158">
        <v>7</v>
      </c>
      <c r="AC807" s="158">
        <v>27</v>
      </c>
      <c r="AD807" s="122" t="b">
        <f>IF(ISBLANK(GroupMember[[#This Row],[1. Identifiant interne d’exploitation agricole*]]),"",IF(ISERROR(MATCH(GroupMember[[#This Row],[1. Identifiant interne d’exploitation agricole*]],CertifiedCrop[1. Identifiant interne d’exploitation agricole*],0)),FALSE,TRUE))</f>
        <v>1</v>
      </c>
      <c r="AE807" s="122" t="b">
        <f>IF(ISBLANK(GroupMember[[#This Row],[1. Identifiant interne d’exploitation agricole*]]),"",IF(ISERROR(MATCH(GroupMember[[#This Row],[1. Identifiant interne d’exploitation agricole*]],FarmUnit[1. Identifiant interne d’exploitation agricole*],0)),FALSE,TRUE))</f>
        <v>1</v>
      </c>
      <c r="AF807" s="9" t="str">
        <f t="shared" si="36"/>
        <v>KONE ADAMA</v>
      </c>
      <c r="AG807" s="243" t="str">
        <f t="shared" si="37"/>
        <v>27/7/2021</v>
      </c>
      <c r="AH807" s="51">
        <f>COUNTIFS(Z:Z,Z807,AG:AG,AG807)</f>
        <v>5</v>
      </c>
      <c r="AI807" s="49">
        <f t="shared" si="38"/>
        <v>0</v>
      </c>
    </row>
    <row r="808" spans="1:35" ht="15" x14ac:dyDescent="0.2">
      <c r="A808" s="193" t="s">
        <v>2808</v>
      </c>
      <c r="B808" s="146" t="s">
        <v>668</v>
      </c>
      <c r="C808" s="193" t="s">
        <v>2808</v>
      </c>
      <c r="D808" s="211" t="s">
        <v>2146</v>
      </c>
      <c r="E808" s="146" t="s">
        <v>670</v>
      </c>
      <c r="F808" s="146" t="s">
        <v>671</v>
      </c>
      <c r="G808" s="146" t="s">
        <v>672</v>
      </c>
      <c r="H808" s="148">
        <v>1.37</v>
      </c>
      <c r="I808" s="146" t="s">
        <v>673</v>
      </c>
      <c r="J808" s="149">
        <v>1</v>
      </c>
      <c r="K808" s="150">
        <v>2021</v>
      </c>
      <c r="L808" s="210" t="s">
        <v>701</v>
      </c>
      <c r="M808" s="211" t="s">
        <v>1789</v>
      </c>
      <c r="N808" s="212"/>
      <c r="O808" s="217" t="s">
        <v>3405</v>
      </c>
      <c r="P808" s="208" t="s">
        <v>676</v>
      </c>
      <c r="Q808" s="217">
        <v>1991</v>
      </c>
      <c r="R808" s="155">
        <v>5</v>
      </c>
      <c r="S808" s="168"/>
      <c r="T808" s="168"/>
      <c r="U808" s="146"/>
      <c r="V808" s="146"/>
      <c r="W808" s="146"/>
      <c r="X808" s="156">
        <v>0</v>
      </c>
      <c r="Y808" s="156">
        <v>0</v>
      </c>
      <c r="Z808" s="157" t="s">
        <v>2703</v>
      </c>
      <c r="AA808" s="158">
        <v>2021</v>
      </c>
      <c r="AB808" s="158">
        <v>7</v>
      </c>
      <c r="AC808" s="158">
        <v>6</v>
      </c>
      <c r="AD808" s="122" t="b">
        <f>IF(ISBLANK(GroupMember[[#This Row],[1. Identifiant interne d’exploitation agricole*]]),"",IF(ISERROR(MATCH(GroupMember[[#This Row],[1. Identifiant interne d’exploitation agricole*]],CertifiedCrop[1. Identifiant interne d’exploitation agricole*],0)),FALSE,TRUE))</f>
        <v>1</v>
      </c>
      <c r="AE808" s="122" t="b">
        <f>IF(ISBLANK(GroupMember[[#This Row],[1. Identifiant interne d’exploitation agricole*]]),"",IF(ISERROR(MATCH(GroupMember[[#This Row],[1. Identifiant interne d’exploitation agricole*]],FarmUnit[1. Identifiant interne d’exploitation agricole*],0)),FALSE,TRUE))</f>
        <v>1</v>
      </c>
      <c r="AF808" s="9" t="str">
        <f t="shared" si="36"/>
        <v>OUATTARA IBRAHIM</v>
      </c>
      <c r="AG808" s="243" t="str">
        <f t="shared" si="37"/>
        <v>6/7/2021</v>
      </c>
      <c r="AH808" s="51">
        <f>COUNTIFS(Z:Z,Z808,AG:AG,AG808)</f>
        <v>4</v>
      </c>
      <c r="AI808" s="49">
        <f t="shared" si="38"/>
        <v>0</v>
      </c>
    </row>
    <row r="809" spans="1:35" ht="15" x14ac:dyDescent="0.2">
      <c r="A809" s="193" t="s">
        <v>2809</v>
      </c>
      <c r="B809" s="146" t="s">
        <v>668</v>
      </c>
      <c r="C809" s="193" t="s">
        <v>2809</v>
      </c>
      <c r="D809" s="211" t="s">
        <v>2146</v>
      </c>
      <c r="E809" s="146" t="s">
        <v>670</v>
      </c>
      <c r="F809" s="146" t="s">
        <v>671</v>
      </c>
      <c r="G809" s="146" t="s">
        <v>672</v>
      </c>
      <c r="H809" s="148">
        <v>2.66</v>
      </c>
      <c r="I809" s="146" t="s">
        <v>673</v>
      </c>
      <c r="J809" s="149">
        <v>1</v>
      </c>
      <c r="K809" s="150">
        <v>2021</v>
      </c>
      <c r="L809" s="210" t="s">
        <v>1774</v>
      </c>
      <c r="M809" s="211" t="s">
        <v>2748</v>
      </c>
      <c r="N809" s="212"/>
      <c r="O809" s="288" t="s">
        <v>3406</v>
      </c>
      <c r="P809" s="208" t="s">
        <v>676</v>
      </c>
      <c r="Q809" s="217">
        <v>1974</v>
      </c>
      <c r="R809" s="155">
        <v>7</v>
      </c>
      <c r="S809" s="168"/>
      <c r="T809" s="168"/>
      <c r="U809" s="146"/>
      <c r="V809" s="146"/>
      <c r="W809" s="146"/>
      <c r="X809" s="156">
        <v>0</v>
      </c>
      <c r="Y809" s="156">
        <v>0</v>
      </c>
      <c r="Z809" s="157" t="s">
        <v>2703</v>
      </c>
      <c r="AA809" s="158">
        <v>2021</v>
      </c>
      <c r="AB809" s="158">
        <v>7</v>
      </c>
      <c r="AC809" s="158">
        <v>27</v>
      </c>
      <c r="AD809" s="122" t="b">
        <f>IF(ISBLANK(GroupMember[[#This Row],[1. Identifiant interne d’exploitation agricole*]]),"",IF(ISERROR(MATCH(GroupMember[[#This Row],[1. Identifiant interne d’exploitation agricole*]],CertifiedCrop[1. Identifiant interne d’exploitation agricole*],0)),FALSE,TRUE))</f>
        <v>1</v>
      </c>
      <c r="AE809" s="122" t="b">
        <f>IF(ISBLANK(GroupMember[[#This Row],[1. Identifiant interne d’exploitation agricole*]]),"",IF(ISERROR(MATCH(GroupMember[[#This Row],[1. Identifiant interne d’exploitation agricole*]],FarmUnit[1. Identifiant interne d’exploitation agricole*],0)),FALSE,TRUE))</f>
        <v>1</v>
      </c>
      <c r="AF809" s="9" t="str">
        <f t="shared" si="36"/>
        <v>COULIBALY SOUNGALO</v>
      </c>
      <c r="AG809" s="243" t="str">
        <f t="shared" si="37"/>
        <v>27/7/2021</v>
      </c>
      <c r="AH809" s="51">
        <f>COUNTIFS(Z:Z,Z809,AG:AG,AG809)</f>
        <v>5</v>
      </c>
      <c r="AI809" s="49">
        <f t="shared" si="38"/>
        <v>0</v>
      </c>
    </row>
    <row r="810" spans="1:35" ht="15" x14ac:dyDescent="0.2">
      <c r="A810" s="193" t="s">
        <v>2810</v>
      </c>
      <c r="B810" s="146" t="s">
        <v>668</v>
      </c>
      <c r="C810" s="193" t="s">
        <v>2810</v>
      </c>
      <c r="D810" s="211" t="s">
        <v>2146</v>
      </c>
      <c r="E810" s="146" t="s">
        <v>670</v>
      </c>
      <c r="F810" s="146" t="s">
        <v>671</v>
      </c>
      <c r="G810" s="146" t="s">
        <v>672</v>
      </c>
      <c r="H810" s="148">
        <v>2.85</v>
      </c>
      <c r="I810" s="146" t="s">
        <v>673</v>
      </c>
      <c r="J810" s="149">
        <v>1</v>
      </c>
      <c r="K810" s="150">
        <v>2021</v>
      </c>
      <c r="L810" s="210" t="s">
        <v>715</v>
      </c>
      <c r="M810" s="211" t="s">
        <v>2153</v>
      </c>
      <c r="N810" s="212"/>
      <c r="O810" s="217" t="s">
        <v>3414</v>
      </c>
      <c r="P810" s="208" t="s">
        <v>676</v>
      </c>
      <c r="Q810" s="217">
        <v>1968</v>
      </c>
      <c r="R810" s="155">
        <v>6</v>
      </c>
      <c r="S810" s="168"/>
      <c r="T810" s="168"/>
      <c r="U810" s="146"/>
      <c r="V810" s="146"/>
      <c r="W810" s="146"/>
      <c r="X810" s="156">
        <v>0</v>
      </c>
      <c r="Y810" s="156">
        <v>0</v>
      </c>
      <c r="Z810" s="157" t="s">
        <v>2703</v>
      </c>
      <c r="AA810" s="158">
        <v>2021</v>
      </c>
      <c r="AB810" s="158">
        <v>7</v>
      </c>
      <c r="AC810" s="158">
        <v>30</v>
      </c>
      <c r="AD810" s="122" t="b">
        <f>IF(ISBLANK(GroupMember[[#This Row],[1. Identifiant interne d’exploitation agricole*]]),"",IF(ISERROR(MATCH(GroupMember[[#This Row],[1. Identifiant interne d’exploitation agricole*]],CertifiedCrop[1. Identifiant interne d’exploitation agricole*],0)),FALSE,TRUE))</f>
        <v>1</v>
      </c>
      <c r="AE810" s="122" t="b">
        <f>IF(ISBLANK(GroupMember[[#This Row],[1. Identifiant interne d’exploitation agricole*]]),"",IF(ISERROR(MATCH(GroupMember[[#This Row],[1. Identifiant interne d’exploitation agricole*]],FarmUnit[1. Identifiant interne d’exploitation agricole*],0)),FALSE,TRUE))</f>
        <v>1</v>
      </c>
      <c r="AF810" s="9" t="str">
        <f t="shared" si="36"/>
        <v>TRAORE DJAKARIDJA</v>
      </c>
      <c r="AG810" s="243" t="str">
        <f t="shared" si="37"/>
        <v>30/7/2021</v>
      </c>
      <c r="AH810" s="51">
        <f>COUNTIFS(Z:Z,Z810,AG:AG,AG810)</f>
        <v>4</v>
      </c>
      <c r="AI810" s="49">
        <f t="shared" si="38"/>
        <v>0</v>
      </c>
    </row>
    <row r="811" spans="1:35" ht="15" x14ac:dyDescent="0.2">
      <c r="A811" s="193" t="s">
        <v>2811</v>
      </c>
      <c r="B811" s="146" t="s">
        <v>668</v>
      </c>
      <c r="C811" s="193" t="s">
        <v>2811</v>
      </c>
      <c r="D811" s="211" t="s">
        <v>2146</v>
      </c>
      <c r="E811" s="146" t="s">
        <v>670</v>
      </c>
      <c r="F811" s="146" t="s">
        <v>671</v>
      </c>
      <c r="G811" s="146" t="s">
        <v>672</v>
      </c>
      <c r="H811" s="148">
        <v>3.76</v>
      </c>
      <c r="I811" s="146" t="s">
        <v>673</v>
      </c>
      <c r="J811" s="149">
        <v>1</v>
      </c>
      <c r="K811" s="150">
        <v>2021</v>
      </c>
      <c r="L811" s="210" t="s">
        <v>1774</v>
      </c>
      <c r="M811" s="211" t="s">
        <v>2812</v>
      </c>
      <c r="N811" s="212"/>
      <c r="O811" s="288" t="s">
        <v>3407</v>
      </c>
      <c r="P811" s="208" t="s">
        <v>676</v>
      </c>
      <c r="Q811" s="217">
        <v>1992</v>
      </c>
      <c r="R811" s="155">
        <v>5</v>
      </c>
      <c r="S811" s="168"/>
      <c r="T811" s="168"/>
      <c r="U811" s="146"/>
      <c r="V811" s="146"/>
      <c r="W811" s="146"/>
      <c r="X811" s="156">
        <v>0</v>
      </c>
      <c r="Y811" s="156">
        <v>0</v>
      </c>
      <c r="Z811" s="157" t="s">
        <v>2703</v>
      </c>
      <c r="AA811" s="158">
        <v>2021</v>
      </c>
      <c r="AB811" s="158">
        <v>7</v>
      </c>
      <c r="AC811" s="158">
        <v>13</v>
      </c>
      <c r="AD811" s="122" t="b">
        <f>IF(ISBLANK(GroupMember[[#This Row],[1. Identifiant interne d’exploitation agricole*]]),"",IF(ISERROR(MATCH(GroupMember[[#This Row],[1. Identifiant interne d’exploitation agricole*]],CertifiedCrop[1. Identifiant interne d’exploitation agricole*],0)),FALSE,TRUE))</f>
        <v>1</v>
      </c>
      <c r="AE811" s="122" t="b">
        <f>IF(ISBLANK(GroupMember[[#This Row],[1. Identifiant interne d’exploitation agricole*]]),"",IF(ISERROR(MATCH(GroupMember[[#This Row],[1. Identifiant interne d’exploitation agricole*]],FarmUnit[1. Identifiant interne d’exploitation agricole*],0)),FALSE,TRUE))</f>
        <v>1</v>
      </c>
      <c r="AF811" s="9" t="str">
        <f t="shared" si="36"/>
        <v>COULIBALY OUMHAR</v>
      </c>
      <c r="AG811" s="243" t="str">
        <f t="shared" si="37"/>
        <v>13/7/2021</v>
      </c>
      <c r="AH811" s="51">
        <f>COUNTIFS(Z:Z,Z811,AG:AG,AG811)</f>
        <v>4</v>
      </c>
      <c r="AI811" s="49">
        <f t="shared" si="38"/>
        <v>0</v>
      </c>
    </row>
    <row r="812" spans="1:35" ht="15" x14ac:dyDescent="0.2">
      <c r="A812" s="193" t="s">
        <v>2813</v>
      </c>
      <c r="B812" s="146" t="s">
        <v>668</v>
      </c>
      <c r="C812" s="193" t="s">
        <v>2813</v>
      </c>
      <c r="D812" s="211" t="s">
        <v>2146</v>
      </c>
      <c r="E812" s="146" t="s">
        <v>670</v>
      </c>
      <c r="F812" s="146" t="s">
        <v>671</v>
      </c>
      <c r="G812" s="146" t="s">
        <v>672</v>
      </c>
      <c r="H812" s="148">
        <v>1.45</v>
      </c>
      <c r="I812" s="146" t="s">
        <v>673</v>
      </c>
      <c r="J812" s="149">
        <v>1</v>
      </c>
      <c r="K812" s="150">
        <v>2021</v>
      </c>
      <c r="L812" s="210" t="s">
        <v>1774</v>
      </c>
      <c r="M812" s="211" t="s">
        <v>2291</v>
      </c>
      <c r="N812" s="212"/>
      <c r="O812" s="217" t="s">
        <v>3408</v>
      </c>
      <c r="P812" s="208" t="s">
        <v>676</v>
      </c>
      <c r="Q812" s="217">
        <v>1976</v>
      </c>
      <c r="R812" s="155">
        <v>8</v>
      </c>
      <c r="S812" s="168"/>
      <c r="T812" s="168"/>
      <c r="U812" s="146"/>
      <c r="V812" s="146"/>
      <c r="W812" s="146"/>
      <c r="X812" s="156">
        <v>0</v>
      </c>
      <c r="Y812" s="156">
        <v>0</v>
      </c>
      <c r="Z812" s="157" t="s">
        <v>2703</v>
      </c>
      <c r="AA812" s="158">
        <v>2021</v>
      </c>
      <c r="AB812" s="158">
        <v>7</v>
      </c>
      <c r="AC812" s="158">
        <v>7</v>
      </c>
      <c r="AD812" s="122" t="b">
        <f>IF(ISBLANK(GroupMember[[#This Row],[1. Identifiant interne d’exploitation agricole*]]),"",IF(ISERROR(MATCH(GroupMember[[#This Row],[1. Identifiant interne d’exploitation agricole*]],CertifiedCrop[1. Identifiant interne d’exploitation agricole*],0)),FALSE,TRUE))</f>
        <v>1</v>
      </c>
      <c r="AE812" s="122" t="b">
        <f>IF(ISBLANK(GroupMember[[#This Row],[1. Identifiant interne d’exploitation agricole*]]),"",IF(ISERROR(MATCH(GroupMember[[#This Row],[1. Identifiant interne d’exploitation agricole*]],FarmUnit[1. Identifiant interne d’exploitation agricole*],0)),FALSE,TRUE))</f>
        <v>1</v>
      </c>
      <c r="AF812" s="9" t="str">
        <f t="shared" si="36"/>
        <v>COULIBALY ABOU</v>
      </c>
      <c r="AG812" s="243" t="str">
        <f t="shared" si="37"/>
        <v>7/7/2021</v>
      </c>
      <c r="AH812" s="51">
        <f>COUNTIFS(Z:Z,Z812,AG:AG,AG812)</f>
        <v>4</v>
      </c>
      <c r="AI812" s="49">
        <f t="shared" si="38"/>
        <v>0</v>
      </c>
    </row>
    <row r="813" spans="1:35" ht="15" x14ac:dyDescent="0.2">
      <c r="A813" s="193" t="s">
        <v>2814</v>
      </c>
      <c r="B813" s="146" t="s">
        <v>668</v>
      </c>
      <c r="C813" s="193" t="s">
        <v>2814</v>
      </c>
      <c r="D813" s="211" t="s">
        <v>2146</v>
      </c>
      <c r="E813" s="146" t="s">
        <v>670</v>
      </c>
      <c r="F813" s="146" t="s">
        <v>671</v>
      </c>
      <c r="G813" s="146" t="s">
        <v>672</v>
      </c>
      <c r="H813" s="148">
        <v>0.91</v>
      </c>
      <c r="I813" s="146" t="s">
        <v>673</v>
      </c>
      <c r="J813" s="149">
        <v>1</v>
      </c>
      <c r="K813" s="150">
        <v>2021</v>
      </c>
      <c r="L813" s="210" t="s">
        <v>765</v>
      </c>
      <c r="M813" s="211" t="s">
        <v>2365</v>
      </c>
      <c r="N813" s="212"/>
      <c r="O813" s="281" t="s">
        <v>3409</v>
      </c>
      <c r="P813" s="208" t="s">
        <v>751</v>
      </c>
      <c r="Q813" s="217">
        <v>1986</v>
      </c>
      <c r="R813" s="155">
        <v>7</v>
      </c>
      <c r="S813" s="168"/>
      <c r="T813" s="168"/>
      <c r="U813" s="146"/>
      <c r="V813" s="146"/>
      <c r="W813" s="146"/>
      <c r="X813" s="156">
        <v>0</v>
      </c>
      <c r="Y813" s="156">
        <v>0</v>
      </c>
      <c r="Z813" s="157" t="s">
        <v>2703</v>
      </c>
      <c r="AA813" s="158">
        <v>2021</v>
      </c>
      <c r="AB813" s="158">
        <v>7</v>
      </c>
      <c r="AC813" s="158">
        <v>5</v>
      </c>
      <c r="AD813" s="122" t="b">
        <f>IF(ISBLANK(GroupMember[[#This Row],[1. Identifiant interne d’exploitation agricole*]]),"",IF(ISERROR(MATCH(GroupMember[[#This Row],[1. Identifiant interne d’exploitation agricole*]],CertifiedCrop[1. Identifiant interne d’exploitation agricole*],0)),FALSE,TRUE))</f>
        <v>1</v>
      </c>
      <c r="AE813" s="122" t="b">
        <f>IF(ISBLANK(GroupMember[[#This Row],[1. Identifiant interne d’exploitation agricole*]]),"",IF(ISERROR(MATCH(GroupMember[[#This Row],[1. Identifiant interne d’exploitation agricole*]],FarmUnit[1. Identifiant interne d’exploitation agricole*],0)),FALSE,TRUE))</f>
        <v>1</v>
      </c>
      <c r="AF813" s="9" t="str">
        <f t="shared" si="36"/>
        <v>KONE ADJARA</v>
      </c>
      <c r="AG813" s="243" t="str">
        <f t="shared" si="37"/>
        <v>5/7/2021</v>
      </c>
      <c r="AH813" s="51">
        <f>COUNTIFS(Z:Z,Z813,AG:AG,AG813)</f>
        <v>4</v>
      </c>
      <c r="AI813" s="49">
        <f t="shared" si="38"/>
        <v>0</v>
      </c>
    </row>
    <row r="814" spans="1:35" ht="15" x14ac:dyDescent="0.2">
      <c r="A814" s="193" t="s">
        <v>2815</v>
      </c>
      <c r="B814" s="146" t="s">
        <v>668</v>
      </c>
      <c r="C814" s="193" t="s">
        <v>2815</v>
      </c>
      <c r="D814" s="211" t="s">
        <v>2146</v>
      </c>
      <c r="E814" s="146" t="s">
        <v>670</v>
      </c>
      <c r="F814" s="146" t="s">
        <v>671</v>
      </c>
      <c r="G814" s="146" t="s">
        <v>672</v>
      </c>
      <c r="H814" s="148">
        <v>2.87</v>
      </c>
      <c r="I814" s="146" t="s">
        <v>673</v>
      </c>
      <c r="J814" s="149">
        <v>1</v>
      </c>
      <c r="K814" s="150">
        <v>2021</v>
      </c>
      <c r="L814" s="210" t="s">
        <v>765</v>
      </c>
      <c r="M814" s="211" t="s">
        <v>2614</v>
      </c>
      <c r="N814" s="212"/>
      <c r="O814" s="217" t="s">
        <v>3410</v>
      </c>
      <c r="P814" s="208" t="s">
        <v>676</v>
      </c>
      <c r="Q814" s="217">
        <v>1989</v>
      </c>
      <c r="R814" s="155">
        <v>7</v>
      </c>
      <c r="S814" s="168"/>
      <c r="T814" s="168"/>
      <c r="U814" s="146"/>
      <c r="V814" s="146"/>
      <c r="W814" s="146"/>
      <c r="X814" s="156">
        <v>0</v>
      </c>
      <c r="Y814" s="156">
        <v>0</v>
      </c>
      <c r="Z814" s="157" t="s">
        <v>2703</v>
      </c>
      <c r="AA814" s="158">
        <v>2021</v>
      </c>
      <c r="AB814" s="158">
        <v>7</v>
      </c>
      <c r="AC814" s="158">
        <v>2</v>
      </c>
      <c r="AD814" s="122" t="b">
        <f>IF(ISBLANK(GroupMember[[#This Row],[1. Identifiant interne d’exploitation agricole*]]),"",IF(ISERROR(MATCH(GroupMember[[#This Row],[1. Identifiant interne d’exploitation agricole*]],CertifiedCrop[1. Identifiant interne d’exploitation agricole*],0)),FALSE,TRUE))</f>
        <v>1</v>
      </c>
      <c r="AE814" s="122" t="b">
        <f>IF(ISBLANK(GroupMember[[#This Row],[1. Identifiant interne d’exploitation agricole*]]),"",IF(ISERROR(MATCH(GroupMember[[#This Row],[1. Identifiant interne d’exploitation agricole*]],FarmUnit[1. Identifiant interne d’exploitation agricole*],0)),FALSE,TRUE))</f>
        <v>1</v>
      </c>
      <c r="AF814" s="9" t="str">
        <f t="shared" si="36"/>
        <v>KONE DRISSA</v>
      </c>
      <c r="AG814" s="243" t="str">
        <f t="shared" si="37"/>
        <v>2/7/2021</v>
      </c>
      <c r="AH814" s="51">
        <f>COUNTIFS(Z:Z,Z814,AG:AG,AG814)</f>
        <v>4</v>
      </c>
      <c r="AI814" s="49">
        <f t="shared" si="38"/>
        <v>0</v>
      </c>
    </row>
    <row r="815" spans="1:35" ht="15" x14ac:dyDescent="0.2">
      <c r="A815" s="193" t="s">
        <v>2816</v>
      </c>
      <c r="B815" s="146" t="s">
        <v>668</v>
      </c>
      <c r="C815" s="193" t="s">
        <v>2816</v>
      </c>
      <c r="D815" s="211" t="s">
        <v>2146</v>
      </c>
      <c r="E815" s="146" t="s">
        <v>670</v>
      </c>
      <c r="F815" s="146" t="s">
        <v>671</v>
      </c>
      <c r="G815" s="146" t="s">
        <v>672</v>
      </c>
      <c r="H815" s="148">
        <v>1.5</v>
      </c>
      <c r="I815" s="146" t="s">
        <v>673</v>
      </c>
      <c r="J815" s="149">
        <v>1</v>
      </c>
      <c r="K815" s="150">
        <v>2021</v>
      </c>
      <c r="L815" s="210" t="s">
        <v>1774</v>
      </c>
      <c r="M815" s="211" t="s">
        <v>2817</v>
      </c>
      <c r="N815" s="212"/>
      <c r="O815" s="217" t="s">
        <v>3411</v>
      </c>
      <c r="P815" s="208" t="s">
        <v>676</v>
      </c>
      <c r="Q815" s="217">
        <v>1977</v>
      </c>
      <c r="R815" s="155">
        <v>8</v>
      </c>
      <c r="S815" s="168"/>
      <c r="T815" s="168"/>
      <c r="U815" s="146"/>
      <c r="V815" s="146"/>
      <c r="W815" s="146"/>
      <c r="X815" s="156">
        <v>0</v>
      </c>
      <c r="Y815" s="156">
        <v>0</v>
      </c>
      <c r="Z815" s="157" t="s">
        <v>2703</v>
      </c>
      <c r="AA815" s="158">
        <v>2021</v>
      </c>
      <c r="AB815" s="158">
        <v>7</v>
      </c>
      <c r="AC815" s="158">
        <v>14</v>
      </c>
      <c r="AD815" s="122" t="b">
        <f>IF(ISBLANK(GroupMember[[#This Row],[1. Identifiant interne d’exploitation agricole*]]),"",IF(ISERROR(MATCH(GroupMember[[#This Row],[1. Identifiant interne d’exploitation agricole*]],CertifiedCrop[1. Identifiant interne d’exploitation agricole*],0)),FALSE,TRUE))</f>
        <v>1</v>
      </c>
      <c r="AE815" s="122" t="b">
        <f>IF(ISBLANK(GroupMember[[#This Row],[1. Identifiant interne d’exploitation agricole*]]),"",IF(ISERROR(MATCH(GroupMember[[#This Row],[1. Identifiant interne d’exploitation agricole*]],FarmUnit[1. Identifiant interne d’exploitation agricole*],0)),FALSE,TRUE))</f>
        <v>1</v>
      </c>
      <c r="AF815" s="9" t="str">
        <f t="shared" si="36"/>
        <v>COULIBALY DJOUMAN</v>
      </c>
      <c r="AG815" s="243" t="str">
        <f t="shared" si="37"/>
        <v>14/7/2021</v>
      </c>
      <c r="AH815" s="51">
        <f>COUNTIFS(Z:Z,Z815,AG:AG,AG815)</f>
        <v>3</v>
      </c>
      <c r="AI815" s="49">
        <f t="shared" si="38"/>
        <v>0</v>
      </c>
    </row>
    <row r="816" spans="1:35" ht="15" x14ac:dyDescent="0.2">
      <c r="A816" s="193" t="s">
        <v>2818</v>
      </c>
      <c r="B816" s="146" t="s">
        <v>668</v>
      </c>
      <c r="C816" s="193" t="s">
        <v>2818</v>
      </c>
      <c r="D816" s="211" t="s">
        <v>2146</v>
      </c>
      <c r="E816" s="146" t="s">
        <v>670</v>
      </c>
      <c r="F816" s="146" t="s">
        <v>671</v>
      </c>
      <c r="G816" s="146" t="s">
        <v>672</v>
      </c>
      <c r="H816" s="148">
        <v>2.09</v>
      </c>
      <c r="I816" s="146" t="s">
        <v>673</v>
      </c>
      <c r="J816" s="149">
        <v>1</v>
      </c>
      <c r="K816" s="150">
        <v>2021</v>
      </c>
      <c r="L816" s="210" t="s">
        <v>765</v>
      </c>
      <c r="M816" s="211" t="s">
        <v>2819</v>
      </c>
      <c r="N816" s="212"/>
      <c r="O816" s="217" t="s">
        <v>3412</v>
      </c>
      <c r="P816" s="208" t="s">
        <v>676</v>
      </c>
      <c r="Q816" s="217">
        <v>1971</v>
      </c>
      <c r="R816" s="155">
        <v>5</v>
      </c>
      <c r="S816" s="168"/>
      <c r="T816" s="168"/>
      <c r="U816" s="146"/>
      <c r="V816" s="146"/>
      <c r="W816" s="146"/>
      <c r="X816" s="156">
        <v>0</v>
      </c>
      <c r="Y816" s="156">
        <v>0</v>
      </c>
      <c r="Z816" s="157" t="s">
        <v>2703</v>
      </c>
      <c r="AA816" s="158">
        <v>2021</v>
      </c>
      <c r="AB816" s="158">
        <v>7</v>
      </c>
      <c r="AC816" s="158">
        <v>27</v>
      </c>
      <c r="AD816" s="122" t="b">
        <f>IF(ISBLANK(GroupMember[[#This Row],[1. Identifiant interne d’exploitation agricole*]]),"",IF(ISERROR(MATCH(GroupMember[[#This Row],[1. Identifiant interne d’exploitation agricole*]],CertifiedCrop[1. Identifiant interne d’exploitation agricole*],0)),FALSE,TRUE))</f>
        <v>1</v>
      </c>
      <c r="AE816" s="122" t="b">
        <f>IF(ISBLANK(GroupMember[[#This Row],[1. Identifiant interne d’exploitation agricole*]]),"",IF(ISERROR(MATCH(GroupMember[[#This Row],[1. Identifiant interne d’exploitation agricole*]],FarmUnit[1. Identifiant interne d’exploitation agricole*],0)),FALSE,TRUE))</f>
        <v>1</v>
      </c>
      <c r="AF816" s="9" t="str">
        <f t="shared" si="36"/>
        <v>KONE SIBIRI</v>
      </c>
      <c r="AG816" s="243" t="str">
        <f t="shared" si="37"/>
        <v>27/7/2021</v>
      </c>
      <c r="AH816" s="51">
        <f>COUNTIFS(Z:Z,Z816,AG:AG,AG816)</f>
        <v>5</v>
      </c>
      <c r="AI816" s="49">
        <f t="shared" si="38"/>
        <v>0</v>
      </c>
    </row>
    <row r="817" spans="1:35" ht="15" x14ac:dyDescent="0.2">
      <c r="A817" s="193" t="s">
        <v>2820</v>
      </c>
      <c r="B817" s="146" t="s">
        <v>668</v>
      </c>
      <c r="C817" s="193" t="s">
        <v>2820</v>
      </c>
      <c r="D817" s="211" t="s">
        <v>2146</v>
      </c>
      <c r="E817" s="146" t="s">
        <v>670</v>
      </c>
      <c r="F817" s="146" t="s">
        <v>671</v>
      </c>
      <c r="G817" s="146" t="s">
        <v>672</v>
      </c>
      <c r="H817" s="148">
        <v>1.63</v>
      </c>
      <c r="I817" s="146" t="s">
        <v>673</v>
      </c>
      <c r="J817" s="149">
        <v>1</v>
      </c>
      <c r="K817" s="150">
        <v>2021</v>
      </c>
      <c r="L817" s="210" t="s">
        <v>765</v>
      </c>
      <c r="M817" s="211" t="s">
        <v>2801</v>
      </c>
      <c r="N817" s="212"/>
      <c r="O817" s="211"/>
      <c r="P817" s="208" t="s">
        <v>751</v>
      </c>
      <c r="Q817" s="110"/>
      <c r="R817" s="155">
        <v>8</v>
      </c>
      <c r="S817" s="168"/>
      <c r="T817" s="168"/>
      <c r="U817" s="146"/>
      <c r="V817" s="146"/>
      <c r="W817" s="146"/>
      <c r="X817" s="156">
        <v>0</v>
      </c>
      <c r="Y817" s="156">
        <v>0</v>
      </c>
      <c r="Z817" s="157" t="s">
        <v>2703</v>
      </c>
      <c r="AA817" s="158">
        <v>2021</v>
      </c>
      <c r="AB817" s="158">
        <v>7</v>
      </c>
      <c r="AC817" s="158">
        <v>29</v>
      </c>
      <c r="AD817" s="122" t="b">
        <f>IF(ISBLANK(GroupMember[[#This Row],[1. Identifiant interne d’exploitation agricole*]]),"",IF(ISERROR(MATCH(GroupMember[[#This Row],[1. Identifiant interne d’exploitation agricole*]],CertifiedCrop[1. Identifiant interne d’exploitation agricole*],0)),FALSE,TRUE))</f>
        <v>1</v>
      </c>
      <c r="AE817" s="122" t="b">
        <f>IF(ISBLANK(GroupMember[[#This Row],[1. Identifiant interne d’exploitation agricole*]]),"",IF(ISERROR(MATCH(GroupMember[[#This Row],[1. Identifiant interne d’exploitation agricole*]],FarmUnit[1. Identifiant interne d’exploitation agricole*],0)),FALSE,TRUE))</f>
        <v>1</v>
      </c>
      <c r="AF817" s="9" t="str">
        <f t="shared" si="36"/>
        <v>KONE SALI</v>
      </c>
      <c r="AG817" s="243" t="str">
        <f t="shared" si="37"/>
        <v>29/7/2021</v>
      </c>
      <c r="AH817" s="51">
        <f>COUNTIFS(Z:Z,Z817,AG:AG,AG817)</f>
        <v>2</v>
      </c>
      <c r="AI817" s="49">
        <f t="shared" si="38"/>
        <v>0</v>
      </c>
    </row>
    <row r="818" spans="1:35" ht="15" x14ac:dyDescent="0.2">
      <c r="A818" s="193" t="s">
        <v>2821</v>
      </c>
      <c r="B818" s="146" t="s">
        <v>668</v>
      </c>
      <c r="C818" s="193" t="s">
        <v>2821</v>
      </c>
      <c r="D818" s="211" t="s">
        <v>2146</v>
      </c>
      <c r="E818" s="146" t="s">
        <v>670</v>
      </c>
      <c r="F818" s="146" t="s">
        <v>671</v>
      </c>
      <c r="G818" s="146" t="s">
        <v>672</v>
      </c>
      <c r="H818" s="148">
        <v>4.76</v>
      </c>
      <c r="I818" s="146" t="s">
        <v>673</v>
      </c>
      <c r="J818" s="149">
        <v>1</v>
      </c>
      <c r="K818" s="150">
        <v>2021</v>
      </c>
      <c r="L818" s="210" t="s">
        <v>715</v>
      </c>
      <c r="M818" s="211" t="s">
        <v>753</v>
      </c>
      <c r="N818" s="212"/>
      <c r="O818" s="211"/>
      <c r="P818" s="208" t="s">
        <v>676</v>
      </c>
      <c r="Q818" s="110"/>
      <c r="R818" s="155">
        <v>6</v>
      </c>
      <c r="S818" s="168"/>
      <c r="T818" s="168"/>
      <c r="U818" s="146"/>
      <c r="V818" s="146"/>
      <c r="W818" s="146"/>
      <c r="X818" s="156">
        <v>0</v>
      </c>
      <c r="Y818" s="156">
        <v>0</v>
      </c>
      <c r="Z818" s="157" t="s">
        <v>2703</v>
      </c>
      <c r="AA818" s="158">
        <v>2021</v>
      </c>
      <c r="AB818" s="158">
        <v>8</v>
      </c>
      <c r="AC818" s="158">
        <v>3</v>
      </c>
      <c r="AD818" s="122" t="b">
        <f>IF(ISBLANK(GroupMember[[#This Row],[1. Identifiant interne d’exploitation agricole*]]),"",IF(ISERROR(MATCH(GroupMember[[#This Row],[1. Identifiant interne d’exploitation agricole*]],CertifiedCrop[1. Identifiant interne d’exploitation agricole*],0)),FALSE,TRUE))</f>
        <v>1</v>
      </c>
      <c r="AE818" s="122" t="b">
        <f>IF(ISBLANK(GroupMember[[#This Row],[1. Identifiant interne d’exploitation agricole*]]),"",IF(ISERROR(MATCH(GroupMember[[#This Row],[1. Identifiant interne d’exploitation agricole*]],FarmUnit[1. Identifiant interne d’exploitation agricole*],0)),FALSE,TRUE))</f>
        <v>1</v>
      </c>
      <c r="AF818" s="9" t="str">
        <f t="shared" si="36"/>
        <v>TRAORE ADAMA</v>
      </c>
      <c r="AG818" s="243" t="str">
        <f t="shared" si="37"/>
        <v>3/8/2021</v>
      </c>
      <c r="AH818" s="51">
        <f>COUNTIFS(Z:Z,Z818,AG:AG,AG818)</f>
        <v>4</v>
      </c>
      <c r="AI818" s="49">
        <f t="shared" si="38"/>
        <v>0</v>
      </c>
    </row>
    <row r="819" spans="1:35" ht="15" x14ac:dyDescent="0.2">
      <c r="A819" s="193" t="s">
        <v>2822</v>
      </c>
      <c r="B819" s="146" t="s">
        <v>668</v>
      </c>
      <c r="C819" s="193" t="s">
        <v>2822</v>
      </c>
      <c r="D819" s="211" t="s">
        <v>2146</v>
      </c>
      <c r="E819" s="146" t="s">
        <v>670</v>
      </c>
      <c r="F819" s="146" t="s">
        <v>671</v>
      </c>
      <c r="G819" s="146" t="s">
        <v>672</v>
      </c>
      <c r="H819" s="148">
        <v>1.86</v>
      </c>
      <c r="I819" s="146" t="s">
        <v>673</v>
      </c>
      <c r="J819" s="149">
        <v>1</v>
      </c>
      <c r="K819" s="150">
        <v>2021</v>
      </c>
      <c r="L819" s="210" t="s">
        <v>715</v>
      </c>
      <c r="M819" s="211" t="s">
        <v>1376</v>
      </c>
      <c r="N819" s="212"/>
      <c r="O819" s="211"/>
      <c r="P819" s="208" t="s">
        <v>676</v>
      </c>
      <c r="Q819" s="278"/>
      <c r="R819" s="155">
        <v>7</v>
      </c>
      <c r="S819" s="168"/>
      <c r="T819" s="168"/>
      <c r="U819" s="146"/>
      <c r="V819" s="146"/>
      <c r="W819" s="146"/>
      <c r="X819" s="156">
        <v>0</v>
      </c>
      <c r="Y819" s="156">
        <v>0</v>
      </c>
      <c r="Z819" s="157" t="s">
        <v>2703</v>
      </c>
      <c r="AA819" s="158">
        <v>2021</v>
      </c>
      <c r="AB819" s="158">
        <v>8</v>
      </c>
      <c r="AC819" s="158">
        <v>3</v>
      </c>
      <c r="AD819" s="122" t="b">
        <f>IF(ISBLANK(GroupMember[[#This Row],[1. Identifiant interne d’exploitation agricole*]]),"",IF(ISERROR(MATCH(GroupMember[[#This Row],[1. Identifiant interne d’exploitation agricole*]],CertifiedCrop[1. Identifiant interne d’exploitation agricole*],0)),FALSE,TRUE))</f>
        <v>1</v>
      </c>
      <c r="AE819" s="122" t="b">
        <f>IF(ISBLANK(GroupMember[[#This Row],[1. Identifiant interne d’exploitation agricole*]]),"",IF(ISERROR(MATCH(GroupMember[[#This Row],[1. Identifiant interne d’exploitation agricole*]],FarmUnit[1. Identifiant interne d’exploitation agricole*],0)),FALSE,TRUE))</f>
        <v>1</v>
      </c>
      <c r="AF819" s="9" t="str">
        <f t="shared" ref="AF819:AF882" si="39">IFERROR(CONCATENATE(L819," ",M819),"")</f>
        <v>TRAORE ISSA</v>
      </c>
      <c r="AG819" s="243" t="str">
        <f t="shared" ref="AG819:AG882" si="40">CONCATENATE(AC819,"/",AB819,"/",AA819)</f>
        <v>3/8/2021</v>
      </c>
      <c r="AH819" s="51">
        <f>COUNTIFS(Z:Z,Z819,AG:AG,AG819)</f>
        <v>4</v>
      </c>
      <c r="AI819" s="49">
        <f t="shared" ref="AI819:AI882" si="41">IF((X819+Y819/12)&lt;0,"",(X819+Y819/12))</f>
        <v>0</v>
      </c>
    </row>
    <row r="820" spans="1:35" ht="15" x14ac:dyDescent="0.2">
      <c r="A820" s="193" t="s">
        <v>2823</v>
      </c>
      <c r="B820" s="146" t="s">
        <v>668</v>
      </c>
      <c r="C820" s="193" t="s">
        <v>2823</v>
      </c>
      <c r="D820" s="211" t="s">
        <v>2146</v>
      </c>
      <c r="E820" s="146" t="s">
        <v>670</v>
      </c>
      <c r="F820" s="146" t="s">
        <v>671</v>
      </c>
      <c r="G820" s="146" t="s">
        <v>672</v>
      </c>
      <c r="H820" s="148">
        <v>4.78</v>
      </c>
      <c r="I820" s="146" t="s">
        <v>673</v>
      </c>
      <c r="J820" s="149">
        <v>1</v>
      </c>
      <c r="K820" s="150">
        <v>2021</v>
      </c>
      <c r="L820" s="210" t="s">
        <v>2824</v>
      </c>
      <c r="M820" s="211" t="s">
        <v>2825</v>
      </c>
      <c r="N820" s="212"/>
      <c r="O820" s="211" t="s">
        <v>2826</v>
      </c>
      <c r="P820" s="208" t="s">
        <v>676</v>
      </c>
      <c r="Q820" s="278">
        <v>1990</v>
      </c>
      <c r="R820" s="155">
        <v>5</v>
      </c>
      <c r="S820" s="168"/>
      <c r="T820" s="168"/>
      <c r="U820" s="146"/>
      <c r="V820" s="146"/>
      <c r="W820" s="146"/>
      <c r="X820" s="156">
        <v>0</v>
      </c>
      <c r="Y820" s="156">
        <v>0</v>
      </c>
      <c r="Z820" s="157" t="s">
        <v>2703</v>
      </c>
      <c r="AA820" s="158">
        <v>2021</v>
      </c>
      <c r="AB820" s="158">
        <v>7</v>
      </c>
      <c r="AC820" s="158">
        <v>29</v>
      </c>
      <c r="AD820" s="122" t="b">
        <f>IF(ISBLANK(GroupMember[[#This Row],[1. Identifiant interne d’exploitation agricole*]]),"",IF(ISERROR(MATCH(GroupMember[[#This Row],[1. Identifiant interne d’exploitation agricole*]],CertifiedCrop[1. Identifiant interne d’exploitation agricole*],0)),FALSE,TRUE))</f>
        <v>1</v>
      </c>
      <c r="AE820" s="122" t="b">
        <f>IF(ISBLANK(GroupMember[[#This Row],[1. Identifiant interne d’exploitation agricole*]]),"",IF(ISERROR(MATCH(GroupMember[[#This Row],[1. Identifiant interne d’exploitation agricole*]],FarmUnit[1. Identifiant interne d’exploitation agricole*],0)),FALSE,TRUE))</f>
        <v>1</v>
      </c>
      <c r="AF820" s="9" t="str">
        <f t="shared" si="39"/>
        <v>DABILGOU RASMANE</v>
      </c>
      <c r="AG820" s="243" t="str">
        <f t="shared" si="40"/>
        <v>29/7/2021</v>
      </c>
      <c r="AH820" s="51">
        <f>COUNTIFS(Z:Z,Z820,AG:AG,AG820)</f>
        <v>2</v>
      </c>
      <c r="AI820" s="49">
        <f t="shared" si="41"/>
        <v>0</v>
      </c>
    </row>
    <row r="821" spans="1:35" ht="15" x14ac:dyDescent="0.2">
      <c r="A821" s="193" t="s">
        <v>2827</v>
      </c>
      <c r="B821" s="146" t="s">
        <v>668</v>
      </c>
      <c r="C821" s="193" t="s">
        <v>2827</v>
      </c>
      <c r="D821" s="211" t="s">
        <v>2146</v>
      </c>
      <c r="E821" s="146" t="s">
        <v>670</v>
      </c>
      <c r="F821" s="146" t="s">
        <v>671</v>
      </c>
      <c r="G821" s="146" t="s">
        <v>672</v>
      </c>
      <c r="H821" s="148">
        <v>4.9800000000000004</v>
      </c>
      <c r="I821" s="146" t="s">
        <v>673</v>
      </c>
      <c r="J821" s="149">
        <v>1</v>
      </c>
      <c r="K821" s="150">
        <v>2021</v>
      </c>
      <c r="L821" s="210" t="s">
        <v>2824</v>
      </c>
      <c r="M821" s="211" t="s">
        <v>2202</v>
      </c>
      <c r="N821" s="212"/>
      <c r="O821" s="211"/>
      <c r="P821" s="208" t="s">
        <v>676</v>
      </c>
      <c r="Q821" s="300"/>
      <c r="R821" s="155">
        <v>6</v>
      </c>
      <c r="S821" s="168"/>
      <c r="T821" s="168"/>
      <c r="U821" s="146"/>
      <c r="V821" s="146"/>
      <c r="W821" s="146"/>
      <c r="X821" s="156">
        <v>0</v>
      </c>
      <c r="Y821" s="156">
        <v>0</v>
      </c>
      <c r="Z821" s="157" t="s">
        <v>2703</v>
      </c>
      <c r="AA821" s="158">
        <v>2021</v>
      </c>
      <c r="AB821" s="158">
        <v>7</v>
      </c>
      <c r="AC821" s="158">
        <v>14</v>
      </c>
      <c r="AD821" s="122" t="b">
        <f>IF(ISBLANK(GroupMember[[#This Row],[1. Identifiant interne d’exploitation agricole*]]),"",IF(ISERROR(MATCH(GroupMember[[#This Row],[1. Identifiant interne d’exploitation agricole*]],CertifiedCrop[1. Identifiant interne d’exploitation agricole*],0)),FALSE,TRUE))</f>
        <v>1</v>
      </c>
      <c r="AE821" s="122" t="b">
        <f>IF(ISBLANK(GroupMember[[#This Row],[1. Identifiant interne d’exploitation agricole*]]),"",IF(ISERROR(MATCH(GroupMember[[#This Row],[1. Identifiant interne d’exploitation agricole*]],FarmUnit[1. Identifiant interne d’exploitation agricole*],0)),FALSE,TRUE))</f>
        <v>1</v>
      </c>
      <c r="AF821" s="9" t="str">
        <f t="shared" si="39"/>
        <v>DABILGOU DRAMANE</v>
      </c>
      <c r="AG821" s="243" t="str">
        <f t="shared" si="40"/>
        <v>14/7/2021</v>
      </c>
      <c r="AH821" s="51">
        <f>COUNTIFS(Z:Z,Z821,AG:AG,AG821)</f>
        <v>3</v>
      </c>
      <c r="AI821" s="49">
        <f t="shared" si="41"/>
        <v>0</v>
      </c>
    </row>
    <row r="822" spans="1:35" ht="15" x14ac:dyDescent="0.2">
      <c r="A822" s="193" t="s">
        <v>2828</v>
      </c>
      <c r="B822" s="146" t="s">
        <v>668</v>
      </c>
      <c r="C822" s="193" t="s">
        <v>2828</v>
      </c>
      <c r="D822" s="211" t="s">
        <v>2146</v>
      </c>
      <c r="E822" s="146" t="s">
        <v>670</v>
      </c>
      <c r="F822" s="146" t="s">
        <v>671</v>
      </c>
      <c r="G822" s="146" t="s">
        <v>672</v>
      </c>
      <c r="H822" s="148">
        <v>3.28</v>
      </c>
      <c r="I822" s="146" t="s">
        <v>673</v>
      </c>
      <c r="J822" s="149">
        <v>1</v>
      </c>
      <c r="K822" s="150">
        <v>2021</v>
      </c>
      <c r="L822" s="210" t="s">
        <v>697</v>
      </c>
      <c r="M822" s="211" t="s">
        <v>1883</v>
      </c>
      <c r="N822" s="212"/>
      <c r="O822" s="211"/>
      <c r="P822" s="208" t="s">
        <v>676</v>
      </c>
      <c r="Q822" s="278"/>
      <c r="R822" s="155">
        <v>9</v>
      </c>
      <c r="S822" s="168"/>
      <c r="T822" s="168"/>
      <c r="U822" s="146"/>
      <c r="V822" s="146"/>
      <c r="W822" s="146"/>
      <c r="X822" s="156">
        <v>0</v>
      </c>
      <c r="Y822" s="156">
        <v>0</v>
      </c>
      <c r="Z822" s="157" t="s">
        <v>2703</v>
      </c>
      <c r="AA822" s="158">
        <v>2021</v>
      </c>
      <c r="AB822" s="158">
        <v>8</v>
      </c>
      <c r="AC822" s="158">
        <v>3</v>
      </c>
      <c r="AD822" s="122" t="b">
        <f>IF(ISBLANK(GroupMember[[#This Row],[1. Identifiant interne d’exploitation agricole*]]),"",IF(ISERROR(MATCH(GroupMember[[#This Row],[1. Identifiant interne d’exploitation agricole*]],CertifiedCrop[1. Identifiant interne d’exploitation agricole*],0)),FALSE,TRUE))</f>
        <v>1</v>
      </c>
      <c r="AE822" s="122" t="b">
        <f>IF(ISBLANK(GroupMember[[#This Row],[1. Identifiant interne d’exploitation agricole*]]),"",IF(ISERROR(MATCH(GroupMember[[#This Row],[1. Identifiant interne d’exploitation agricole*]],FarmUnit[1. Identifiant interne d’exploitation agricole*],0)),FALSE,TRUE))</f>
        <v>1</v>
      </c>
      <c r="AF822" s="9" t="str">
        <f t="shared" si="39"/>
        <v>KAFANDO DOMINIQUE</v>
      </c>
      <c r="AG822" s="243" t="str">
        <f t="shared" si="40"/>
        <v>3/8/2021</v>
      </c>
      <c r="AH822" s="51">
        <f>COUNTIFS(Z:Z,Z822,AG:AG,AG822)</f>
        <v>4</v>
      </c>
      <c r="AI822" s="49">
        <f t="shared" si="41"/>
        <v>0</v>
      </c>
    </row>
    <row r="823" spans="1:35" ht="15" x14ac:dyDescent="0.2">
      <c r="A823" s="193" t="s">
        <v>2829</v>
      </c>
      <c r="B823" s="146" t="s">
        <v>668</v>
      </c>
      <c r="C823" s="193" t="s">
        <v>2829</v>
      </c>
      <c r="D823" s="211" t="s">
        <v>2146</v>
      </c>
      <c r="E823" s="146" t="s">
        <v>670</v>
      </c>
      <c r="F823" s="146" t="s">
        <v>671</v>
      </c>
      <c r="G823" s="146" t="s">
        <v>672</v>
      </c>
      <c r="H823" s="148">
        <v>1.97</v>
      </c>
      <c r="I823" s="146" t="s">
        <v>673</v>
      </c>
      <c r="J823" s="149">
        <v>1</v>
      </c>
      <c r="K823" s="150">
        <v>2021</v>
      </c>
      <c r="L823" s="210" t="s">
        <v>697</v>
      </c>
      <c r="M823" s="211" t="s">
        <v>2540</v>
      </c>
      <c r="N823" s="212"/>
      <c r="O823" s="211"/>
      <c r="P823" s="208" t="s">
        <v>676</v>
      </c>
      <c r="Q823" s="278"/>
      <c r="R823" s="155">
        <v>5</v>
      </c>
      <c r="S823" s="168"/>
      <c r="T823" s="168"/>
      <c r="U823" s="146"/>
      <c r="V823" s="146"/>
      <c r="W823" s="146"/>
      <c r="X823" s="156">
        <v>0</v>
      </c>
      <c r="Y823" s="156">
        <v>0</v>
      </c>
      <c r="Z823" s="157" t="s">
        <v>2703</v>
      </c>
      <c r="AA823" s="158">
        <v>2021</v>
      </c>
      <c r="AB823" s="158">
        <v>7</v>
      </c>
      <c r="AC823" s="158">
        <v>31</v>
      </c>
      <c r="AD823" s="122" t="b">
        <f>IF(ISBLANK(GroupMember[[#This Row],[1. Identifiant interne d’exploitation agricole*]]),"",IF(ISERROR(MATCH(GroupMember[[#This Row],[1. Identifiant interne d’exploitation agricole*]],CertifiedCrop[1. Identifiant interne d’exploitation agricole*],0)),FALSE,TRUE))</f>
        <v>1</v>
      </c>
      <c r="AE823" s="122" t="b">
        <f>IF(ISBLANK(GroupMember[[#This Row],[1. Identifiant interne d’exploitation agricole*]]),"",IF(ISERROR(MATCH(GroupMember[[#This Row],[1. Identifiant interne d’exploitation agricole*]],FarmUnit[1. Identifiant interne d’exploitation agricole*],0)),FALSE,TRUE))</f>
        <v>1</v>
      </c>
      <c r="AF823" s="9" t="str">
        <f t="shared" si="39"/>
        <v>KAFANDO DESIRE</v>
      </c>
      <c r="AG823" s="243" t="str">
        <f t="shared" si="40"/>
        <v>31/7/2021</v>
      </c>
      <c r="AH823" s="51">
        <f>COUNTIFS(Z:Z,Z823,AG:AG,AG823)</f>
        <v>5</v>
      </c>
      <c r="AI823" s="49">
        <f t="shared" si="41"/>
        <v>0</v>
      </c>
    </row>
    <row r="824" spans="1:35" ht="15" x14ac:dyDescent="0.2">
      <c r="A824" s="193" t="s">
        <v>2830</v>
      </c>
      <c r="B824" s="146" t="s">
        <v>668</v>
      </c>
      <c r="C824" s="193" t="s">
        <v>2830</v>
      </c>
      <c r="D824" s="211" t="s">
        <v>2146</v>
      </c>
      <c r="E824" s="146" t="s">
        <v>670</v>
      </c>
      <c r="F824" s="146" t="s">
        <v>671</v>
      </c>
      <c r="G824" s="146" t="s">
        <v>672</v>
      </c>
      <c r="H824" s="148">
        <v>12.78</v>
      </c>
      <c r="I824" s="146" t="s">
        <v>673</v>
      </c>
      <c r="J824" s="149">
        <v>1</v>
      </c>
      <c r="K824" s="150">
        <v>2021</v>
      </c>
      <c r="L824" s="210" t="s">
        <v>2831</v>
      </c>
      <c r="M824" s="211" t="s">
        <v>2603</v>
      </c>
      <c r="N824" s="212"/>
      <c r="O824" s="211"/>
      <c r="P824" s="208" t="s">
        <v>676</v>
      </c>
      <c r="Q824" s="278"/>
      <c r="R824" s="155">
        <v>7</v>
      </c>
      <c r="S824" s="168"/>
      <c r="T824" s="168"/>
      <c r="U824" s="146"/>
      <c r="V824" s="146"/>
      <c r="W824" s="146"/>
      <c r="X824" s="156">
        <v>0</v>
      </c>
      <c r="Y824" s="156">
        <v>1</v>
      </c>
      <c r="Z824" s="157" t="s">
        <v>2703</v>
      </c>
      <c r="AA824" s="158">
        <v>2021</v>
      </c>
      <c r="AB824" s="158">
        <v>8</v>
      </c>
      <c r="AC824" s="158">
        <v>4</v>
      </c>
      <c r="AD824" s="122" t="b">
        <f>IF(ISBLANK(GroupMember[[#This Row],[1. Identifiant interne d’exploitation agricole*]]),"",IF(ISERROR(MATCH(GroupMember[[#This Row],[1. Identifiant interne d’exploitation agricole*]],CertifiedCrop[1. Identifiant interne d’exploitation agricole*],0)),FALSE,TRUE))</f>
        <v>1</v>
      </c>
      <c r="AE824" s="122" t="b">
        <f>IF(ISBLANK(GroupMember[[#This Row],[1. Identifiant interne d’exploitation agricole*]]),"",IF(ISERROR(MATCH(GroupMember[[#This Row],[1. Identifiant interne d’exploitation agricole*]],FarmUnit[1. Identifiant interne d’exploitation agricole*],0)),FALSE,TRUE))</f>
        <v>1</v>
      </c>
      <c r="AF824" s="9" t="str">
        <f t="shared" si="39"/>
        <v>NEYA NOUFOU</v>
      </c>
      <c r="AG824" s="243" t="str">
        <f t="shared" si="40"/>
        <v>4/8/2021</v>
      </c>
      <c r="AH824" s="51">
        <f>COUNTIFS(Z:Z,Z824,AG:AG,AG824)</f>
        <v>4</v>
      </c>
      <c r="AI824" s="49">
        <f t="shared" si="41"/>
        <v>8.3333333333333329E-2</v>
      </c>
    </row>
    <row r="825" spans="1:35" ht="15" x14ac:dyDescent="0.2">
      <c r="A825" s="193" t="s">
        <v>2832</v>
      </c>
      <c r="B825" s="146" t="s">
        <v>668</v>
      </c>
      <c r="C825" s="193" t="s">
        <v>2832</v>
      </c>
      <c r="D825" s="211" t="s">
        <v>2146</v>
      </c>
      <c r="E825" s="146" t="s">
        <v>670</v>
      </c>
      <c r="F825" s="146" t="s">
        <v>671</v>
      </c>
      <c r="G825" s="146" t="s">
        <v>672</v>
      </c>
      <c r="H825" s="148">
        <v>10.36</v>
      </c>
      <c r="I825" s="146" t="s">
        <v>673</v>
      </c>
      <c r="J825" s="149">
        <v>1</v>
      </c>
      <c r="K825" s="150">
        <v>2021</v>
      </c>
      <c r="L825" s="210" t="s">
        <v>2797</v>
      </c>
      <c r="M825" s="211" t="s">
        <v>2833</v>
      </c>
      <c r="N825" s="212"/>
      <c r="O825" s="211"/>
      <c r="P825" s="208" t="s">
        <v>676</v>
      </c>
      <c r="Q825" s="278"/>
      <c r="R825" s="155">
        <v>5</v>
      </c>
      <c r="S825" s="168"/>
      <c r="T825" s="168"/>
      <c r="U825" s="146"/>
      <c r="V825" s="146"/>
      <c r="W825" s="146"/>
      <c r="X825" s="156">
        <v>0</v>
      </c>
      <c r="Y825" s="156">
        <v>0</v>
      </c>
      <c r="Z825" s="157" t="s">
        <v>2703</v>
      </c>
      <c r="AA825" s="158">
        <v>2021</v>
      </c>
      <c r="AB825" s="158">
        <v>8</v>
      </c>
      <c r="AC825" s="158">
        <v>4</v>
      </c>
      <c r="AD825" s="122" t="b">
        <f>IF(ISBLANK(GroupMember[[#This Row],[1. Identifiant interne d’exploitation agricole*]]),"",IF(ISERROR(MATCH(GroupMember[[#This Row],[1. Identifiant interne d’exploitation agricole*]],CertifiedCrop[1. Identifiant interne d’exploitation agricole*],0)),FALSE,TRUE))</f>
        <v>1</v>
      </c>
      <c r="AE825" s="122" t="b">
        <f>IF(ISBLANK(GroupMember[[#This Row],[1. Identifiant interne d’exploitation agricole*]]),"",IF(ISERROR(MATCH(GroupMember[[#This Row],[1. Identifiant interne d’exploitation agricole*]],FarmUnit[1. Identifiant interne d’exploitation agricole*],0)),FALSE,TRUE))</f>
        <v>1</v>
      </c>
      <c r="AF825" s="9" t="str">
        <f t="shared" si="39"/>
        <v>KAMBIRE KOUADIO</v>
      </c>
      <c r="AG825" s="243" t="str">
        <f t="shared" si="40"/>
        <v>4/8/2021</v>
      </c>
      <c r="AH825" s="51">
        <f>COUNTIFS(Z:Z,Z825,AG:AG,AG825)</f>
        <v>4</v>
      </c>
      <c r="AI825" s="49">
        <f t="shared" si="41"/>
        <v>0</v>
      </c>
    </row>
    <row r="826" spans="1:35" ht="15" x14ac:dyDescent="0.2">
      <c r="A826" s="193" t="s">
        <v>2834</v>
      </c>
      <c r="B826" s="146" t="s">
        <v>668</v>
      </c>
      <c r="C826" s="193" t="s">
        <v>2834</v>
      </c>
      <c r="D826" s="211" t="s">
        <v>2146</v>
      </c>
      <c r="E826" s="146" t="s">
        <v>670</v>
      </c>
      <c r="F826" s="146" t="s">
        <v>671</v>
      </c>
      <c r="G826" s="146" t="s">
        <v>672</v>
      </c>
      <c r="H826" s="148">
        <v>2.98</v>
      </c>
      <c r="I826" s="146" t="s">
        <v>673</v>
      </c>
      <c r="J826" s="149">
        <v>1</v>
      </c>
      <c r="K826" s="150">
        <v>2021</v>
      </c>
      <c r="L826" s="210" t="s">
        <v>2371</v>
      </c>
      <c r="M826" s="211" t="s">
        <v>753</v>
      </c>
      <c r="N826" s="212"/>
      <c r="O826" s="211" t="s">
        <v>2835</v>
      </c>
      <c r="P826" s="208" t="s">
        <v>676</v>
      </c>
      <c r="Q826" s="278">
        <v>1985</v>
      </c>
      <c r="R826" s="155">
        <v>8</v>
      </c>
      <c r="S826" s="168"/>
      <c r="T826" s="168"/>
      <c r="U826" s="146"/>
      <c r="V826" s="146"/>
      <c r="W826" s="146"/>
      <c r="X826" s="156">
        <v>0</v>
      </c>
      <c r="Y826" s="156">
        <v>0</v>
      </c>
      <c r="Z826" s="157" t="s">
        <v>2703</v>
      </c>
      <c r="AA826" s="158">
        <v>2021</v>
      </c>
      <c r="AB826" s="158">
        <v>7</v>
      </c>
      <c r="AC826" s="158">
        <v>31</v>
      </c>
      <c r="AD826" s="122" t="b">
        <f>IF(ISBLANK(GroupMember[[#This Row],[1. Identifiant interne d’exploitation agricole*]]),"",IF(ISERROR(MATCH(GroupMember[[#This Row],[1. Identifiant interne d’exploitation agricole*]],CertifiedCrop[1. Identifiant interne d’exploitation agricole*],0)),FALSE,TRUE))</f>
        <v>1</v>
      </c>
      <c r="AE826" s="122" t="b">
        <f>IF(ISBLANK(GroupMember[[#This Row],[1. Identifiant interne d’exploitation agricole*]]),"",IF(ISERROR(MATCH(GroupMember[[#This Row],[1. Identifiant interne d’exploitation agricole*]],FarmUnit[1. Identifiant interne d’exploitation agricole*],0)),FALSE,TRUE))</f>
        <v>1</v>
      </c>
      <c r="AF826" s="9" t="str">
        <f t="shared" si="39"/>
        <v>TIENDREBIOGO ADAMA</v>
      </c>
      <c r="AG826" s="243" t="str">
        <f t="shared" si="40"/>
        <v>31/7/2021</v>
      </c>
      <c r="AH826" s="51">
        <f>COUNTIFS(Z:Z,Z826,AG:AG,AG826)</f>
        <v>5</v>
      </c>
      <c r="AI826" s="49">
        <f t="shared" si="41"/>
        <v>0</v>
      </c>
    </row>
    <row r="827" spans="1:35" ht="15" x14ac:dyDescent="0.2">
      <c r="A827" s="193" t="s">
        <v>2836</v>
      </c>
      <c r="B827" s="146" t="s">
        <v>668</v>
      </c>
      <c r="C827" s="193" t="s">
        <v>2836</v>
      </c>
      <c r="D827" s="175" t="s">
        <v>2837</v>
      </c>
      <c r="E827" s="146" t="s">
        <v>670</v>
      </c>
      <c r="F827" s="146" t="s">
        <v>671</v>
      </c>
      <c r="G827" s="146" t="s">
        <v>672</v>
      </c>
      <c r="H827" s="175">
        <v>5</v>
      </c>
      <c r="I827" s="146" t="s">
        <v>673</v>
      </c>
      <c r="J827" s="217">
        <v>1</v>
      </c>
      <c r="K827" s="150">
        <v>2021</v>
      </c>
      <c r="L827" s="175" t="s">
        <v>2838</v>
      </c>
      <c r="M827" s="175" t="s">
        <v>2839</v>
      </c>
      <c r="N827" s="202">
        <v>506907506</v>
      </c>
      <c r="O827" s="218" t="s">
        <v>2840</v>
      </c>
      <c r="P827" s="219" t="s">
        <v>676</v>
      </c>
      <c r="Q827" s="150">
        <v>1976</v>
      </c>
      <c r="R827" s="155">
        <v>7</v>
      </c>
      <c r="S827" s="168"/>
      <c r="T827" s="168"/>
      <c r="U827" s="146"/>
      <c r="V827" s="146"/>
      <c r="W827" s="146"/>
      <c r="X827" s="156">
        <v>0</v>
      </c>
      <c r="Y827" s="156">
        <v>0</v>
      </c>
      <c r="Z827" s="157" t="s">
        <v>2703</v>
      </c>
      <c r="AA827" s="158">
        <v>2021</v>
      </c>
      <c r="AB827" s="158">
        <v>7</v>
      </c>
      <c r="AC827" s="158">
        <v>14</v>
      </c>
      <c r="AD827" s="122" t="b">
        <f>IF(ISBLANK(GroupMember[[#This Row],[1. Identifiant interne d’exploitation agricole*]]),"",IF(ISERROR(MATCH(GroupMember[[#This Row],[1. Identifiant interne d’exploitation agricole*]],CertifiedCrop[1. Identifiant interne d’exploitation agricole*],0)),FALSE,TRUE))</f>
        <v>1</v>
      </c>
      <c r="AE827" s="122" t="b">
        <f>IF(ISBLANK(GroupMember[[#This Row],[1. Identifiant interne d’exploitation agricole*]]),"",IF(ISERROR(MATCH(GroupMember[[#This Row],[1. Identifiant interne d’exploitation agricole*]],FarmUnit[1. Identifiant interne d’exploitation agricole*],0)),FALSE,TRUE))</f>
        <v>1</v>
      </c>
      <c r="AF827" s="9" t="str">
        <f t="shared" si="39"/>
        <v>KOALGA  WINDPUIRE</v>
      </c>
      <c r="AG827" s="243" t="str">
        <f t="shared" si="40"/>
        <v>14/7/2021</v>
      </c>
      <c r="AH827" s="51">
        <f>COUNTIFS(Z:Z,Z827,AG:AG,AG827)</f>
        <v>3</v>
      </c>
      <c r="AI827" s="49">
        <f t="shared" si="41"/>
        <v>0</v>
      </c>
    </row>
    <row r="828" spans="1:35" ht="15" x14ac:dyDescent="0.2">
      <c r="A828" s="193" t="s">
        <v>2841</v>
      </c>
      <c r="B828" s="146" t="s">
        <v>668</v>
      </c>
      <c r="C828" s="193" t="s">
        <v>2841</v>
      </c>
      <c r="D828" s="175" t="s">
        <v>2837</v>
      </c>
      <c r="E828" s="146" t="s">
        <v>670</v>
      </c>
      <c r="F828" s="146" t="s">
        <v>671</v>
      </c>
      <c r="G828" s="146" t="s">
        <v>672</v>
      </c>
      <c r="H828" s="175">
        <v>1.86</v>
      </c>
      <c r="I828" s="146" t="s">
        <v>673</v>
      </c>
      <c r="J828" s="217">
        <v>1</v>
      </c>
      <c r="K828" s="150">
        <v>2021</v>
      </c>
      <c r="L828" s="175" t="s">
        <v>2842</v>
      </c>
      <c r="M828" s="175" t="s">
        <v>2843</v>
      </c>
      <c r="N828" s="202">
        <v>767867320</v>
      </c>
      <c r="O828" s="218" t="s">
        <v>2844</v>
      </c>
      <c r="P828" s="219" t="s">
        <v>676</v>
      </c>
      <c r="Q828" s="150">
        <v>1983</v>
      </c>
      <c r="R828" s="155">
        <v>6</v>
      </c>
      <c r="S828" s="168"/>
      <c r="T828" s="168"/>
      <c r="U828" s="146"/>
      <c r="V828" s="146"/>
      <c r="W828" s="146"/>
      <c r="X828" s="156">
        <v>0</v>
      </c>
      <c r="Y828" s="156">
        <v>0</v>
      </c>
      <c r="Z828" s="157" t="s">
        <v>2703</v>
      </c>
      <c r="AA828" s="158">
        <v>2021</v>
      </c>
      <c r="AB828" s="158">
        <v>7</v>
      </c>
      <c r="AC828" s="158">
        <v>24</v>
      </c>
      <c r="AD828" s="122" t="b">
        <f>IF(ISBLANK(GroupMember[[#This Row],[1. Identifiant interne d’exploitation agricole*]]),"",IF(ISERROR(MATCH(GroupMember[[#This Row],[1. Identifiant interne d’exploitation agricole*]],CertifiedCrop[1. Identifiant interne d’exploitation agricole*],0)),FALSE,TRUE))</f>
        <v>1</v>
      </c>
      <c r="AE828" s="122" t="b">
        <f>IF(ISBLANK(GroupMember[[#This Row],[1. Identifiant interne d’exploitation agricole*]]),"",IF(ISERROR(MATCH(GroupMember[[#This Row],[1. Identifiant interne d’exploitation agricole*]],FarmUnit[1. Identifiant interne d’exploitation agricole*],0)),FALSE,TRUE))</f>
        <v>1</v>
      </c>
      <c r="AF828" s="9" t="str">
        <f t="shared" si="39"/>
        <v>KIENDREBEOGO   RATOUBA</v>
      </c>
      <c r="AG828" s="243" t="str">
        <f t="shared" si="40"/>
        <v>24/7/2021</v>
      </c>
      <c r="AH828" s="51">
        <f>COUNTIFS(Z:Z,Z828,AG:AG,AG828)</f>
        <v>4</v>
      </c>
      <c r="AI828" s="49">
        <f t="shared" si="41"/>
        <v>0</v>
      </c>
    </row>
    <row r="829" spans="1:35" ht="15" x14ac:dyDescent="0.2">
      <c r="A829" s="193" t="s">
        <v>2845</v>
      </c>
      <c r="B829" s="146" t="s">
        <v>668</v>
      </c>
      <c r="C829" s="193" t="s">
        <v>2845</v>
      </c>
      <c r="D829" s="175" t="s">
        <v>2837</v>
      </c>
      <c r="E829" s="146" t="s">
        <v>670</v>
      </c>
      <c r="F829" s="146" t="s">
        <v>671</v>
      </c>
      <c r="G829" s="146" t="s">
        <v>672</v>
      </c>
      <c r="H829" s="175">
        <v>1.9165000000000001</v>
      </c>
      <c r="I829" s="146" t="s">
        <v>673</v>
      </c>
      <c r="J829" s="217">
        <v>2</v>
      </c>
      <c r="K829" s="150">
        <v>2021</v>
      </c>
      <c r="L829" s="175" t="s">
        <v>2846</v>
      </c>
      <c r="M829" s="175" t="s">
        <v>2847</v>
      </c>
      <c r="N829" s="202">
        <v>566334248</v>
      </c>
      <c r="O829" s="218" t="s">
        <v>2848</v>
      </c>
      <c r="P829" s="219" t="s">
        <v>676</v>
      </c>
      <c r="Q829" s="150">
        <v>1975</v>
      </c>
      <c r="R829" s="155">
        <v>5</v>
      </c>
      <c r="S829" s="168"/>
      <c r="T829" s="168"/>
      <c r="U829" s="146"/>
      <c r="V829" s="146"/>
      <c r="W829" s="146"/>
      <c r="X829" s="156">
        <v>0</v>
      </c>
      <c r="Y829" s="156">
        <v>0</v>
      </c>
      <c r="Z829" s="157" t="s">
        <v>2703</v>
      </c>
      <c r="AA829" s="158">
        <v>2021</v>
      </c>
      <c r="AB829" s="158">
        <v>7</v>
      </c>
      <c r="AC829" s="158">
        <v>5</v>
      </c>
      <c r="AD829" s="122" t="b">
        <f>IF(ISBLANK(GroupMember[[#This Row],[1. Identifiant interne d’exploitation agricole*]]),"",IF(ISERROR(MATCH(GroupMember[[#This Row],[1. Identifiant interne d’exploitation agricole*]],CertifiedCrop[1. Identifiant interne d’exploitation agricole*],0)),FALSE,TRUE))</f>
        <v>1</v>
      </c>
      <c r="AE829" s="122" t="b">
        <f>IF(ISBLANK(GroupMember[[#This Row],[1. Identifiant interne d’exploitation agricole*]]),"",IF(ISERROR(MATCH(GroupMember[[#This Row],[1. Identifiant interne d’exploitation agricole*]],FarmUnit[1. Identifiant interne d’exploitation agricole*],0)),FALSE,TRUE))</f>
        <v>1</v>
      </c>
      <c r="AF829" s="9" t="str">
        <f t="shared" si="39"/>
        <v>GLAN  KPAE RICHARD</v>
      </c>
      <c r="AG829" s="243" t="str">
        <f t="shared" si="40"/>
        <v>5/7/2021</v>
      </c>
      <c r="AH829" s="51">
        <f>COUNTIFS(Z:Z,Z829,AG:AG,AG829)</f>
        <v>4</v>
      </c>
      <c r="AI829" s="49">
        <f t="shared" si="41"/>
        <v>0</v>
      </c>
    </row>
    <row r="830" spans="1:35" ht="15" x14ac:dyDescent="0.2">
      <c r="A830" s="193" t="s">
        <v>2849</v>
      </c>
      <c r="B830" s="146" t="s">
        <v>668</v>
      </c>
      <c r="C830" s="193" t="s">
        <v>2849</v>
      </c>
      <c r="D830" s="175" t="s">
        <v>2837</v>
      </c>
      <c r="E830" s="146" t="s">
        <v>670</v>
      </c>
      <c r="F830" s="146" t="s">
        <v>671</v>
      </c>
      <c r="G830" s="146" t="s">
        <v>672</v>
      </c>
      <c r="H830" s="175">
        <v>1.5047999999999999</v>
      </c>
      <c r="I830" s="146" t="s">
        <v>673</v>
      </c>
      <c r="J830" s="217">
        <v>1</v>
      </c>
      <c r="K830" s="150">
        <v>2021</v>
      </c>
      <c r="L830" s="175" t="s">
        <v>2850</v>
      </c>
      <c r="M830" s="175" t="s">
        <v>2851</v>
      </c>
      <c r="N830" s="202">
        <v>506536861</v>
      </c>
      <c r="O830" s="217" t="s">
        <v>3321</v>
      </c>
      <c r="P830" s="219" t="s">
        <v>676</v>
      </c>
      <c r="Q830" s="150">
        <v>1979</v>
      </c>
      <c r="R830" s="155">
        <v>7</v>
      </c>
      <c r="S830" s="168"/>
      <c r="T830" s="168"/>
      <c r="U830" s="146"/>
      <c r="V830" s="146"/>
      <c r="W830" s="146"/>
      <c r="X830" s="156">
        <v>0</v>
      </c>
      <c r="Y830" s="156">
        <v>0</v>
      </c>
      <c r="Z830" s="157" t="s">
        <v>2703</v>
      </c>
      <c r="AA830" s="158">
        <v>2021</v>
      </c>
      <c r="AB830" s="158">
        <v>7</v>
      </c>
      <c r="AC830" s="158">
        <v>31</v>
      </c>
      <c r="AD830" s="122" t="b">
        <f>IF(ISBLANK(GroupMember[[#This Row],[1. Identifiant interne d’exploitation agricole*]]),"",IF(ISERROR(MATCH(GroupMember[[#This Row],[1. Identifiant interne d’exploitation agricole*]],CertifiedCrop[1. Identifiant interne d’exploitation agricole*],0)),FALSE,TRUE))</f>
        <v>1</v>
      </c>
      <c r="AE830" s="122" t="b">
        <f>IF(ISBLANK(GroupMember[[#This Row],[1. Identifiant interne d’exploitation agricole*]]),"",IF(ISERROR(MATCH(GroupMember[[#This Row],[1. Identifiant interne d’exploitation agricole*]],FarmUnit[1. Identifiant interne d’exploitation agricole*],0)),FALSE,TRUE))</f>
        <v>1</v>
      </c>
      <c r="AF830" s="9" t="str">
        <f t="shared" si="39"/>
        <v>ZIEHI EPHREME</v>
      </c>
      <c r="AG830" s="243" t="str">
        <f t="shared" si="40"/>
        <v>31/7/2021</v>
      </c>
      <c r="AH830" s="51">
        <f>COUNTIFS(Z:Z,Z830,AG:AG,AG830)</f>
        <v>5</v>
      </c>
      <c r="AI830" s="49">
        <f t="shared" si="41"/>
        <v>0</v>
      </c>
    </row>
    <row r="831" spans="1:35" ht="15" x14ac:dyDescent="0.2">
      <c r="A831" s="193" t="s">
        <v>2852</v>
      </c>
      <c r="B831" s="146" t="s">
        <v>668</v>
      </c>
      <c r="C831" s="193" t="s">
        <v>2852</v>
      </c>
      <c r="D831" s="175" t="s">
        <v>2837</v>
      </c>
      <c r="E831" s="146" t="s">
        <v>670</v>
      </c>
      <c r="F831" s="146" t="s">
        <v>671</v>
      </c>
      <c r="G831" s="146" t="s">
        <v>672</v>
      </c>
      <c r="H831" s="175">
        <v>1.0746</v>
      </c>
      <c r="I831" s="146" t="s">
        <v>673</v>
      </c>
      <c r="J831" s="217">
        <v>1</v>
      </c>
      <c r="K831" s="150">
        <v>2021</v>
      </c>
      <c r="L831" s="175" t="s">
        <v>915</v>
      </c>
      <c r="M831" s="175" t="s">
        <v>2853</v>
      </c>
      <c r="N831" s="202">
        <v>504471198</v>
      </c>
      <c r="O831" s="217" t="s">
        <v>3307</v>
      </c>
      <c r="P831" s="219" t="s">
        <v>676</v>
      </c>
      <c r="Q831" s="150">
        <v>1986</v>
      </c>
      <c r="R831" s="155">
        <v>6</v>
      </c>
      <c r="S831" s="168"/>
      <c r="T831" s="168"/>
      <c r="U831" s="146"/>
      <c r="V831" s="146"/>
      <c r="W831" s="146"/>
      <c r="X831" s="156">
        <v>0</v>
      </c>
      <c r="Y831" s="156">
        <v>0</v>
      </c>
      <c r="Z831" s="157" t="s">
        <v>2703</v>
      </c>
      <c r="AA831" s="158">
        <v>2021</v>
      </c>
      <c r="AB831" s="158">
        <v>8</v>
      </c>
      <c r="AC831" s="158">
        <v>4</v>
      </c>
      <c r="AD831" s="122" t="b">
        <f>IF(ISBLANK(GroupMember[[#This Row],[1. Identifiant interne d’exploitation agricole*]]),"",IF(ISERROR(MATCH(GroupMember[[#This Row],[1. Identifiant interne d’exploitation agricole*]],CertifiedCrop[1. Identifiant interne d’exploitation agricole*],0)),FALSE,TRUE))</f>
        <v>1</v>
      </c>
      <c r="AE831" s="122" t="b">
        <f>IF(ISBLANK(GroupMember[[#This Row],[1. Identifiant interne d’exploitation agricole*]]),"",IF(ISERROR(MATCH(GroupMember[[#This Row],[1. Identifiant interne d’exploitation agricole*]],FarmUnit[1. Identifiant interne d’exploitation agricole*],0)),FALSE,TRUE))</f>
        <v>1</v>
      </c>
      <c r="AF831" s="9" t="str">
        <f t="shared" si="39"/>
        <v>MANHAN EDOURD</v>
      </c>
      <c r="AG831" s="243" t="str">
        <f t="shared" si="40"/>
        <v>4/8/2021</v>
      </c>
      <c r="AH831" s="51">
        <f>COUNTIFS(Z:Z,Z831,AG:AG,AG831)</f>
        <v>4</v>
      </c>
      <c r="AI831" s="49">
        <f t="shared" si="41"/>
        <v>0</v>
      </c>
    </row>
    <row r="832" spans="1:35" ht="15" x14ac:dyDescent="0.2">
      <c r="A832" s="193" t="s">
        <v>2854</v>
      </c>
      <c r="B832" s="146" t="s">
        <v>668</v>
      </c>
      <c r="C832" s="193" t="s">
        <v>2854</v>
      </c>
      <c r="D832" s="175" t="s">
        <v>2837</v>
      </c>
      <c r="E832" s="146" t="s">
        <v>670</v>
      </c>
      <c r="F832" s="146" t="s">
        <v>671</v>
      </c>
      <c r="G832" s="146" t="s">
        <v>672</v>
      </c>
      <c r="H832" s="175">
        <v>1.1218999999999999</v>
      </c>
      <c r="I832" s="146" t="s">
        <v>673</v>
      </c>
      <c r="J832" s="217">
        <v>1</v>
      </c>
      <c r="K832" s="150">
        <v>2021</v>
      </c>
      <c r="L832" s="175" t="s">
        <v>2855</v>
      </c>
      <c r="M832" s="175" t="s">
        <v>2856</v>
      </c>
      <c r="N832" s="202">
        <v>544219019</v>
      </c>
      <c r="O832" s="218" t="s">
        <v>2857</v>
      </c>
      <c r="P832" s="219" t="s">
        <v>676</v>
      </c>
      <c r="Q832" s="150">
        <v>1991</v>
      </c>
      <c r="R832" s="155">
        <v>11</v>
      </c>
      <c r="S832" s="168"/>
      <c r="T832" s="168"/>
      <c r="U832" s="146"/>
      <c r="V832" s="146"/>
      <c r="W832" s="146"/>
      <c r="X832" s="156">
        <v>0</v>
      </c>
      <c r="Y832" s="156">
        <v>0</v>
      </c>
      <c r="Z832" s="157" t="s">
        <v>2703</v>
      </c>
      <c r="AA832" s="158">
        <v>2021</v>
      </c>
      <c r="AB832" s="158">
        <v>8</v>
      </c>
      <c r="AC832" s="158">
        <v>6</v>
      </c>
      <c r="AD832" s="122" t="b">
        <f>IF(ISBLANK(GroupMember[[#This Row],[1. Identifiant interne d’exploitation agricole*]]),"",IF(ISERROR(MATCH(GroupMember[[#This Row],[1. Identifiant interne d’exploitation agricole*]],CertifiedCrop[1. Identifiant interne d’exploitation agricole*],0)),FALSE,TRUE))</f>
        <v>1</v>
      </c>
      <c r="AE832" s="122" t="b">
        <f>IF(ISBLANK(GroupMember[[#This Row],[1. Identifiant interne d’exploitation agricole*]]),"",IF(ISERROR(MATCH(GroupMember[[#This Row],[1. Identifiant interne d’exploitation agricole*]],FarmUnit[1. Identifiant interne d’exploitation agricole*],0)),FALSE,TRUE))</f>
        <v>1</v>
      </c>
      <c r="AF832" s="9" t="str">
        <f t="shared" si="39"/>
        <v>GLANH JEAN-MARIE</v>
      </c>
      <c r="AG832" s="243" t="str">
        <f t="shared" si="40"/>
        <v>6/8/2021</v>
      </c>
      <c r="AH832" s="51">
        <f>COUNTIFS(Z:Z,Z832,AG:AG,AG832)</f>
        <v>4</v>
      </c>
      <c r="AI832" s="49">
        <f t="shared" si="41"/>
        <v>0</v>
      </c>
    </row>
    <row r="833" spans="1:35" ht="15" x14ac:dyDescent="0.2">
      <c r="A833" s="193" t="s">
        <v>2858</v>
      </c>
      <c r="B833" s="146" t="s">
        <v>668</v>
      </c>
      <c r="C833" s="193" t="s">
        <v>2858</v>
      </c>
      <c r="D833" s="175" t="s">
        <v>2837</v>
      </c>
      <c r="E833" s="146" t="s">
        <v>670</v>
      </c>
      <c r="F833" s="146" t="s">
        <v>671</v>
      </c>
      <c r="G833" s="146" t="s">
        <v>672</v>
      </c>
      <c r="H833" s="175">
        <v>0.80649999999999999</v>
      </c>
      <c r="I833" s="146" t="s">
        <v>673</v>
      </c>
      <c r="J833" s="217">
        <v>1</v>
      </c>
      <c r="K833" s="150">
        <v>2021</v>
      </c>
      <c r="L833" s="175" t="s">
        <v>2859</v>
      </c>
      <c r="M833" s="175" t="s">
        <v>2860</v>
      </c>
      <c r="N833" s="202">
        <v>555971398</v>
      </c>
      <c r="O833" s="218" t="s">
        <v>2861</v>
      </c>
      <c r="P833" s="219" t="s">
        <v>676</v>
      </c>
      <c r="Q833" s="150">
        <v>1970</v>
      </c>
      <c r="R833" s="155">
        <v>5</v>
      </c>
      <c r="S833" s="168"/>
      <c r="T833" s="168"/>
      <c r="U833" s="146"/>
      <c r="V833" s="146"/>
      <c r="W833" s="146"/>
      <c r="X833" s="156">
        <v>0</v>
      </c>
      <c r="Y833" s="156">
        <v>0</v>
      </c>
      <c r="Z833" s="157" t="s">
        <v>2703</v>
      </c>
      <c r="AA833" s="158">
        <v>2021</v>
      </c>
      <c r="AB833" s="158">
        <v>7</v>
      </c>
      <c r="AC833" s="158">
        <v>31</v>
      </c>
      <c r="AD833" s="122" t="b">
        <f>IF(ISBLANK(GroupMember[[#This Row],[1. Identifiant interne d’exploitation agricole*]]),"",IF(ISERROR(MATCH(GroupMember[[#This Row],[1. Identifiant interne d’exploitation agricole*]],CertifiedCrop[1. Identifiant interne d’exploitation agricole*],0)),FALSE,TRUE))</f>
        <v>1</v>
      </c>
      <c r="AE833" s="122" t="b">
        <f>IF(ISBLANK(GroupMember[[#This Row],[1. Identifiant interne d’exploitation agricole*]]),"",IF(ISERROR(MATCH(GroupMember[[#This Row],[1. Identifiant interne d’exploitation agricole*]],FarmUnit[1. Identifiant interne d’exploitation agricole*],0)),FALSE,TRUE))</f>
        <v>1</v>
      </c>
      <c r="AF833" s="9" t="str">
        <f t="shared" si="39"/>
        <v>GLAN DEYA ROGER</v>
      </c>
      <c r="AG833" s="243" t="str">
        <f t="shared" si="40"/>
        <v>31/7/2021</v>
      </c>
      <c r="AH833" s="51">
        <f>COUNTIFS(Z:Z,Z833,AG:AG,AG833)</f>
        <v>5</v>
      </c>
      <c r="AI833" s="49">
        <f t="shared" si="41"/>
        <v>0</v>
      </c>
    </row>
    <row r="834" spans="1:35" ht="15" x14ac:dyDescent="0.2">
      <c r="A834" s="193" t="s">
        <v>2862</v>
      </c>
      <c r="B834" s="146" t="s">
        <v>668</v>
      </c>
      <c r="C834" s="193" t="s">
        <v>2862</v>
      </c>
      <c r="D834" s="175" t="s">
        <v>2837</v>
      </c>
      <c r="E834" s="146" t="s">
        <v>670</v>
      </c>
      <c r="F834" s="146" t="s">
        <v>671</v>
      </c>
      <c r="G834" s="146" t="s">
        <v>672</v>
      </c>
      <c r="H834" s="175">
        <v>5.1890999999999998</v>
      </c>
      <c r="I834" s="146" t="s">
        <v>673</v>
      </c>
      <c r="J834" s="217">
        <v>2</v>
      </c>
      <c r="K834" s="150">
        <v>2021</v>
      </c>
      <c r="L834" s="175" t="s">
        <v>2863</v>
      </c>
      <c r="M834" s="175" t="s">
        <v>2864</v>
      </c>
      <c r="N834" s="202">
        <v>708052320</v>
      </c>
      <c r="O834" s="218"/>
      <c r="P834" s="219" t="s">
        <v>676</v>
      </c>
      <c r="Q834" s="299"/>
      <c r="R834" s="155">
        <v>8</v>
      </c>
      <c r="S834" s="168"/>
      <c r="T834" s="168"/>
      <c r="U834" s="146"/>
      <c r="V834" s="146"/>
      <c r="W834" s="146"/>
      <c r="X834" s="156">
        <v>0</v>
      </c>
      <c r="Y834" s="156">
        <v>0</v>
      </c>
      <c r="Z834" s="157" t="s">
        <v>2703</v>
      </c>
      <c r="AA834" s="158">
        <v>2021</v>
      </c>
      <c r="AB834" s="158">
        <v>8</v>
      </c>
      <c r="AC834" s="158">
        <v>4</v>
      </c>
      <c r="AD834" s="122" t="b">
        <f>IF(ISBLANK(GroupMember[[#This Row],[1. Identifiant interne d’exploitation agricole*]]),"",IF(ISERROR(MATCH(GroupMember[[#This Row],[1. Identifiant interne d’exploitation agricole*]],CertifiedCrop[1. Identifiant interne d’exploitation agricole*],0)),FALSE,TRUE))</f>
        <v>1</v>
      </c>
      <c r="AE834" s="122" t="b">
        <f>IF(ISBLANK(GroupMember[[#This Row],[1. Identifiant interne d’exploitation agricole*]]),"",IF(ISERROR(MATCH(GroupMember[[#This Row],[1. Identifiant interne d’exploitation agricole*]],FarmUnit[1. Identifiant interne d’exploitation agricole*],0)),FALSE,TRUE))</f>
        <v>1</v>
      </c>
      <c r="AF834" s="9" t="str">
        <f t="shared" si="39"/>
        <v xml:space="preserve">BIKIENGA  ISSOUF </v>
      </c>
      <c r="AG834" s="243" t="str">
        <f t="shared" si="40"/>
        <v>4/8/2021</v>
      </c>
      <c r="AH834" s="51">
        <f>COUNTIFS(Z:Z,Z834,AG:AG,AG834)</f>
        <v>4</v>
      </c>
      <c r="AI834" s="49">
        <f t="shared" si="41"/>
        <v>0</v>
      </c>
    </row>
    <row r="835" spans="1:35" ht="15" x14ac:dyDescent="0.2">
      <c r="A835" s="193" t="s">
        <v>2865</v>
      </c>
      <c r="B835" s="146" t="s">
        <v>668</v>
      </c>
      <c r="C835" s="193" t="s">
        <v>2865</v>
      </c>
      <c r="D835" s="175" t="s">
        <v>2837</v>
      </c>
      <c r="E835" s="146" t="s">
        <v>670</v>
      </c>
      <c r="F835" s="146" t="s">
        <v>671</v>
      </c>
      <c r="G835" s="146" t="s">
        <v>672</v>
      </c>
      <c r="H835" s="175">
        <v>1.96</v>
      </c>
      <c r="I835" s="146" t="s">
        <v>673</v>
      </c>
      <c r="J835" s="217">
        <v>1</v>
      </c>
      <c r="K835" s="150">
        <v>2021</v>
      </c>
      <c r="L835" s="175" t="s">
        <v>2866</v>
      </c>
      <c r="M835" s="175" t="s">
        <v>2489</v>
      </c>
      <c r="N835" s="202">
        <v>574776297</v>
      </c>
      <c r="O835" s="218" t="s">
        <v>2867</v>
      </c>
      <c r="P835" s="219" t="s">
        <v>676</v>
      </c>
      <c r="Q835" s="150">
        <v>1992</v>
      </c>
      <c r="R835" s="155">
        <v>6</v>
      </c>
      <c r="S835" s="168"/>
      <c r="T835" s="168"/>
      <c r="U835" s="146"/>
      <c r="V835" s="146"/>
      <c r="W835" s="146"/>
      <c r="X835" s="156">
        <v>0</v>
      </c>
      <c r="Y835" s="156">
        <v>0</v>
      </c>
      <c r="Z835" s="157" t="s">
        <v>2703</v>
      </c>
      <c r="AA835" s="158">
        <v>2021</v>
      </c>
      <c r="AB835" s="158">
        <v>8</v>
      </c>
      <c r="AC835" s="158">
        <v>6</v>
      </c>
      <c r="AD835" s="122" t="b">
        <f>IF(ISBLANK(GroupMember[[#This Row],[1. Identifiant interne d’exploitation agricole*]]),"",IF(ISERROR(MATCH(GroupMember[[#This Row],[1. Identifiant interne d’exploitation agricole*]],CertifiedCrop[1. Identifiant interne d’exploitation agricole*],0)),FALSE,TRUE))</f>
        <v>1</v>
      </c>
      <c r="AE835" s="122" t="b">
        <f>IF(ISBLANK(GroupMember[[#This Row],[1. Identifiant interne d’exploitation agricole*]]),"",IF(ISERROR(MATCH(GroupMember[[#This Row],[1. Identifiant interne d’exploitation agricole*]],FarmUnit[1. Identifiant interne d’exploitation agricole*],0)),FALSE,TRUE))</f>
        <v>1</v>
      </c>
      <c r="AF835" s="9" t="str">
        <f t="shared" si="39"/>
        <v>TIONO JOSEPH</v>
      </c>
      <c r="AG835" s="243" t="str">
        <f t="shared" si="40"/>
        <v>6/8/2021</v>
      </c>
      <c r="AH835" s="51">
        <f>COUNTIFS(Z:Z,Z835,AG:AG,AG835)</f>
        <v>4</v>
      </c>
      <c r="AI835" s="49">
        <f t="shared" si="41"/>
        <v>0</v>
      </c>
    </row>
    <row r="836" spans="1:35" ht="15" x14ac:dyDescent="0.2">
      <c r="A836" s="193" t="s">
        <v>2868</v>
      </c>
      <c r="B836" s="146" t="s">
        <v>668</v>
      </c>
      <c r="C836" s="193" t="s">
        <v>2868</v>
      </c>
      <c r="D836" s="175" t="s">
        <v>2837</v>
      </c>
      <c r="E836" s="146" t="s">
        <v>670</v>
      </c>
      <c r="F836" s="146" t="s">
        <v>671</v>
      </c>
      <c r="G836" s="146" t="s">
        <v>672</v>
      </c>
      <c r="H836" s="175">
        <v>2.8355999999999999</v>
      </c>
      <c r="I836" s="146" t="s">
        <v>673</v>
      </c>
      <c r="J836" s="217">
        <v>1</v>
      </c>
      <c r="K836" s="150">
        <v>2021</v>
      </c>
      <c r="L836" s="175" t="s">
        <v>707</v>
      </c>
      <c r="M836" s="175" t="s">
        <v>1624</v>
      </c>
      <c r="N836" s="202">
        <v>576280697</v>
      </c>
      <c r="O836" s="218"/>
      <c r="P836" s="219" t="s">
        <v>676</v>
      </c>
      <c r="Q836" s="299">
        <v>1973</v>
      </c>
      <c r="R836" s="155">
        <v>7</v>
      </c>
      <c r="S836" s="168"/>
      <c r="T836" s="168"/>
      <c r="U836" s="146"/>
      <c r="V836" s="146"/>
      <c r="W836" s="146"/>
      <c r="X836" s="156">
        <v>0</v>
      </c>
      <c r="Y836" s="156">
        <v>0</v>
      </c>
      <c r="Z836" s="157" t="s">
        <v>2703</v>
      </c>
      <c r="AA836" s="158">
        <v>2021</v>
      </c>
      <c r="AB836" s="158">
        <v>7</v>
      </c>
      <c r="AC836" s="158">
        <v>31</v>
      </c>
      <c r="AD836" s="122" t="b">
        <f>IF(ISBLANK(GroupMember[[#This Row],[1. Identifiant interne d’exploitation agricole*]]),"",IF(ISERROR(MATCH(GroupMember[[#This Row],[1. Identifiant interne d’exploitation agricole*]],CertifiedCrop[1. Identifiant interne d’exploitation agricole*],0)),FALSE,TRUE))</f>
        <v>1</v>
      </c>
      <c r="AE836" s="122" t="b">
        <f>IF(ISBLANK(GroupMember[[#This Row],[1. Identifiant interne d’exploitation agricole*]]),"",IF(ISERROR(MATCH(GroupMember[[#This Row],[1. Identifiant interne d’exploitation agricole*]],FarmUnit[1. Identifiant interne d’exploitation agricole*],0)),FALSE,TRUE))</f>
        <v>1</v>
      </c>
      <c r="AF836" s="9" t="str">
        <f t="shared" si="39"/>
        <v>OUEDRAOGO SOULEYMANE</v>
      </c>
      <c r="AG836" s="243" t="str">
        <f t="shared" si="40"/>
        <v>31/7/2021</v>
      </c>
      <c r="AH836" s="51">
        <f>COUNTIFS(Z:Z,Z836,AG:AG,AG836)</f>
        <v>5</v>
      </c>
      <c r="AI836" s="49">
        <f t="shared" si="41"/>
        <v>0</v>
      </c>
    </row>
    <row r="837" spans="1:35" ht="15" x14ac:dyDescent="0.2">
      <c r="A837" s="193" t="s">
        <v>2869</v>
      </c>
      <c r="B837" s="146" t="s">
        <v>668</v>
      </c>
      <c r="C837" s="193" t="s">
        <v>2869</v>
      </c>
      <c r="D837" s="175" t="s">
        <v>2837</v>
      </c>
      <c r="E837" s="146" t="s">
        <v>670</v>
      </c>
      <c r="F837" s="146" t="s">
        <v>671</v>
      </c>
      <c r="G837" s="146" t="s">
        <v>672</v>
      </c>
      <c r="H837" s="175">
        <v>4.9349999999999996</v>
      </c>
      <c r="I837" s="146" t="s">
        <v>673</v>
      </c>
      <c r="J837" s="217">
        <v>2</v>
      </c>
      <c r="K837" s="150">
        <v>2021</v>
      </c>
      <c r="L837" s="175" t="s">
        <v>2870</v>
      </c>
      <c r="M837" s="175" t="s">
        <v>2871</v>
      </c>
      <c r="N837" s="202">
        <v>504511869</v>
      </c>
      <c r="O837" s="218" t="s">
        <v>2872</v>
      </c>
      <c r="P837" s="219" t="s">
        <v>676</v>
      </c>
      <c r="Q837" s="150">
        <v>1976</v>
      </c>
      <c r="R837" s="155">
        <v>5</v>
      </c>
      <c r="S837" s="168"/>
      <c r="T837" s="168"/>
      <c r="U837" s="146"/>
      <c r="V837" s="146"/>
      <c r="W837" s="146"/>
      <c r="X837" s="156">
        <v>0</v>
      </c>
      <c r="Y837" s="156">
        <v>0</v>
      </c>
      <c r="Z837" s="157" t="s">
        <v>2703</v>
      </c>
      <c r="AA837" s="158">
        <v>2021</v>
      </c>
      <c r="AB837" s="158">
        <v>7</v>
      </c>
      <c r="AC837" s="158">
        <v>5</v>
      </c>
      <c r="AD837" s="122" t="b">
        <f>IF(ISBLANK(GroupMember[[#This Row],[1. Identifiant interne d’exploitation agricole*]]),"",IF(ISERROR(MATCH(GroupMember[[#This Row],[1. Identifiant interne d’exploitation agricole*]],CertifiedCrop[1. Identifiant interne d’exploitation agricole*],0)),FALSE,TRUE))</f>
        <v>1</v>
      </c>
      <c r="AE837" s="122" t="b">
        <f>IF(ISBLANK(GroupMember[[#This Row],[1. Identifiant interne d’exploitation agricole*]]),"",IF(ISERROR(MATCH(GroupMember[[#This Row],[1. Identifiant interne d’exploitation agricole*]],FarmUnit[1. Identifiant interne d’exploitation agricole*],0)),FALSE,TRUE))</f>
        <v>1</v>
      </c>
      <c r="AF837" s="9" t="str">
        <f t="shared" si="39"/>
        <v>NIADA KISWINDE</v>
      </c>
      <c r="AG837" s="243" t="str">
        <f t="shared" si="40"/>
        <v>5/7/2021</v>
      </c>
      <c r="AH837" s="51">
        <f>COUNTIFS(Z:Z,Z837,AG:AG,AG837)</f>
        <v>4</v>
      </c>
      <c r="AI837" s="49">
        <f t="shared" si="41"/>
        <v>0</v>
      </c>
    </row>
    <row r="838" spans="1:35" ht="15" x14ac:dyDescent="0.2">
      <c r="A838" s="193" t="s">
        <v>2873</v>
      </c>
      <c r="B838" s="146" t="s">
        <v>668</v>
      </c>
      <c r="C838" s="193" t="s">
        <v>2873</v>
      </c>
      <c r="D838" s="175" t="s">
        <v>2837</v>
      </c>
      <c r="E838" s="146" t="s">
        <v>670</v>
      </c>
      <c r="F838" s="146" t="s">
        <v>671</v>
      </c>
      <c r="G838" s="146" t="s">
        <v>672</v>
      </c>
      <c r="H838" s="175">
        <v>1.9106000000000001</v>
      </c>
      <c r="I838" s="146" t="s">
        <v>673</v>
      </c>
      <c r="J838" s="217">
        <v>2</v>
      </c>
      <c r="K838" s="150">
        <v>2021</v>
      </c>
      <c r="L838" s="175" t="s">
        <v>2151</v>
      </c>
      <c r="M838" s="175" t="s">
        <v>2874</v>
      </c>
      <c r="N838" s="202">
        <v>749825250</v>
      </c>
      <c r="O838" s="218" t="s">
        <v>2875</v>
      </c>
      <c r="P838" s="219" t="s">
        <v>676</v>
      </c>
      <c r="Q838" s="150">
        <v>1980</v>
      </c>
      <c r="R838" s="155">
        <v>5</v>
      </c>
      <c r="S838" s="168"/>
      <c r="T838" s="168"/>
      <c r="U838" s="146"/>
      <c r="V838" s="146"/>
      <c r="W838" s="146"/>
      <c r="X838" s="156">
        <v>0</v>
      </c>
      <c r="Y838" s="156">
        <v>0</v>
      </c>
      <c r="Z838" s="157" t="s">
        <v>2703</v>
      </c>
      <c r="AA838" s="158">
        <v>2021</v>
      </c>
      <c r="AB838" s="158">
        <v>7</v>
      </c>
      <c r="AC838" s="158">
        <v>2</v>
      </c>
      <c r="AD838" s="122" t="b">
        <f>IF(ISBLANK(GroupMember[[#This Row],[1. Identifiant interne d’exploitation agricole*]]),"",IF(ISERROR(MATCH(GroupMember[[#This Row],[1. Identifiant interne d’exploitation agricole*]],CertifiedCrop[1. Identifiant interne d’exploitation agricole*],0)),FALSE,TRUE))</f>
        <v>1</v>
      </c>
      <c r="AE838" s="122" t="b">
        <f>IF(ISBLANK(GroupMember[[#This Row],[1. Identifiant interne d’exploitation agricole*]]),"",IF(ISERROR(MATCH(GroupMember[[#This Row],[1. Identifiant interne d’exploitation agricole*]],FarmUnit[1. Identifiant interne d’exploitation agricole*],0)),FALSE,TRUE))</f>
        <v>1</v>
      </c>
      <c r="AF838" s="9" t="str">
        <f t="shared" si="39"/>
        <v xml:space="preserve">DIARRA KARIM </v>
      </c>
      <c r="AG838" s="243" t="str">
        <f t="shared" si="40"/>
        <v>2/7/2021</v>
      </c>
      <c r="AH838" s="51">
        <f>COUNTIFS(Z:Z,Z838,AG:AG,AG838)</f>
        <v>4</v>
      </c>
      <c r="AI838" s="49">
        <f t="shared" si="41"/>
        <v>0</v>
      </c>
    </row>
    <row r="839" spans="1:35" ht="15" x14ac:dyDescent="0.2">
      <c r="A839" s="193" t="s">
        <v>2876</v>
      </c>
      <c r="B839" s="146" t="s">
        <v>668</v>
      </c>
      <c r="C839" s="193" t="s">
        <v>2876</v>
      </c>
      <c r="D839" s="175" t="s">
        <v>2837</v>
      </c>
      <c r="E839" s="146" t="s">
        <v>670</v>
      </c>
      <c r="F839" s="146" t="s">
        <v>671</v>
      </c>
      <c r="G839" s="146" t="s">
        <v>672</v>
      </c>
      <c r="H839" s="175">
        <v>2.4041999999999999</v>
      </c>
      <c r="I839" s="146" t="s">
        <v>673</v>
      </c>
      <c r="J839" s="217">
        <v>1</v>
      </c>
      <c r="K839" s="150">
        <v>2021</v>
      </c>
      <c r="L839" s="175" t="s">
        <v>2877</v>
      </c>
      <c r="M839" s="175" t="s">
        <v>2878</v>
      </c>
      <c r="N839" s="202"/>
      <c r="O839" s="218" t="s">
        <v>2879</v>
      </c>
      <c r="P839" s="219" t="s">
        <v>676</v>
      </c>
      <c r="Q839" s="150">
        <v>1974</v>
      </c>
      <c r="R839" s="155">
        <v>4</v>
      </c>
      <c r="S839" s="168"/>
      <c r="T839" s="168"/>
      <c r="U839" s="146"/>
      <c r="V839" s="146"/>
      <c r="W839" s="146"/>
      <c r="X839" s="156">
        <v>0</v>
      </c>
      <c r="Y839" s="156">
        <v>0</v>
      </c>
      <c r="Z839" s="157" t="s">
        <v>2703</v>
      </c>
      <c r="AA839" s="158">
        <v>2021</v>
      </c>
      <c r="AB839" s="158">
        <v>7</v>
      </c>
      <c r="AC839" s="158">
        <v>15</v>
      </c>
      <c r="AD839" s="122" t="b">
        <f>IF(ISBLANK(GroupMember[[#This Row],[1. Identifiant interne d’exploitation agricole*]]),"",IF(ISERROR(MATCH(GroupMember[[#This Row],[1. Identifiant interne d’exploitation agricole*]],CertifiedCrop[1. Identifiant interne d’exploitation agricole*],0)),FALSE,TRUE))</f>
        <v>1</v>
      </c>
      <c r="AE839" s="122" t="b">
        <f>IF(ISBLANK(GroupMember[[#This Row],[1. Identifiant interne d’exploitation agricole*]]),"",IF(ISERROR(MATCH(GroupMember[[#This Row],[1. Identifiant interne d’exploitation agricole*]],FarmUnit[1. Identifiant interne d’exploitation agricole*],0)),FALSE,TRUE))</f>
        <v>1</v>
      </c>
      <c r="AF839" s="9" t="str">
        <f t="shared" si="39"/>
        <v>KOAMA KOULBI PAPOUG-ESSANA</v>
      </c>
      <c r="AG839" s="243" t="str">
        <f t="shared" si="40"/>
        <v>15/7/2021</v>
      </c>
      <c r="AH839" s="51">
        <f>COUNTIFS(Z:Z,Z839,AG:AG,AG839)</f>
        <v>4</v>
      </c>
      <c r="AI839" s="49">
        <f t="shared" si="41"/>
        <v>0</v>
      </c>
    </row>
    <row r="840" spans="1:35" ht="15" x14ac:dyDescent="0.2">
      <c r="A840" s="193" t="s">
        <v>2880</v>
      </c>
      <c r="B840" s="146" t="s">
        <v>668</v>
      </c>
      <c r="C840" s="193" t="s">
        <v>2880</v>
      </c>
      <c r="D840" s="175" t="s">
        <v>2881</v>
      </c>
      <c r="E840" s="146" t="s">
        <v>670</v>
      </c>
      <c r="F840" s="146" t="s">
        <v>671</v>
      </c>
      <c r="G840" s="146" t="s">
        <v>672</v>
      </c>
      <c r="H840" s="175">
        <v>7.5579000000000001</v>
      </c>
      <c r="I840" s="146" t="s">
        <v>673</v>
      </c>
      <c r="J840" s="217">
        <v>1</v>
      </c>
      <c r="K840" s="150">
        <v>2021</v>
      </c>
      <c r="L840" s="175" t="s">
        <v>2882</v>
      </c>
      <c r="M840" s="175" t="s">
        <v>2883</v>
      </c>
      <c r="N840" s="202">
        <v>757221185</v>
      </c>
      <c r="O840" s="218" t="s">
        <v>2884</v>
      </c>
      <c r="P840" s="219" t="s">
        <v>676</v>
      </c>
      <c r="Q840" s="150">
        <v>1972</v>
      </c>
      <c r="R840" s="155">
        <v>6</v>
      </c>
      <c r="S840" s="168"/>
      <c r="T840" s="168"/>
      <c r="U840" s="146"/>
      <c r="V840" s="146"/>
      <c r="W840" s="146"/>
      <c r="X840" s="156">
        <v>0</v>
      </c>
      <c r="Y840" s="156">
        <v>0</v>
      </c>
      <c r="Z840" s="157" t="s">
        <v>2703</v>
      </c>
      <c r="AA840" s="158">
        <v>2021</v>
      </c>
      <c r="AB840" s="158">
        <v>8</v>
      </c>
      <c r="AC840" s="158">
        <v>6</v>
      </c>
      <c r="AD840" s="122" t="b">
        <f>IF(ISBLANK(GroupMember[[#This Row],[1. Identifiant interne d’exploitation agricole*]]),"",IF(ISERROR(MATCH(GroupMember[[#This Row],[1. Identifiant interne d’exploitation agricole*]],CertifiedCrop[1. Identifiant interne d’exploitation agricole*],0)),FALSE,TRUE))</f>
        <v>1</v>
      </c>
      <c r="AE840" s="122" t="b">
        <f>IF(ISBLANK(GroupMember[[#This Row],[1. Identifiant interne d’exploitation agricole*]]),"",IF(ISERROR(MATCH(GroupMember[[#This Row],[1. Identifiant interne d’exploitation agricole*]],FarmUnit[1. Identifiant interne d’exploitation agricole*],0)),FALSE,TRUE))</f>
        <v>1</v>
      </c>
      <c r="AF840" s="9" t="str">
        <f t="shared" si="39"/>
        <v>GOHA GUIHI JEAN-FRANCOIS</v>
      </c>
      <c r="AG840" s="243" t="str">
        <f t="shared" si="40"/>
        <v>6/8/2021</v>
      </c>
      <c r="AH840" s="51">
        <f>COUNTIFS(Z:Z,Z840,AG:AG,AG840)</f>
        <v>4</v>
      </c>
      <c r="AI840" s="49">
        <f t="shared" si="41"/>
        <v>0</v>
      </c>
    </row>
    <row r="841" spans="1:35" ht="15" x14ac:dyDescent="0.2">
      <c r="A841" s="193" t="s">
        <v>2885</v>
      </c>
      <c r="B841" s="146" t="s">
        <v>668</v>
      </c>
      <c r="C841" s="193" t="s">
        <v>2885</v>
      </c>
      <c r="D841" s="175" t="s">
        <v>2881</v>
      </c>
      <c r="E841" s="146" t="s">
        <v>670</v>
      </c>
      <c r="F841" s="146" t="s">
        <v>671</v>
      </c>
      <c r="G841" s="146" t="s">
        <v>672</v>
      </c>
      <c r="H841" s="175">
        <v>3.1768999999999998</v>
      </c>
      <c r="I841" s="146" t="s">
        <v>673</v>
      </c>
      <c r="J841" s="217">
        <v>1</v>
      </c>
      <c r="K841" s="150">
        <v>2021</v>
      </c>
      <c r="L841" s="175" t="s">
        <v>2882</v>
      </c>
      <c r="M841" s="175" t="s">
        <v>2489</v>
      </c>
      <c r="N841" s="202">
        <v>545252193</v>
      </c>
      <c r="O841" s="110" t="s">
        <v>3308</v>
      </c>
      <c r="P841" s="219" t="s">
        <v>676</v>
      </c>
      <c r="Q841" s="150">
        <v>1987</v>
      </c>
      <c r="R841" s="155">
        <v>8</v>
      </c>
      <c r="S841" s="168"/>
      <c r="T841" s="168"/>
      <c r="U841" s="146"/>
      <c r="V841" s="146"/>
      <c r="W841" s="146"/>
      <c r="X841" s="156">
        <v>0</v>
      </c>
      <c r="Y841" s="156">
        <v>0</v>
      </c>
      <c r="Z841" s="157" t="s">
        <v>2703</v>
      </c>
      <c r="AA841" s="158">
        <v>2021</v>
      </c>
      <c r="AB841" s="158">
        <v>8</v>
      </c>
      <c r="AC841" s="158">
        <v>9</v>
      </c>
      <c r="AD841" s="122" t="b">
        <f>IF(ISBLANK(GroupMember[[#This Row],[1. Identifiant interne d’exploitation agricole*]]),"",IF(ISERROR(MATCH(GroupMember[[#This Row],[1. Identifiant interne d’exploitation agricole*]],CertifiedCrop[1. Identifiant interne d’exploitation agricole*],0)),FALSE,TRUE))</f>
        <v>1</v>
      </c>
      <c r="AE841" s="122" t="b">
        <f>IF(ISBLANK(GroupMember[[#This Row],[1. Identifiant interne d’exploitation agricole*]]),"",IF(ISERROR(MATCH(GroupMember[[#This Row],[1. Identifiant interne d’exploitation agricole*]],FarmUnit[1. Identifiant interne d’exploitation agricole*],0)),FALSE,TRUE))</f>
        <v>1</v>
      </c>
      <c r="AF841" s="9" t="str">
        <f t="shared" si="39"/>
        <v>GOHA JOSEPH</v>
      </c>
      <c r="AG841" s="243" t="str">
        <f t="shared" si="40"/>
        <v>9/8/2021</v>
      </c>
      <c r="AH841" s="51">
        <f>COUNTIFS(Z:Z,Z841,AG:AG,AG841)</f>
        <v>5</v>
      </c>
      <c r="AI841" s="49">
        <f t="shared" si="41"/>
        <v>0</v>
      </c>
    </row>
    <row r="842" spans="1:35" ht="15" x14ac:dyDescent="0.2">
      <c r="A842" s="193" t="s">
        <v>2886</v>
      </c>
      <c r="B842" s="146" t="s">
        <v>668</v>
      </c>
      <c r="C842" s="193" t="s">
        <v>2886</v>
      </c>
      <c r="D842" s="175" t="s">
        <v>2881</v>
      </c>
      <c r="E842" s="146" t="s">
        <v>670</v>
      </c>
      <c r="F842" s="146" t="s">
        <v>671</v>
      </c>
      <c r="G842" s="146" t="s">
        <v>672</v>
      </c>
      <c r="H842" s="175">
        <v>1.24</v>
      </c>
      <c r="I842" s="146" t="s">
        <v>673</v>
      </c>
      <c r="J842" s="217">
        <v>1</v>
      </c>
      <c r="K842" s="150">
        <v>2021</v>
      </c>
      <c r="L842" s="175" t="s">
        <v>2887</v>
      </c>
      <c r="M842" s="175" t="s">
        <v>2888</v>
      </c>
      <c r="N842" s="202">
        <v>747805125</v>
      </c>
      <c r="O842" s="218"/>
      <c r="P842" s="219" t="s">
        <v>751</v>
      </c>
      <c r="Q842" s="299"/>
      <c r="R842" s="155">
        <v>6</v>
      </c>
      <c r="S842" s="168"/>
      <c r="T842" s="168"/>
      <c r="U842" s="146"/>
      <c r="V842" s="146"/>
      <c r="W842" s="146"/>
      <c r="X842" s="156">
        <v>0</v>
      </c>
      <c r="Y842" s="156">
        <v>0</v>
      </c>
      <c r="Z842" s="157" t="s">
        <v>2703</v>
      </c>
      <c r="AA842" s="158">
        <v>2021</v>
      </c>
      <c r="AB842" s="158">
        <v>8</v>
      </c>
      <c r="AC842" s="158">
        <v>9</v>
      </c>
      <c r="AD842" s="122" t="b">
        <f>IF(ISBLANK(GroupMember[[#This Row],[1. Identifiant interne d’exploitation agricole*]]),"",IF(ISERROR(MATCH(GroupMember[[#This Row],[1. Identifiant interne d’exploitation agricole*]],CertifiedCrop[1. Identifiant interne d’exploitation agricole*],0)),FALSE,TRUE))</f>
        <v>1</v>
      </c>
      <c r="AE842" s="122" t="b">
        <f>IF(ISBLANK(GroupMember[[#This Row],[1. Identifiant interne d’exploitation agricole*]]),"",IF(ISERROR(MATCH(GroupMember[[#This Row],[1. Identifiant interne d’exploitation agricole*]],FarmUnit[1. Identifiant interne d’exploitation agricole*],0)),FALSE,TRUE))</f>
        <v>1</v>
      </c>
      <c r="AF842" s="9" t="str">
        <f t="shared" si="39"/>
        <v>NANHI CHRISTELLE</v>
      </c>
      <c r="AG842" s="243" t="str">
        <f t="shared" si="40"/>
        <v>9/8/2021</v>
      </c>
      <c r="AH842" s="51">
        <f>COUNTIFS(Z:Z,Z842,AG:AG,AG842)</f>
        <v>5</v>
      </c>
      <c r="AI842" s="49">
        <f t="shared" si="41"/>
        <v>0</v>
      </c>
    </row>
    <row r="843" spans="1:35" ht="15" x14ac:dyDescent="0.2">
      <c r="A843" s="193" t="s">
        <v>2889</v>
      </c>
      <c r="B843" s="146" t="s">
        <v>668</v>
      </c>
      <c r="C843" s="193" t="s">
        <v>2889</v>
      </c>
      <c r="D843" s="175" t="s">
        <v>2881</v>
      </c>
      <c r="E843" s="146" t="s">
        <v>670</v>
      </c>
      <c r="F843" s="146" t="s">
        <v>671</v>
      </c>
      <c r="G843" s="146" t="s">
        <v>672</v>
      </c>
      <c r="H843" s="175">
        <v>2.6076999999999999</v>
      </c>
      <c r="I843" s="146" t="s">
        <v>673</v>
      </c>
      <c r="J843" s="217">
        <v>1</v>
      </c>
      <c r="K843" s="150">
        <v>2021</v>
      </c>
      <c r="L843" s="175" t="s">
        <v>757</v>
      </c>
      <c r="M843" s="175" t="s">
        <v>2890</v>
      </c>
      <c r="N843" s="202"/>
      <c r="O843" s="218"/>
      <c r="P843" s="219" t="s">
        <v>676</v>
      </c>
      <c r="Q843" s="150"/>
      <c r="R843" s="155">
        <v>5</v>
      </c>
      <c r="S843" s="168"/>
      <c r="T843" s="168"/>
      <c r="U843" s="146"/>
      <c r="V843" s="146"/>
      <c r="W843" s="146"/>
      <c r="X843" s="156">
        <v>0</v>
      </c>
      <c r="Y843" s="156">
        <v>0</v>
      </c>
      <c r="Z843" s="157" t="s">
        <v>2703</v>
      </c>
      <c r="AA843" s="158">
        <v>2021</v>
      </c>
      <c r="AB843" s="158">
        <v>7</v>
      </c>
      <c r="AC843" s="158">
        <v>7</v>
      </c>
      <c r="AD843" s="122" t="b">
        <f>IF(ISBLANK(GroupMember[[#This Row],[1. Identifiant interne d’exploitation agricole*]]),"",IF(ISERROR(MATCH(GroupMember[[#This Row],[1. Identifiant interne d’exploitation agricole*]],CertifiedCrop[1. Identifiant interne d’exploitation agricole*],0)),FALSE,TRUE))</f>
        <v>1</v>
      </c>
      <c r="AE843" s="122" t="b">
        <f>IF(ISBLANK(GroupMember[[#This Row],[1. Identifiant interne d’exploitation agricole*]]),"",IF(ISERROR(MATCH(GroupMember[[#This Row],[1. Identifiant interne d’exploitation agricole*]],FarmUnit[1. Identifiant interne d’exploitation agricole*],0)),FALSE,TRUE))</f>
        <v>1</v>
      </c>
      <c r="AF843" s="9" t="str">
        <f t="shared" si="39"/>
        <v>KIENTEGA SIBDOU</v>
      </c>
      <c r="AG843" s="243" t="str">
        <f t="shared" si="40"/>
        <v>7/7/2021</v>
      </c>
      <c r="AH843" s="51">
        <f>COUNTIFS(Z:Z,Z843,AG:AG,AG843)</f>
        <v>4</v>
      </c>
      <c r="AI843" s="49">
        <f t="shared" si="41"/>
        <v>0</v>
      </c>
    </row>
    <row r="844" spans="1:35" ht="15" x14ac:dyDescent="0.2">
      <c r="A844" s="193" t="s">
        <v>2891</v>
      </c>
      <c r="B844" s="146" t="s">
        <v>668</v>
      </c>
      <c r="C844" s="193" t="s">
        <v>2891</v>
      </c>
      <c r="D844" s="175" t="s">
        <v>2881</v>
      </c>
      <c r="E844" s="146" t="s">
        <v>670</v>
      </c>
      <c r="F844" s="146" t="s">
        <v>671</v>
      </c>
      <c r="G844" s="146" t="s">
        <v>672</v>
      </c>
      <c r="H844" s="175">
        <v>2.2238000000000002</v>
      </c>
      <c r="I844" s="146" t="s">
        <v>673</v>
      </c>
      <c r="J844" s="217">
        <v>1</v>
      </c>
      <c r="K844" s="150">
        <v>2021</v>
      </c>
      <c r="L844" s="175" t="s">
        <v>1002</v>
      </c>
      <c r="M844" s="175" t="s">
        <v>2892</v>
      </c>
      <c r="N844" s="202">
        <v>172432296</v>
      </c>
      <c r="O844" s="218" t="s">
        <v>2893</v>
      </c>
      <c r="P844" s="219" t="s">
        <v>676</v>
      </c>
      <c r="Q844" s="150">
        <v>1973</v>
      </c>
      <c r="R844" s="155">
        <v>8</v>
      </c>
      <c r="S844" s="168"/>
      <c r="T844" s="168"/>
      <c r="U844" s="146"/>
      <c r="V844" s="146"/>
      <c r="W844" s="146"/>
      <c r="X844" s="156">
        <v>0</v>
      </c>
      <c r="Y844" s="156">
        <v>0</v>
      </c>
      <c r="Z844" s="157" t="s">
        <v>2703</v>
      </c>
      <c r="AA844" s="158">
        <v>2021</v>
      </c>
      <c r="AB844" s="158">
        <v>8</v>
      </c>
      <c r="AC844" s="158">
        <v>6</v>
      </c>
      <c r="AD844" s="122" t="b">
        <f>IF(ISBLANK(GroupMember[[#This Row],[1. Identifiant interne d’exploitation agricole*]]),"",IF(ISERROR(MATCH(GroupMember[[#This Row],[1. Identifiant interne d’exploitation agricole*]],CertifiedCrop[1. Identifiant interne d’exploitation agricole*],0)),FALSE,TRUE))</f>
        <v>1</v>
      </c>
      <c r="AE844" s="122" t="b">
        <f>IF(ISBLANK(GroupMember[[#This Row],[1. Identifiant interne d’exploitation agricole*]]),"",IF(ISERROR(MATCH(GroupMember[[#This Row],[1. Identifiant interne d’exploitation agricole*]],FarmUnit[1. Identifiant interne d’exploitation agricole*],0)),FALSE,TRUE))</f>
        <v>1</v>
      </c>
      <c r="AF844" s="9" t="str">
        <f t="shared" si="39"/>
        <v>SAVADOGO BOUREIMA</v>
      </c>
      <c r="AG844" s="243" t="str">
        <f t="shared" si="40"/>
        <v>6/8/2021</v>
      </c>
      <c r="AH844" s="51">
        <f>COUNTIFS(Z:Z,Z844,AG:AG,AG844)</f>
        <v>4</v>
      </c>
      <c r="AI844" s="49">
        <f t="shared" si="41"/>
        <v>0</v>
      </c>
    </row>
    <row r="845" spans="1:35" ht="15" x14ac:dyDescent="0.2">
      <c r="A845" s="193" t="s">
        <v>2894</v>
      </c>
      <c r="B845" s="146" t="s">
        <v>668</v>
      </c>
      <c r="C845" s="193" t="s">
        <v>2894</v>
      </c>
      <c r="D845" s="175" t="s">
        <v>2881</v>
      </c>
      <c r="E845" s="146" t="s">
        <v>670</v>
      </c>
      <c r="F845" s="146" t="s">
        <v>671</v>
      </c>
      <c r="G845" s="146" t="s">
        <v>672</v>
      </c>
      <c r="H845" s="175">
        <v>2.8443000000000001</v>
      </c>
      <c r="I845" s="146" t="s">
        <v>673</v>
      </c>
      <c r="J845" s="217">
        <v>1</v>
      </c>
      <c r="K845" s="150">
        <v>2021</v>
      </c>
      <c r="L845" s="175" t="s">
        <v>2895</v>
      </c>
      <c r="M845" s="175" t="s">
        <v>2896</v>
      </c>
      <c r="N845" s="202">
        <v>709624507</v>
      </c>
      <c r="O845" s="218" t="s">
        <v>2897</v>
      </c>
      <c r="P845" s="219" t="s">
        <v>676</v>
      </c>
      <c r="Q845" s="150">
        <v>1969</v>
      </c>
      <c r="R845" s="155">
        <v>10</v>
      </c>
      <c r="S845" s="168"/>
      <c r="T845" s="168"/>
      <c r="U845" s="146"/>
      <c r="V845" s="146"/>
      <c r="W845" s="146"/>
      <c r="X845" s="156">
        <v>0</v>
      </c>
      <c r="Y845" s="156">
        <v>0</v>
      </c>
      <c r="Z845" s="157" t="s">
        <v>2703</v>
      </c>
      <c r="AA845" s="158">
        <v>2021</v>
      </c>
      <c r="AB845" s="158">
        <v>7</v>
      </c>
      <c r="AC845" s="158">
        <v>15</v>
      </c>
      <c r="AD845" s="122" t="b">
        <f>IF(ISBLANK(GroupMember[[#This Row],[1. Identifiant interne d’exploitation agricole*]]),"",IF(ISERROR(MATCH(GroupMember[[#This Row],[1. Identifiant interne d’exploitation agricole*]],CertifiedCrop[1. Identifiant interne d’exploitation agricole*],0)),FALSE,TRUE))</f>
        <v>1</v>
      </c>
      <c r="AE845" s="122" t="b">
        <f>IF(ISBLANK(GroupMember[[#This Row],[1. Identifiant interne d’exploitation agricole*]]),"",IF(ISERROR(MATCH(GroupMember[[#This Row],[1. Identifiant interne d’exploitation agricole*]],FarmUnit[1. Identifiant interne d’exploitation agricole*],0)),FALSE,TRUE))</f>
        <v>1</v>
      </c>
      <c r="AF845" s="9" t="str">
        <f t="shared" si="39"/>
        <v>KAZIENGA YACOUBA</v>
      </c>
      <c r="AG845" s="243" t="str">
        <f t="shared" si="40"/>
        <v>15/7/2021</v>
      </c>
      <c r="AH845" s="51">
        <f>COUNTIFS(Z:Z,Z845,AG:AG,AG845)</f>
        <v>4</v>
      </c>
      <c r="AI845" s="49">
        <f t="shared" si="41"/>
        <v>0</v>
      </c>
    </row>
    <row r="846" spans="1:35" ht="15" x14ac:dyDescent="0.2">
      <c r="A846" s="193" t="s">
        <v>2898</v>
      </c>
      <c r="B846" s="146" t="s">
        <v>668</v>
      </c>
      <c r="C846" s="193" t="s">
        <v>2898</v>
      </c>
      <c r="D846" s="175" t="s">
        <v>2881</v>
      </c>
      <c r="E846" s="146" t="s">
        <v>670</v>
      </c>
      <c r="F846" s="146" t="s">
        <v>671</v>
      </c>
      <c r="G846" s="146" t="s">
        <v>672</v>
      </c>
      <c r="H846" s="175">
        <v>5.6147999999999998</v>
      </c>
      <c r="I846" s="146" t="s">
        <v>673</v>
      </c>
      <c r="J846" s="217">
        <v>2</v>
      </c>
      <c r="K846" s="150">
        <v>2021</v>
      </c>
      <c r="L846" s="175" t="s">
        <v>2882</v>
      </c>
      <c r="M846" s="175" t="s">
        <v>2899</v>
      </c>
      <c r="N846" s="202"/>
      <c r="O846" s="110" t="s">
        <v>3309</v>
      </c>
      <c r="P846" s="219" t="s">
        <v>676</v>
      </c>
      <c r="Q846" s="150">
        <v>1985</v>
      </c>
      <c r="R846" s="155">
        <v>6</v>
      </c>
      <c r="S846" s="168"/>
      <c r="T846" s="168"/>
      <c r="U846" s="146"/>
      <c r="V846" s="146"/>
      <c r="W846" s="146"/>
      <c r="X846" s="156">
        <v>0</v>
      </c>
      <c r="Y846" s="156">
        <v>0</v>
      </c>
      <c r="Z846" s="157" t="s">
        <v>2703</v>
      </c>
      <c r="AA846" s="158">
        <v>2021</v>
      </c>
      <c r="AB846" s="158">
        <v>8</v>
      </c>
      <c r="AC846" s="158">
        <v>7</v>
      </c>
      <c r="AD846" s="122" t="b">
        <f>IF(ISBLANK(GroupMember[[#This Row],[1. Identifiant interne d’exploitation agricole*]]),"",IF(ISERROR(MATCH(GroupMember[[#This Row],[1. Identifiant interne d’exploitation agricole*]],CertifiedCrop[1. Identifiant interne d’exploitation agricole*],0)),FALSE,TRUE))</f>
        <v>1</v>
      </c>
      <c r="AE846" s="122" t="b">
        <f>IF(ISBLANK(GroupMember[[#This Row],[1. Identifiant interne d’exploitation agricole*]]),"",IF(ISERROR(MATCH(GroupMember[[#This Row],[1. Identifiant interne d’exploitation agricole*]],FarmUnit[1. Identifiant interne d’exploitation agricole*],0)),FALSE,TRUE))</f>
        <v>1</v>
      </c>
      <c r="AF846" s="9" t="str">
        <f t="shared" si="39"/>
        <v>GOHA DJIHI JONAS</v>
      </c>
      <c r="AG846" s="243" t="str">
        <f t="shared" si="40"/>
        <v>7/8/2021</v>
      </c>
      <c r="AH846" s="51">
        <f>COUNTIFS(Z:Z,Z846,AG:AG,AG846)</f>
        <v>4</v>
      </c>
      <c r="AI846" s="49">
        <f t="shared" si="41"/>
        <v>0</v>
      </c>
    </row>
    <row r="847" spans="1:35" ht="15" x14ac:dyDescent="0.2">
      <c r="A847" s="193" t="s">
        <v>2900</v>
      </c>
      <c r="B847" s="146" t="s">
        <v>668</v>
      </c>
      <c r="C847" s="193" t="s">
        <v>2900</v>
      </c>
      <c r="D847" s="175" t="s">
        <v>2881</v>
      </c>
      <c r="E847" s="146" t="s">
        <v>670</v>
      </c>
      <c r="F847" s="146" t="s">
        <v>671</v>
      </c>
      <c r="G847" s="146" t="s">
        <v>672</v>
      </c>
      <c r="H847" s="175">
        <v>5.8080999999999996</v>
      </c>
      <c r="I847" s="146" t="s">
        <v>673</v>
      </c>
      <c r="J847" s="217">
        <v>1</v>
      </c>
      <c r="K847" s="150">
        <v>2021</v>
      </c>
      <c r="L847" s="175" t="s">
        <v>1094</v>
      </c>
      <c r="M847" s="175" t="s">
        <v>2394</v>
      </c>
      <c r="N847" s="202">
        <v>779698939</v>
      </c>
      <c r="O847" s="218"/>
      <c r="P847" s="219" t="s">
        <v>676</v>
      </c>
      <c r="Q847" s="299"/>
      <c r="R847" s="155">
        <v>5</v>
      </c>
      <c r="S847" s="168"/>
      <c r="T847" s="168"/>
      <c r="U847" s="146"/>
      <c r="V847" s="146"/>
      <c r="W847" s="146"/>
      <c r="X847" s="156">
        <v>0</v>
      </c>
      <c r="Y847" s="156">
        <v>0</v>
      </c>
      <c r="Z847" s="157" t="s">
        <v>2703</v>
      </c>
      <c r="AA847" s="158">
        <v>2021</v>
      </c>
      <c r="AB847" s="158">
        <v>7</v>
      </c>
      <c r="AC847" s="158">
        <v>7</v>
      </c>
      <c r="AD847" s="122" t="b">
        <f>IF(ISBLANK(GroupMember[[#This Row],[1. Identifiant interne d’exploitation agricole*]]),"",IF(ISERROR(MATCH(GroupMember[[#This Row],[1. Identifiant interne d’exploitation agricole*]],CertifiedCrop[1. Identifiant interne d’exploitation agricole*],0)),FALSE,TRUE))</f>
        <v>1</v>
      </c>
      <c r="AE847" s="122" t="b">
        <f>IF(ISBLANK(GroupMember[[#This Row],[1. Identifiant interne d’exploitation agricole*]]),"",IF(ISERROR(MATCH(GroupMember[[#This Row],[1. Identifiant interne d’exploitation agricole*]],FarmUnit[1. Identifiant interne d’exploitation agricole*],0)),FALSE,TRUE))</f>
        <v>1</v>
      </c>
      <c r="AF847" s="9" t="str">
        <f t="shared" si="39"/>
        <v>KINDA TASSERE</v>
      </c>
      <c r="AG847" s="243" t="str">
        <f t="shared" si="40"/>
        <v>7/7/2021</v>
      </c>
      <c r="AH847" s="51">
        <f>COUNTIFS(Z:Z,Z847,AG:AG,AG847)</f>
        <v>4</v>
      </c>
      <c r="AI847" s="49">
        <f t="shared" si="41"/>
        <v>0</v>
      </c>
    </row>
    <row r="848" spans="1:35" ht="15" x14ac:dyDescent="0.2">
      <c r="A848" s="193" t="s">
        <v>2901</v>
      </c>
      <c r="B848" s="146" t="s">
        <v>668</v>
      </c>
      <c r="C848" s="193" t="s">
        <v>2901</v>
      </c>
      <c r="D848" s="175" t="s">
        <v>2881</v>
      </c>
      <c r="E848" s="146" t="s">
        <v>670</v>
      </c>
      <c r="F848" s="146" t="s">
        <v>671</v>
      </c>
      <c r="G848" s="146" t="s">
        <v>672</v>
      </c>
      <c r="H848" s="175">
        <v>2.4281999999999999</v>
      </c>
      <c r="I848" s="146" t="s">
        <v>673</v>
      </c>
      <c r="J848" s="217">
        <v>1</v>
      </c>
      <c r="K848" s="150">
        <v>2021</v>
      </c>
      <c r="L848" s="175" t="s">
        <v>2902</v>
      </c>
      <c r="M848" s="175" t="s">
        <v>2903</v>
      </c>
      <c r="N848" s="202">
        <v>686233625</v>
      </c>
      <c r="O848" s="218"/>
      <c r="P848" s="219" t="s">
        <v>676</v>
      </c>
      <c r="Q848" s="150"/>
      <c r="R848" s="155">
        <v>4</v>
      </c>
      <c r="S848" s="168"/>
      <c r="T848" s="168"/>
      <c r="U848" s="146"/>
      <c r="V848" s="146"/>
      <c r="W848" s="146"/>
      <c r="X848" s="156">
        <v>0</v>
      </c>
      <c r="Y848" s="156">
        <v>0</v>
      </c>
      <c r="Z848" s="157" t="s">
        <v>2703</v>
      </c>
      <c r="AA848" s="158">
        <v>2021</v>
      </c>
      <c r="AB848" s="158">
        <v>7</v>
      </c>
      <c r="AC848" s="158">
        <v>5</v>
      </c>
      <c r="AD848" s="122" t="b">
        <f>IF(ISBLANK(GroupMember[[#This Row],[1. Identifiant interne d’exploitation agricole*]]),"",IF(ISERROR(MATCH(GroupMember[[#This Row],[1. Identifiant interne d’exploitation agricole*]],CertifiedCrop[1. Identifiant interne d’exploitation agricole*],0)),FALSE,TRUE))</f>
        <v>1</v>
      </c>
      <c r="AE848" s="122" t="b">
        <f>IF(ISBLANK(GroupMember[[#This Row],[1. Identifiant interne d’exploitation agricole*]]),"",IF(ISERROR(MATCH(GroupMember[[#This Row],[1. Identifiant interne d’exploitation agricole*]],FarmUnit[1. Identifiant interne d’exploitation agricole*],0)),FALSE,TRUE))</f>
        <v>1</v>
      </c>
      <c r="AF848" s="9" t="str">
        <f t="shared" si="39"/>
        <v>DIEHI KANE EVARISTE</v>
      </c>
      <c r="AG848" s="243" t="str">
        <f t="shared" si="40"/>
        <v>5/7/2021</v>
      </c>
      <c r="AH848" s="51">
        <f>COUNTIFS(Z:Z,Z848,AG:AG,AG848)</f>
        <v>4</v>
      </c>
      <c r="AI848" s="49">
        <f t="shared" si="41"/>
        <v>0</v>
      </c>
    </row>
    <row r="849" spans="1:35" ht="15" x14ac:dyDescent="0.2">
      <c r="A849" s="193" t="s">
        <v>2904</v>
      </c>
      <c r="B849" s="146" t="s">
        <v>668</v>
      </c>
      <c r="C849" s="193" t="s">
        <v>2904</v>
      </c>
      <c r="D849" s="175" t="s">
        <v>2881</v>
      </c>
      <c r="E849" s="146" t="s">
        <v>670</v>
      </c>
      <c r="F849" s="146" t="s">
        <v>671</v>
      </c>
      <c r="G849" s="146" t="s">
        <v>672</v>
      </c>
      <c r="H849" s="175">
        <v>2.3639000000000001</v>
      </c>
      <c r="I849" s="146" t="s">
        <v>673</v>
      </c>
      <c r="J849" s="217">
        <v>1</v>
      </c>
      <c r="K849" s="150">
        <v>2021</v>
      </c>
      <c r="L849" s="175" t="s">
        <v>2905</v>
      </c>
      <c r="M849" s="175" t="s">
        <v>2906</v>
      </c>
      <c r="N849" s="202">
        <v>768454228</v>
      </c>
      <c r="O849" s="218"/>
      <c r="P849" s="219" t="s">
        <v>676</v>
      </c>
      <c r="Q849" s="150"/>
      <c r="R849" s="155">
        <v>7</v>
      </c>
      <c r="S849" s="168"/>
      <c r="T849" s="168"/>
      <c r="U849" s="146"/>
      <c r="V849" s="146"/>
      <c r="W849" s="146"/>
      <c r="X849" s="156">
        <v>0</v>
      </c>
      <c r="Y849" s="156">
        <v>0</v>
      </c>
      <c r="Z849" s="157" t="s">
        <v>2703</v>
      </c>
      <c r="AA849" s="158">
        <v>2021</v>
      </c>
      <c r="AB849" s="158">
        <v>7</v>
      </c>
      <c r="AC849" s="158">
        <v>2</v>
      </c>
      <c r="AD849" s="122" t="b">
        <f>IF(ISBLANK(GroupMember[[#This Row],[1. Identifiant interne d’exploitation agricole*]]),"",IF(ISERROR(MATCH(GroupMember[[#This Row],[1. Identifiant interne d’exploitation agricole*]],CertifiedCrop[1. Identifiant interne d’exploitation agricole*],0)),FALSE,TRUE))</f>
        <v>1</v>
      </c>
      <c r="AE849" s="122" t="b">
        <f>IF(ISBLANK(GroupMember[[#This Row],[1. Identifiant interne d’exploitation agricole*]]),"",IF(ISERROR(MATCH(GroupMember[[#This Row],[1. Identifiant interne d’exploitation agricole*]],FarmUnit[1. Identifiant interne d’exploitation agricole*],0)),FALSE,TRUE))</f>
        <v>1</v>
      </c>
      <c r="AF849" s="9" t="str">
        <f t="shared" si="39"/>
        <v>YAHA KANHAN THOMAS</v>
      </c>
      <c r="AG849" s="243" t="str">
        <f t="shared" si="40"/>
        <v>2/7/2021</v>
      </c>
      <c r="AH849" s="51">
        <f>COUNTIFS(Z:Z,Z849,AG:AG,AG849)</f>
        <v>4</v>
      </c>
      <c r="AI849" s="49">
        <f t="shared" si="41"/>
        <v>0</v>
      </c>
    </row>
    <row r="850" spans="1:35" ht="15" x14ac:dyDescent="0.2">
      <c r="A850" s="193" t="s">
        <v>2907</v>
      </c>
      <c r="B850" s="146" t="s">
        <v>668</v>
      </c>
      <c r="C850" s="193" t="s">
        <v>2907</v>
      </c>
      <c r="D850" s="175" t="s">
        <v>2881</v>
      </c>
      <c r="E850" s="146" t="s">
        <v>670</v>
      </c>
      <c r="F850" s="146" t="s">
        <v>671</v>
      </c>
      <c r="G850" s="146" t="s">
        <v>672</v>
      </c>
      <c r="H850" s="175">
        <v>1.9213</v>
      </c>
      <c r="I850" s="146" t="s">
        <v>673</v>
      </c>
      <c r="J850" s="217">
        <v>1</v>
      </c>
      <c r="K850" s="150">
        <v>2021</v>
      </c>
      <c r="L850" s="175" t="s">
        <v>2905</v>
      </c>
      <c r="M850" s="175" t="s">
        <v>2908</v>
      </c>
      <c r="N850" s="202"/>
      <c r="O850" s="218"/>
      <c r="P850" s="219" t="s">
        <v>676</v>
      </c>
      <c r="Q850" s="150"/>
      <c r="R850" s="155">
        <v>8</v>
      </c>
      <c r="S850" s="168"/>
      <c r="T850" s="168"/>
      <c r="U850" s="146"/>
      <c r="V850" s="146"/>
      <c r="W850" s="146"/>
      <c r="X850" s="156">
        <v>0</v>
      </c>
      <c r="Y850" s="156">
        <v>0</v>
      </c>
      <c r="Z850" s="157" t="s">
        <v>2703</v>
      </c>
      <c r="AA850" s="158">
        <v>2021</v>
      </c>
      <c r="AB850" s="158">
        <v>7</v>
      </c>
      <c r="AC850" s="158">
        <v>8</v>
      </c>
      <c r="AD850" s="122" t="b">
        <f>IF(ISBLANK(GroupMember[[#This Row],[1. Identifiant interne d’exploitation agricole*]]),"",IF(ISERROR(MATCH(GroupMember[[#This Row],[1. Identifiant interne d’exploitation agricole*]],CertifiedCrop[1. Identifiant interne d’exploitation agricole*],0)),FALSE,TRUE))</f>
        <v>1</v>
      </c>
      <c r="AE850" s="122" t="b">
        <f>IF(ISBLANK(GroupMember[[#This Row],[1. Identifiant interne d’exploitation agricole*]]),"",IF(ISERROR(MATCH(GroupMember[[#This Row],[1. Identifiant interne d’exploitation agricole*]],FarmUnit[1. Identifiant interne d’exploitation agricole*],0)),FALSE,TRUE))</f>
        <v>1</v>
      </c>
      <c r="AF850" s="9" t="str">
        <f t="shared" si="39"/>
        <v>YAHA SIAHA CHRISTIAN</v>
      </c>
      <c r="AG850" s="243" t="str">
        <f t="shared" si="40"/>
        <v>8/7/2021</v>
      </c>
      <c r="AH850" s="51">
        <f>COUNTIFS(Z:Z,Z850,AG:AG,AG850)</f>
        <v>5</v>
      </c>
      <c r="AI850" s="49">
        <f t="shared" si="41"/>
        <v>0</v>
      </c>
    </row>
    <row r="851" spans="1:35" ht="15" x14ac:dyDescent="0.2">
      <c r="A851" s="193" t="s">
        <v>2909</v>
      </c>
      <c r="B851" s="146" t="s">
        <v>668</v>
      </c>
      <c r="C851" s="193" t="s">
        <v>2909</v>
      </c>
      <c r="D851" s="175" t="s">
        <v>2837</v>
      </c>
      <c r="E851" s="146" t="s">
        <v>670</v>
      </c>
      <c r="F851" s="146" t="s">
        <v>671</v>
      </c>
      <c r="G851" s="146" t="s">
        <v>672</v>
      </c>
      <c r="H851" s="175">
        <v>3.0809000000000002</v>
      </c>
      <c r="I851" s="146" t="s">
        <v>673</v>
      </c>
      <c r="J851" s="217">
        <v>1</v>
      </c>
      <c r="K851" s="150">
        <v>2021</v>
      </c>
      <c r="L851" s="175" t="s">
        <v>2870</v>
      </c>
      <c r="M851" s="175" t="s">
        <v>2910</v>
      </c>
      <c r="N851" s="202">
        <v>504073543</v>
      </c>
      <c r="O851" s="218" t="s">
        <v>2911</v>
      </c>
      <c r="P851" s="219" t="s">
        <v>676</v>
      </c>
      <c r="Q851" s="150">
        <v>1991</v>
      </c>
      <c r="R851" s="155">
        <v>8</v>
      </c>
      <c r="S851" s="168"/>
      <c r="T851" s="168"/>
      <c r="U851" s="146"/>
      <c r="V851" s="146"/>
      <c r="W851" s="146"/>
      <c r="X851" s="156">
        <v>0</v>
      </c>
      <c r="Y851" s="156">
        <v>0</v>
      </c>
      <c r="Z851" s="157" t="s">
        <v>2703</v>
      </c>
      <c r="AA851" s="158">
        <v>2021</v>
      </c>
      <c r="AB851" s="158">
        <v>7</v>
      </c>
      <c r="AC851" s="158">
        <v>15</v>
      </c>
      <c r="AD851" s="122" t="b">
        <f>IF(ISBLANK(GroupMember[[#This Row],[1. Identifiant interne d’exploitation agricole*]]),"",IF(ISERROR(MATCH(GroupMember[[#This Row],[1. Identifiant interne d’exploitation agricole*]],CertifiedCrop[1. Identifiant interne d’exploitation agricole*],0)),FALSE,TRUE))</f>
        <v>1</v>
      </c>
      <c r="AE851" s="122" t="b">
        <f>IF(ISBLANK(GroupMember[[#This Row],[1. Identifiant interne d’exploitation agricole*]]),"",IF(ISERROR(MATCH(GroupMember[[#This Row],[1. Identifiant interne d’exploitation agricole*]],FarmUnit[1. Identifiant interne d’exploitation agricole*],0)),FALSE,TRUE))</f>
        <v>1</v>
      </c>
      <c r="AF851" s="9" t="str">
        <f t="shared" si="39"/>
        <v>NIADA KAYOURE</v>
      </c>
      <c r="AG851" s="243" t="str">
        <f t="shared" si="40"/>
        <v>15/7/2021</v>
      </c>
      <c r="AH851" s="51">
        <f>COUNTIFS(Z:Z,Z851,AG:AG,AG851)</f>
        <v>4</v>
      </c>
      <c r="AI851" s="49">
        <f t="shared" si="41"/>
        <v>0</v>
      </c>
    </row>
    <row r="852" spans="1:35" ht="15" x14ac:dyDescent="0.2">
      <c r="A852" s="193" t="s">
        <v>2912</v>
      </c>
      <c r="B852" s="146" t="s">
        <v>668</v>
      </c>
      <c r="C852" s="193" t="s">
        <v>2912</v>
      </c>
      <c r="D852" s="175" t="s">
        <v>2837</v>
      </c>
      <c r="E852" s="146" t="s">
        <v>670</v>
      </c>
      <c r="F852" s="146" t="s">
        <v>671</v>
      </c>
      <c r="G852" s="146" t="s">
        <v>672</v>
      </c>
      <c r="H852" s="175">
        <v>1.2838000000000001</v>
      </c>
      <c r="I852" s="146" t="s">
        <v>673</v>
      </c>
      <c r="J852" s="217">
        <v>1</v>
      </c>
      <c r="K852" s="150">
        <v>2021</v>
      </c>
      <c r="L852" s="175" t="s">
        <v>2913</v>
      </c>
      <c r="M852" s="175" t="s">
        <v>2914</v>
      </c>
      <c r="N852" s="202">
        <v>797433347</v>
      </c>
      <c r="O852" s="218" t="s">
        <v>2915</v>
      </c>
      <c r="P852" s="219" t="s">
        <v>751</v>
      </c>
      <c r="Q852" s="150">
        <v>1976</v>
      </c>
      <c r="R852" s="155">
        <v>6</v>
      </c>
      <c r="S852" s="168"/>
      <c r="T852" s="168"/>
      <c r="U852" s="146"/>
      <c r="V852" s="146"/>
      <c r="W852" s="146"/>
      <c r="X852" s="156">
        <v>0</v>
      </c>
      <c r="Y852" s="156">
        <v>0</v>
      </c>
      <c r="Z852" s="157" t="s">
        <v>2703</v>
      </c>
      <c r="AA852" s="158">
        <v>2021</v>
      </c>
      <c r="AB852" s="158">
        <v>8</v>
      </c>
      <c r="AC852" s="158">
        <v>7</v>
      </c>
      <c r="AD852" s="122" t="b">
        <f>IF(ISBLANK(GroupMember[[#This Row],[1. Identifiant interne d’exploitation agricole*]]),"",IF(ISERROR(MATCH(GroupMember[[#This Row],[1. Identifiant interne d’exploitation agricole*]],CertifiedCrop[1. Identifiant interne d’exploitation agricole*],0)),FALSE,TRUE))</f>
        <v>1</v>
      </c>
      <c r="AE852" s="122" t="b">
        <f>IF(ISBLANK(GroupMember[[#This Row],[1. Identifiant interne d’exploitation agricole*]]),"",IF(ISERROR(MATCH(GroupMember[[#This Row],[1. Identifiant interne d’exploitation agricole*]],FarmUnit[1. Identifiant interne d’exploitation agricole*],0)),FALSE,TRUE))</f>
        <v>1</v>
      </c>
      <c r="AF852" s="9" t="str">
        <f t="shared" si="39"/>
        <v>DEADA SEA CHANTAL</v>
      </c>
      <c r="AG852" s="243" t="str">
        <f t="shared" si="40"/>
        <v>7/8/2021</v>
      </c>
      <c r="AH852" s="51">
        <f>COUNTIFS(Z:Z,Z852,AG:AG,AG852)</f>
        <v>4</v>
      </c>
      <c r="AI852" s="49">
        <f t="shared" si="41"/>
        <v>0</v>
      </c>
    </row>
    <row r="853" spans="1:35" ht="15" x14ac:dyDescent="0.2">
      <c r="A853" s="193" t="s">
        <v>2916</v>
      </c>
      <c r="B853" s="146" t="s">
        <v>668</v>
      </c>
      <c r="C853" s="193" t="s">
        <v>2916</v>
      </c>
      <c r="D853" s="175" t="s">
        <v>2837</v>
      </c>
      <c r="E853" s="146" t="s">
        <v>670</v>
      </c>
      <c r="F853" s="146" t="s">
        <v>671</v>
      </c>
      <c r="G853" s="146" t="s">
        <v>672</v>
      </c>
      <c r="H853" s="175">
        <v>1.2367999999999999</v>
      </c>
      <c r="I853" s="146" t="s">
        <v>673</v>
      </c>
      <c r="J853" s="217">
        <v>1</v>
      </c>
      <c r="K853" s="150">
        <v>2021</v>
      </c>
      <c r="L853" s="175" t="s">
        <v>2913</v>
      </c>
      <c r="M853" s="175" t="s">
        <v>1961</v>
      </c>
      <c r="N853" s="202">
        <v>709556303</v>
      </c>
      <c r="O853" s="282" t="s">
        <v>3310</v>
      </c>
      <c r="P853" s="219" t="s">
        <v>676</v>
      </c>
      <c r="Q853" s="150">
        <v>1984</v>
      </c>
      <c r="R853" s="155">
        <v>5</v>
      </c>
      <c r="S853" s="168"/>
      <c r="T853" s="168"/>
      <c r="U853" s="146"/>
      <c r="V853" s="146"/>
      <c r="W853" s="146"/>
      <c r="X853" s="156">
        <v>0</v>
      </c>
      <c r="Y853" s="156">
        <v>0</v>
      </c>
      <c r="Z853" s="157" t="s">
        <v>2703</v>
      </c>
      <c r="AA853" s="158">
        <v>2021</v>
      </c>
      <c r="AB853" s="158">
        <v>8</v>
      </c>
      <c r="AC853" s="158">
        <v>5</v>
      </c>
      <c r="AD853" s="122" t="b">
        <f>IF(ISBLANK(GroupMember[[#This Row],[1. Identifiant interne d’exploitation agricole*]]),"",IF(ISERROR(MATCH(GroupMember[[#This Row],[1. Identifiant interne d’exploitation agricole*]],CertifiedCrop[1. Identifiant interne d’exploitation agricole*],0)),FALSE,TRUE))</f>
        <v>1</v>
      </c>
      <c r="AE853" s="122" t="b">
        <f>IF(ISBLANK(GroupMember[[#This Row],[1. Identifiant interne d’exploitation agricole*]]),"",IF(ISERROR(MATCH(GroupMember[[#This Row],[1. Identifiant interne d’exploitation agricole*]],FarmUnit[1. Identifiant interne d’exploitation agricole*],0)),FALSE,TRUE))</f>
        <v>1</v>
      </c>
      <c r="AF853" s="9" t="str">
        <f t="shared" si="39"/>
        <v>DEADA MODESTE</v>
      </c>
      <c r="AG853" s="243" t="str">
        <f t="shared" si="40"/>
        <v>5/8/2021</v>
      </c>
      <c r="AH853" s="51">
        <f>COUNTIFS(Z:Z,Z853,AG:AG,AG853)</f>
        <v>5</v>
      </c>
      <c r="AI853" s="49">
        <f t="shared" si="41"/>
        <v>0</v>
      </c>
    </row>
    <row r="854" spans="1:35" ht="15" x14ac:dyDescent="0.2">
      <c r="A854" s="193" t="s">
        <v>2917</v>
      </c>
      <c r="B854" s="146" t="s">
        <v>668</v>
      </c>
      <c r="C854" s="193" t="s">
        <v>2917</v>
      </c>
      <c r="D854" s="175" t="s">
        <v>2837</v>
      </c>
      <c r="E854" s="146" t="s">
        <v>670</v>
      </c>
      <c r="F854" s="146" t="s">
        <v>671</v>
      </c>
      <c r="G854" s="146" t="s">
        <v>672</v>
      </c>
      <c r="H854" s="175">
        <v>2.9653999999999998</v>
      </c>
      <c r="I854" s="146" t="s">
        <v>673</v>
      </c>
      <c r="J854" s="217">
        <v>2</v>
      </c>
      <c r="K854" s="150">
        <v>2021</v>
      </c>
      <c r="L854" s="175" t="s">
        <v>2918</v>
      </c>
      <c r="M854" s="175" t="s">
        <v>2919</v>
      </c>
      <c r="N854" s="202">
        <v>546401619</v>
      </c>
      <c r="O854" s="218"/>
      <c r="P854" s="219" t="s">
        <v>676</v>
      </c>
      <c r="Q854" s="299"/>
      <c r="R854" s="155">
        <v>7</v>
      </c>
      <c r="S854" s="168"/>
      <c r="T854" s="168"/>
      <c r="U854" s="146"/>
      <c r="V854" s="146"/>
      <c r="W854" s="146"/>
      <c r="X854" s="156">
        <v>0</v>
      </c>
      <c r="Y854" s="156">
        <v>0</v>
      </c>
      <c r="Z854" s="157" t="s">
        <v>2703</v>
      </c>
      <c r="AA854" s="158">
        <v>2021</v>
      </c>
      <c r="AB854" s="158">
        <v>8</v>
      </c>
      <c r="AC854" s="158">
        <v>9</v>
      </c>
      <c r="AD854" s="122" t="b">
        <f>IF(ISBLANK(GroupMember[[#This Row],[1. Identifiant interne d’exploitation agricole*]]),"",IF(ISERROR(MATCH(GroupMember[[#This Row],[1. Identifiant interne d’exploitation agricole*]],CertifiedCrop[1. Identifiant interne d’exploitation agricole*],0)),FALSE,TRUE))</f>
        <v>1</v>
      </c>
      <c r="AE854" s="122" t="b">
        <f>IF(ISBLANK(GroupMember[[#This Row],[1. Identifiant interne d’exploitation agricole*]]),"",IF(ISERROR(MATCH(GroupMember[[#This Row],[1. Identifiant interne d’exploitation agricole*]],FarmUnit[1. Identifiant interne d’exploitation agricole*],0)),FALSE,TRUE))</f>
        <v>1</v>
      </c>
      <c r="AF854" s="9" t="str">
        <f t="shared" si="39"/>
        <v xml:space="preserve">SEHI ANGE </v>
      </c>
      <c r="AG854" s="243" t="str">
        <f t="shared" si="40"/>
        <v>9/8/2021</v>
      </c>
      <c r="AH854" s="51">
        <f>COUNTIFS(Z:Z,Z854,AG:AG,AG854)</f>
        <v>5</v>
      </c>
      <c r="AI854" s="49">
        <f t="shared" si="41"/>
        <v>0</v>
      </c>
    </row>
    <row r="855" spans="1:35" ht="15" x14ac:dyDescent="0.2">
      <c r="A855" s="193" t="s">
        <v>2920</v>
      </c>
      <c r="B855" s="146" t="s">
        <v>668</v>
      </c>
      <c r="C855" s="193" t="s">
        <v>2920</v>
      </c>
      <c r="D855" s="175" t="s">
        <v>2837</v>
      </c>
      <c r="E855" s="146" t="s">
        <v>670</v>
      </c>
      <c r="F855" s="146" t="s">
        <v>671</v>
      </c>
      <c r="G855" s="146" t="s">
        <v>672</v>
      </c>
      <c r="H855" s="175">
        <v>1.6894</v>
      </c>
      <c r="I855" s="146" t="s">
        <v>673</v>
      </c>
      <c r="J855" s="217">
        <v>1</v>
      </c>
      <c r="K855" s="150">
        <v>2021</v>
      </c>
      <c r="L855" s="175" t="s">
        <v>2913</v>
      </c>
      <c r="M855" s="175" t="s">
        <v>2921</v>
      </c>
      <c r="N855" s="202">
        <v>586651077</v>
      </c>
      <c r="O855" s="218"/>
      <c r="P855" s="219" t="s">
        <v>676</v>
      </c>
      <c r="Q855" s="150"/>
      <c r="R855" s="155">
        <v>4</v>
      </c>
      <c r="S855" s="168"/>
      <c r="T855" s="168"/>
      <c r="U855" s="146"/>
      <c r="V855" s="146"/>
      <c r="W855" s="146"/>
      <c r="X855" s="156">
        <v>0</v>
      </c>
      <c r="Y855" s="156">
        <v>0</v>
      </c>
      <c r="Z855" s="157" t="s">
        <v>2703</v>
      </c>
      <c r="AA855" s="158">
        <v>2021</v>
      </c>
      <c r="AB855" s="158">
        <v>8</v>
      </c>
      <c r="AC855" s="158">
        <v>5</v>
      </c>
      <c r="AD855" s="122" t="b">
        <f>IF(ISBLANK(GroupMember[[#This Row],[1. Identifiant interne d’exploitation agricole*]]),"",IF(ISERROR(MATCH(GroupMember[[#This Row],[1. Identifiant interne d’exploitation agricole*]],CertifiedCrop[1. Identifiant interne d’exploitation agricole*],0)),FALSE,TRUE))</f>
        <v>1</v>
      </c>
      <c r="AE855" s="122" t="b">
        <f>IF(ISBLANK(GroupMember[[#This Row],[1. Identifiant interne d’exploitation agricole*]]),"",IF(ISERROR(MATCH(GroupMember[[#This Row],[1. Identifiant interne d’exploitation agricole*]],FarmUnit[1. Identifiant interne d’exploitation agricole*],0)),FALSE,TRUE))</f>
        <v>1</v>
      </c>
      <c r="AF855" s="9" t="str">
        <f t="shared" si="39"/>
        <v>DEADA CHRISTIAN</v>
      </c>
      <c r="AG855" s="243" t="str">
        <f t="shared" si="40"/>
        <v>5/8/2021</v>
      </c>
      <c r="AH855" s="51">
        <f>COUNTIFS(Z:Z,Z855,AG:AG,AG855)</f>
        <v>5</v>
      </c>
      <c r="AI855" s="49">
        <f t="shared" si="41"/>
        <v>0</v>
      </c>
    </row>
    <row r="856" spans="1:35" ht="15" x14ac:dyDescent="0.2">
      <c r="A856" s="193" t="s">
        <v>2922</v>
      </c>
      <c r="B856" s="146" t="s">
        <v>668</v>
      </c>
      <c r="C856" s="193" t="s">
        <v>2922</v>
      </c>
      <c r="D856" s="175" t="s">
        <v>2837</v>
      </c>
      <c r="E856" s="146" t="s">
        <v>670</v>
      </c>
      <c r="F856" s="146" t="s">
        <v>671</v>
      </c>
      <c r="G856" s="146" t="s">
        <v>672</v>
      </c>
      <c r="H856" s="175">
        <v>2.5756999999999999</v>
      </c>
      <c r="I856" s="146" t="s">
        <v>673</v>
      </c>
      <c r="J856" s="217">
        <v>2</v>
      </c>
      <c r="K856" s="150">
        <v>2021</v>
      </c>
      <c r="L856" s="175" t="s">
        <v>2923</v>
      </c>
      <c r="M856" s="175" t="s">
        <v>2924</v>
      </c>
      <c r="N856" s="202">
        <v>777787292</v>
      </c>
      <c r="O856" s="218" t="s">
        <v>2925</v>
      </c>
      <c r="P856" s="219" t="s">
        <v>676</v>
      </c>
      <c r="Q856" s="150">
        <v>1986</v>
      </c>
      <c r="R856" s="155">
        <v>5</v>
      </c>
      <c r="S856" s="168"/>
      <c r="T856" s="168"/>
      <c r="U856" s="146"/>
      <c r="V856" s="146"/>
      <c r="W856" s="146"/>
      <c r="X856" s="156">
        <v>0</v>
      </c>
      <c r="Y856" s="156">
        <v>0</v>
      </c>
      <c r="Z856" s="157" t="s">
        <v>2703</v>
      </c>
      <c r="AA856" s="158">
        <v>2021</v>
      </c>
      <c r="AB856" s="158">
        <v>8</v>
      </c>
      <c r="AC856" s="158">
        <v>7</v>
      </c>
      <c r="AD856" s="122" t="b">
        <f>IF(ISBLANK(GroupMember[[#This Row],[1. Identifiant interne d’exploitation agricole*]]),"",IF(ISERROR(MATCH(GroupMember[[#This Row],[1. Identifiant interne d’exploitation agricole*]],CertifiedCrop[1. Identifiant interne d’exploitation agricole*],0)),FALSE,TRUE))</f>
        <v>1</v>
      </c>
      <c r="AE856" s="122" t="b">
        <f>IF(ISBLANK(GroupMember[[#This Row],[1. Identifiant interne d’exploitation agricole*]]),"",IF(ISERROR(MATCH(GroupMember[[#This Row],[1. Identifiant interne d’exploitation agricole*]],FarmUnit[1. Identifiant interne d’exploitation agricole*],0)),FALSE,TRUE))</f>
        <v>1</v>
      </c>
      <c r="AF856" s="9" t="str">
        <f t="shared" si="39"/>
        <v xml:space="preserve">BAGRE PAGOMZANGA ANTOINE </v>
      </c>
      <c r="AG856" s="243" t="str">
        <f t="shared" si="40"/>
        <v>7/8/2021</v>
      </c>
      <c r="AH856" s="51">
        <f>COUNTIFS(Z:Z,Z856,AG:AG,AG856)</f>
        <v>4</v>
      </c>
      <c r="AI856" s="49">
        <f t="shared" si="41"/>
        <v>0</v>
      </c>
    </row>
    <row r="857" spans="1:35" ht="15" x14ac:dyDescent="0.2">
      <c r="A857" s="193" t="s">
        <v>2926</v>
      </c>
      <c r="B857" s="146" t="s">
        <v>668</v>
      </c>
      <c r="C857" s="193" t="s">
        <v>2926</v>
      </c>
      <c r="D857" s="175" t="s">
        <v>2837</v>
      </c>
      <c r="E857" s="146" t="s">
        <v>670</v>
      </c>
      <c r="F857" s="146" t="s">
        <v>671</v>
      </c>
      <c r="G857" s="146" t="s">
        <v>672</v>
      </c>
      <c r="H857" s="175">
        <v>1.9006000000000001</v>
      </c>
      <c r="I857" s="146" t="s">
        <v>673</v>
      </c>
      <c r="J857" s="217">
        <v>2</v>
      </c>
      <c r="K857" s="150">
        <v>2021</v>
      </c>
      <c r="L857" s="175" t="s">
        <v>2927</v>
      </c>
      <c r="M857" s="175" t="s">
        <v>2928</v>
      </c>
      <c r="N857" s="202">
        <v>504272606</v>
      </c>
      <c r="O857" s="218" t="s">
        <v>2929</v>
      </c>
      <c r="P857" s="219" t="s">
        <v>676</v>
      </c>
      <c r="Q857" s="150">
        <v>1977</v>
      </c>
      <c r="R857" s="155">
        <v>7</v>
      </c>
      <c r="S857" s="168"/>
      <c r="T857" s="168"/>
      <c r="U857" s="146"/>
      <c r="V857" s="146"/>
      <c r="W857" s="146"/>
      <c r="X857" s="156">
        <v>0</v>
      </c>
      <c r="Y857" s="156">
        <v>0</v>
      </c>
      <c r="Z857" s="157" t="s">
        <v>2703</v>
      </c>
      <c r="AA857" s="158">
        <v>2021</v>
      </c>
      <c r="AB857" s="158">
        <v>7</v>
      </c>
      <c r="AC857" s="158">
        <v>8</v>
      </c>
      <c r="AD857" s="122" t="b">
        <f>IF(ISBLANK(GroupMember[[#This Row],[1. Identifiant interne d’exploitation agricole*]]),"",IF(ISERROR(MATCH(GroupMember[[#This Row],[1. Identifiant interne d’exploitation agricole*]],CertifiedCrop[1. Identifiant interne d’exploitation agricole*],0)),FALSE,TRUE))</f>
        <v>1</v>
      </c>
      <c r="AE857" s="122" t="b">
        <f>IF(ISBLANK(GroupMember[[#This Row],[1. Identifiant interne d’exploitation agricole*]]),"",IF(ISERROR(MATCH(GroupMember[[#This Row],[1. Identifiant interne d’exploitation agricole*]],FarmUnit[1. Identifiant interne d’exploitation agricole*],0)),FALSE,TRUE))</f>
        <v>1</v>
      </c>
      <c r="AF857" s="9" t="str">
        <f t="shared" si="39"/>
        <v>TEA AIME</v>
      </c>
      <c r="AG857" s="243" t="str">
        <f t="shared" si="40"/>
        <v>8/7/2021</v>
      </c>
      <c r="AH857" s="51">
        <f>COUNTIFS(Z:Z,Z857,AG:AG,AG857)</f>
        <v>5</v>
      </c>
      <c r="AI857" s="49">
        <f t="shared" si="41"/>
        <v>0</v>
      </c>
    </row>
    <row r="858" spans="1:35" ht="15" x14ac:dyDescent="0.2">
      <c r="A858" s="193" t="s">
        <v>2930</v>
      </c>
      <c r="B858" s="146" t="s">
        <v>668</v>
      </c>
      <c r="C858" s="193" t="s">
        <v>2930</v>
      </c>
      <c r="D858" s="175" t="s">
        <v>2931</v>
      </c>
      <c r="E858" s="146" t="s">
        <v>670</v>
      </c>
      <c r="F858" s="146" t="s">
        <v>671</v>
      </c>
      <c r="G858" s="146" t="s">
        <v>672</v>
      </c>
      <c r="H858" s="175">
        <v>5.46</v>
      </c>
      <c r="I858" s="146" t="s">
        <v>673</v>
      </c>
      <c r="J858" s="220">
        <v>1</v>
      </c>
      <c r="K858" s="150">
        <v>2021</v>
      </c>
      <c r="L858" s="221" t="s">
        <v>701</v>
      </c>
      <c r="M858" s="221" t="s">
        <v>2932</v>
      </c>
      <c r="N858" s="202">
        <v>758840402</v>
      </c>
      <c r="O858" s="222" t="s">
        <v>2933</v>
      </c>
      <c r="P858" s="219" t="s">
        <v>676</v>
      </c>
      <c r="Q858" s="150">
        <v>1973</v>
      </c>
      <c r="R858" s="155">
        <v>4</v>
      </c>
      <c r="S858" s="168"/>
      <c r="T858" s="168"/>
      <c r="U858" s="146"/>
      <c r="V858" s="146"/>
      <c r="W858" s="146"/>
      <c r="X858" s="156">
        <v>0</v>
      </c>
      <c r="Y858" s="156">
        <v>0</v>
      </c>
      <c r="Z858" s="157" t="s">
        <v>2703</v>
      </c>
      <c r="AA858" s="158">
        <v>2021</v>
      </c>
      <c r="AB858" s="158">
        <v>7</v>
      </c>
      <c r="AC858" s="158">
        <v>15</v>
      </c>
      <c r="AD858" s="122" t="b">
        <f>IF(ISBLANK(GroupMember[[#This Row],[1. Identifiant interne d’exploitation agricole*]]),"",IF(ISERROR(MATCH(GroupMember[[#This Row],[1. Identifiant interne d’exploitation agricole*]],CertifiedCrop[1. Identifiant interne d’exploitation agricole*],0)),FALSE,TRUE))</f>
        <v>1</v>
      </c>
      <c r="AE858" s="122" t="b">
        <f>IF(ISBLANK(GroupMember[[#This Row],[1. Identifiant interne d’exploitation agricole*]]),"",IF(ISERROR(MATCH(GroupMember[[#This Row],[1. Identifiant interne d’exploitation agricole*]],FarmUnit[1. Identifiant interne d’exploitation agricole*],0)),FALSE,TRUE))</f>
        <v>1</v>
      </c>
      <c r="AF858" s="9" t="str">
        <f t="shared" si="39"/>
        <v>OUATTARA YEFONHINLI</v>
      </c>
      <c r="AG858" s="243" t="str">
        <f t="shared" si="40"/>
        <v>15/7/2021</v>
      </c>
      <c r="AH858" s="51">
        <f>COUNTIFS(Z:Z,Z858,AG:AG,AG858)</f>
        <v>4</v>
      </c>
      <c r="AI858" s="49">
        <f t="shared" si="41"/>
        <v>0</v>
      </c>
    </row>
    <row r="859" spans="1:35" ht="15" x14ac:dyDescent="0.2">
      <c r="A859" s="193" t="s">
        <v>2934</v>
      </c>
      <c r="B859" s="146" t="s">
        <v>668</v>
      </c>
      <c r="C859" s="193" t="s">
        <v>2934</v>
      </c>
      <c r="D859" s="175" t="s">
        <v>2931</v>
      </c>
      <c r="E859" s="146" t="s">
        <v>670</v>
      </c>
      <c r="F859" s="146" t="s">
        <v>671</v>
      </c>
      <c r="G859" s="146" t="s">
        <v>672</v>
      </c>
      <c r="H859" s="175">
        <v>1.89</v>
      </c>
      <c r="I859" s="146" t="s">
        <v>673</v>
      </c>
      <c r="J859" s="220">
        <v>1</v>
      </c>
      <c r="K859" s="150">
        <v>2021</v>
      </c>
      <c r="L859" s="221" t="s">
        <v>2935</v>
      </c>
      <c r="M859" s="221" t="s">
        <v>2936</v>
      </c>
      <c r="N859" s="202">
        <v>554517645</v>
      </c>
      <c r="O859" s="217" t="s">
        <v>3311</v>
      </c>
      <c r="P859" s="219" t="s">
        <v>676</v>
      </c>
      <c r="Q859" s="150">
        <v>1988</v>
      </c>
      <c r="R859" s="155">
        <v>5</v>
      </c>
      <c r="S859" s="168"/>
      <c r="T859" s="168"/>
      <c r="U859" s="146"/>
      <c r="V859" s="146"/>
      <c r="W859" s="146"/>
      <c r="X859" s="156">
        <v>0</v>
      </c>
      <c r="Y859" s="156">
        <v>0</v>
      </c>
      <c r="Z859" s="157" t="s">
        <v>2703</v>
      </c>
      <c r="AA859" s="158">
        <v>2021</v>
      </c>
      <c r="AB859" s="158">
        <v>8</v>
      </c>
      <c r="AC859" s="158">
        <v>5</v>
      </c>
      <c r="AD859" s="122" t="b">
        <f>IF(ISBLANK(GroupMember[[#This Row],[1. Identifiant interne d’exploitation agricole*]]),"",IF(ISERROR(MATCH(GroupMember[[#This Row],[1. Identifiant interne d’exploitation agricole*]],CertifiedCrop[1. Identifiant interne d’exploitation agricole*],0)),FALSE,TRUE))</f>
        <v>1</v>
      </c>
      <c r="AE859" s="122" t="b">
        <f>IF(ISBLANK(GroupMember[[#This Row],[1. Identifiant interne d’exploitation agricole*]]),"",IF(ISERROR(MATCH(GroupMember[[#This Row],[1. Identifiant interne d’exploitation agricole*]],FarmUnit[1. Identifiant interne d’exploitation agricole*],0)),FALSE,TRUE))</f>
        <v>1</v>
      </c>
      <c r="AF859" s="9" t="str">
        <f t="shared" si="39"/>
        <v>NIAVA  BONAVENTURE</v>
      </c>
      <c r="AG859" s="243" t="str">
        <f t="shared" si="40"/>
        <v>5/8/2021</v>
      </c>
      <c r="AH859" s="51">
        <f>COUNTIFS(Z:Z,Z859,AG:AG,AG859)</f>
        <v>5</v>
      </c>
      <c r="AI859" s="49">
        <f t="shared" si="41"/>
        <v>0</v>
      </c>
    </row>
    <row r="860" spans="1:35" ht="15" x14ac:dyDescent="0.2">
      <c r="A860" s="193" t="s">
        <v>2937</v>
      </c>
      <c r="B860" s="146" t="s">
        <v>668</v>
      </c>
      <c r="C860" s="193" t="s">
        <v>2937</v>
      </c>
      <c r="D860" s="175" t="s">
        <v>2931</v>
      </c>
      <c r="E860" s="146" t="s">
        <v>670</v>
      </c>
      <c r="F860" s="146" t="s">
        <v>671</v>
      </c>
      <c r="G860" s="146" t="s">
        <v>672</v>
      </c>
      <c r="H860" s="175">
        <v>4.0599999999999996</v>
      </c>
      <c r="I860" s="146" t="s">
        <v>673</v>
      </c>
      <c r="J860" s="220">
        <v>2</v>
      </c>
      <c r="K860" s="150">
        <v>2021</v>
      </c>
      <c r="L860" s="221" t="s">
        <v>2938</v>
      </c>
      <c r="M860" s="221" t="s">
        <v>2939</v>
      </c>
      <c r="N860" s="202">
        <v>747378487</v>
      </c>
      <c r="O860" s="223" t="s">
        <v>2940</v>
      </c>
      <c r="P860" s="219" t="s">
        <v>676</v>
      </c>
      <c r="Q860" s="150">
        <v>1992</v>
      </c>
      <c r="R860" s="155">
        <v>6</v>
      </c>
      <c r="S860" s="168"/>
      <c r="T860" s="168"/>
      <c r="U860" s="146"/>
      <c r="V860" s="146"/>
      <c r="W860" s="146"/>
      <c r="X860" s="156">
        <v>0</v>
      </c>
      <c r="Y860" s="156">
        <v>0</v>
      </c>
      <c r="Z860" s="157" t="s">
        <v>2703</v>
      </c>
      <c r="AA860" s="158">
        <v>2021</v>
      </c>
      <c r="AB860" s="158">
        <v>8</v>
      </c>
      <c r="AC860" s="158">
        <v>9</v>
      </c>
      <c r="AD860" s="122" t="b">
        <f>IF(ISBLANK(GroupMember[[#This Row],[1. Identifiant interne d’exploitation agricole*]]),"",IF(ISERROR(MATCH(GroupMember[[#This Row],[1. Identifiant interne d’exploitation agricole*]],CertifiedCrop[1. Identifiant interne d’exploitation agricole*],0)),FALSE,TRUE))</f>
        <v>1</v>
      </c>
      <c r="AE860" s="122" t="b">
        <f>IF(ISBLANK(GroupMember[[#This Row],[1. Identifiant interne d’exploitation agricole*]]),"",IF(ISERROR(MATCH(GroupMember[[#This Row],[1. Identifiant interne d’exploitation agricole*]],FarmUnit[1. Identifiant interne d’exploitation agricole*],0)),FALSE,TRUE))</f>
        <v>1</v>
      </c>
      <c r="AF860" s="9" t="str">
        <f t="shared" si="39"/>
        <v xml:space="preserve">DAH  DAFOUE GBOLOSSONTE    </v>
      </c>
      <c r="AG860" s="243" t="str">
        <f t="shared" si="40"/>
        <v>9/8/2021</v>
      </c>
      <c r="AH860" s="51">
        <f>COUNTIFS(Z:Z,Z860,AG:AG,AG860)</f>
        <v>5</v>
      </c>
      <c r="AI860" s="49">
        <f t="shared" si="41"/>
        <v>0</v>
      </c>
    </row>
    <row r="861" spans="1:35" ht="15" x14ac:dyDescent="0.2">
      <c r="A861" s="193" t="s">
        <v>2941</v>
      </c>
      <c r="B861" s="146" t="s">
        <v>668</v>
      </c>
      <c r="C861" s="193" t="s">
        <v>2941</v>
      </c>
      <c r="D861" s="175" t="s">
        <v>2931</v>
      </c>
      <c r="E861" s="146" t="s">
        <v>670</v>
      </c>
      <c r="F861" s="146" t="s">
        <v>671</v>
      </c>
      <c r="G861" s="146" t="s">
        <v>672</v>
      </c>
      <c r="H861" s="175">
        <v>1.19</v>
      </c>
      <c r="I861" s="146" t="s">
        <v>673</v>
      </c>
      <c r="J861" s="220">
        <v>1</v>
      </c>
      <c r="K861" s="150">
        <v>2021</v>
      </c>
      <c r="L861" s="221" t="s">
        <v>2938</v>
      </c>
      <c r="M861" s="221" t="s">
        <v>2942</v>
      </c>
      <c r="N861" s="202">
        <v>556102174</v>
      </c>
      <c r="O861" s="223" t="s">
        <v>2943</v>
      </c>
      <c r="P861" s="219" t="s">
        <v>676</v>
      </c>
      <c r="Q861" s="150">
        <v>1970</v>
      </c>
      <c r="R861" s="155">
        <v>8</v>
      </c>
      <c r="S861" s="168"/>
      <c r="T861" s="168"/>
      <c r="U861" s="146"/>
      <c r="V861" s="146"/>
      <c r="W861" s="146"/>
      <c r="X861" s="156">
        <v>0</v>
      </c>
      <c r="Y861" s="156">
        <v>0</v>
      </c>
      <c r="Z861" s="157" t="s">
        <v>2703</v>
      </c>
      <c r="AA861" s="158">
        <v>2021</v>
      </c>
      <c r="AB861" s="158">
        <v>8</v>
      </c>
      <c r="AC861" s="158">
        <v>5</v>
      </c>
      <c r="AD861" s="122" t="b">
        <f>IF(ISBLANK(GroupMember[[#This Row],[1. Identifiant interne d’exploitation agricole*]]),"",IF(ISERROR(MATCH(GroupMember[[#This Row],[1. Identifiant interne d’exploitation agricole*]],CertifiedCrop[1. Identifiant interne d’exploitation agricole*],0)),FALSE,TRUE))</f>
        <v>1</v>
      </c>
      <c r="AE861" s="122" t="b">
        <f>IF(ISBLANK(GroupMember[[#This Row],[1. Identifiant interne d’exploitation agricole*]]),"",IF(ISERROR(MATCH(GroupMember[[#This Row],[1. Identifiant interne d’exploitation agricole*]],FarmUnit[1. Identifiant interne d’exploitation agricole*],0)),FALSE,TRUE))</f>
        <v>1</v>
      </c>
      <c r="AF861" s="9" t="str">
        <f t="shared" si="39"/>
        <v>DAH  BABA</v>
      </c>
      <c r="AG861" s="243" t="str">
        <f t="shared" si="40"/>
        <v>5/8/2021</v>
      </c>
      <c r="AH861" s="51">
        <f>COUNTIFS(Z:Z,Z861,AG:AG,AG861)</f>
        <v>5</v>
      </c>
      <c r="AI861" s="49">
        <f t="shared" si="41"/>
        <v>0</v>
      </c>
    </row>
    <row r="862" spans="1:35" ht="15" x14ac:dyDescent="0.2">
      <c r="A862" s="193" t="s">
        <v>2944</v>
      </c>
      <c r="B862" s="146" t="s">
        <v>668</v>
      </c>
      <c r="C862" s="193" t="s">
        <v>2944</v>
      </c>
      <c r="D862" s="175" t="s">
        <v>2931</v>
      </c>
      <c r="E862" s="146" t="s">
        <v>670</v>
      </c>
      <c r="F862" s="146" t="s">
        <v>671</v>
      </c>
      <c r="G862" s="146" t="s">
        <v>672</v>
      </c>
      <c r="H862" s="175">
        <v>3.17</v>
      </c>
      <c r="I862" s="146" t="s">
        <v>673</v>
      </c>
      <c r="J862" s="220">
        <v>1</v>
      </c>
      <c r="K862" s="150">
        <v>2021</v>
      </c>
      <c r="L862" s="221" t="s">
        <v>2938</v>
      </c>
      <c r="M862" s="221" t="s">
        <v>2945</v>
      </c>
      <c r="N862" s="202">
        <v>758329512</v>
      </c>
      <c r="O862" s="223" t="s">
        <v>2946</v>
      </c>
      <c r="P862" s="219" t="s">
        <v>676</v>
      </c>
      <c r="Q862" s="150">
        <v>1976</v>
      </c>
      <c r="R862" s="155">
        <v>7</v>
      </c>
      <c r="S862" s="168"/>
      <c r="T862" s="168"/>
      <c r="U862" s="146"/>
      <c r="V862" s="146"/>
      <c r="W862" s="146"/>
      <c r="X862" s="156">
        <v>0</v>
      </c>
      <c r="Y862" s="156">
        <v>0</v>
      </c>
      <c r="Z862" s="157" t="s">
        <v>2703</v>
      </c>
      <c r="AA862" s="158">
        <v>2021</v>
      </c>
      <c r="AB862" s="158">
        <v>8</v>
      </c>
      <c r="AC862" s="158">
        <v>7</v>
      </c>
      <c r="AD862" s="122" t="b">
        <f>IF(ISBLANK(GroupMember[[#This Row],[1. Identifiant interne d’exploitation agricole*]]),"",IF(ISERROR(MATCH(GroupMember[[#This Row],[1. Identifiant interne d’exploitation agricole*]],CertifiedCrop[1. Identifiant interne d’exploitation agricole*],0)),FALSE,TRUE))</f>
        <v>1</v>
      </c>
      <c r="AE862" s="122" t="b">
        <f>IF(ISBLANK(GroupMember[[#This Row],[1. Identifiant interne d’exploitation agricole*]]),"",IF(ISERROR(MATCH(GroupMember[[#This Row],[1. Identifiant interne d’exploitation agricole*]],FarmUnit[1. Identifiant interne d’exploitation agricole*],0)),FALSE,TRUE))</f>
        <v>1</v>
      </c>
      <c r="AF862" s="9" t="str">
        <f t="shared" si="39"/>
        <v>DAH  FIMITE</v>
      </c>
      <c r="AG862" s="243" t="str">
        <f t="shared" si="40"/>
        <v>7/8/2021</v>
      </c>
      <c r="AH862" s="51">
        <f>COUNTIFS(Z:Z,Z862,AG:AG,AG862)</f>
        <v>4</v>
      </c>
      <c r="AI862" s="49">
        <f t="shared" si="41"/>
        <v>0</v>
      </c>
    </row>
    <row r="863" spans="1:35" ht="15" x14ac:dyDescent="0.2">
      <c r="A863" s="193" t="s">
        <v>2947</v>
      </c>
      <c r="B863" s="146" t="s">
        <v>668</v>
      </c>
      <c r="C863" s="193" t="s">
        <v>2947</v>
      </c>
      <c r="D863" s="175" t="s">
        <v>2948</v>
      </c>
      <c r="E863" s="146" t="s">
        <v>670</v>
      </c>
      <c r="F863" s="146" t="s">
        <v>671</v>
      </c>
      <c r="G863" s="146" t="s">
        <v>672</v>
      </c>
      <c r="H863" s="175">
        <v>1.5</v>
      </c>
      <c r="I863" s="146" t="s">
        <v>673</v>
      </c>
      <c r="J863" s="220">
        <v>1</v>
      </c>
      <c r="K863" s="150">
        <v>2021</v>
      </c>
      <c r="L863" s="221" t="s">
        <v>701</v>
      </c>
      <c r="M863" s="221" t="s">
        <v>1805</v>
      </c>
      <c r="N863" s="202">
        <v>747962204</v>
      </c>
      <c r="O863" s="223" t="s">
        <v>2949</v>
      </c>
      <c r="P863" s="219" t="s">
        <v>676</v>
      </c>
      <c r="Q863" s="150">
        <v>1968</v>
      </c>
      <c r="R863" s="155">
        <v>4</v>
      </c>
      <c r="S863" s="168"/>
      <c r="T863" s="168"/>
      <c r="U863" s="146"/>
      <c r="V863" s="146"/>
      <c r="W863" s="146"/>
      <c r="X863" s="156">
        <v>0</v>
      </c>
      <c r="Y863" s="156">
        <v>0</v>
      </c>
      <c r="Z863" s="157" t="s">
        <v>2703</v>
      </c>
      <c r="AA863" s="158">
        <v>2021</v>
      </c>
      <c r="AB863" s="158">
        <v>8</v>
      </c>
      <c r="AC863" s="158">
        <v>5</v>
      </c>
      <c r="AD863" s="122" t="b">
        <f>IF(ISBLANK(GroupMember[[#This Row],[1. Identifiant interne d’exploitation agricole*]]),"",IF(ISERROR(MATCH(GroupMember[[#This Row],[1. Identifiant interne d’exploitation agricole*]],CertifiedCrop[1. Identifiant interne d’exploitation agricole*],0)),FALSE,TRUE))</f>
        <v>1</v>
      </c>
      <c r="AE863" s="122" t="b">
        <f>IF(ISBLANK(GroupMember[[#This Row],[1. Identifiant interne d’exploitation agricole*]]),"",IF(ISERROR(MATCH(GroupMember[[#This Row],[1. Identifiant interne d’exploitation agricole*]],FarmUnit[1. Identifiant interne d’exploitation agricole*],0)),FALSE,TRUE))</f>
        <v>1</v>
      </c>
      <c r="AF863" s="9" t="str">
        <f t="shared" si="39"/>
        <v>OUATTARA YAYA</v>
      </c>
      <c r="AG863" s="243" t="str">
        <f t="shared" si="40"/>
        <v>5/8/2021</v>
      </c>
      <c r="AH863" s="51">
        <f>COUNTIFS(Z:Z,Z863,AG:AG,AG863)</f>
        <v>5</v>
      </c>
      <c r="AI863" s="49">
        <f t="shared" si="41"/>
        <v>0</v>
      </c>
    </row>
    <row r="864" spans="1:35" ht="15" x14ac:dyDescent="0.2">
      <c r="A864" s="193" t="s">
        <v>2950</v>
      </c>
      <c r="B864" s="146" t="s">
        <v>668</v>
      </c>
      <c r="C864" s="193" t="s">
        <v>2950</v>
      </c>
      <c r="D864" s="175" t="s">
        <v>2948</v>
      </c>
      <c r="E864" s="146" t="s">
        <v>670</v>
      </c>
      <c r="F864" s="146" t="s">
        <v>671</v>
      </c>
      <c r="G864" s="146" t="s">
        <v>672</v>
      </c>
      <c r="H864" s="175">
        <v>3.66</v>
      </c>
      <c r="I864" s="146" t="s">
        <v>673</v>
      </c>
      <c r="J864" s="220">
        <v>1</v>
      </c>
      <c r="K864" s="150">
        <v>2021</v>
      </c>
      <c r="L864" s="221" t="s">
        <v>2951</v>
      </c>
      <c r="M864" s="221" t="s">
        <v>1376</v>
      </c>
      <c r="N864" s="202"/>
      <c r="O864" s="223" t="s">
        <v>2952</v>
      </c>
      <c r="P864" s="219" t="s">
        <v>676</v>
      </c>
      <c r="Q864" s="150">
        <v>1985</v>
      </c>
      <c r="R864" s="155">
        <v>5</v>
      </c>
      <c r="S864" s="168"/>
      <c r="T864" s="168"/>
      <c r="U864" s="146"/>
      <c r="V864" s="146"/>
      <c r="W864" s="146"/>
      <c r="X864" s="156">
        <v>0</v>
      </c>
      <c r="Y864" s="156">
        <v>0</v>
      </c>
      <c r="Z864" s="157" t="s">
        <v>2703</v>
      </c>
      <c r="AA864" s="158">
        <v>2021</v>
      </c>
      <c r="AB864" s="158">
        <v>8</v>
      </c>
      <c r="AC864" s="158">
        <v>10</v>
      </c>
      <c r="AD864" s="122" t="b">
        <f>IF(ISBLANK(GroupMember[[#This Row],[1. Identifiant interne d’exploitation agricole*]]),"",IF(ISERROR(MATCH(GroupMember[[#This Row],[1. Identifiant interne d’exploitation agricole*]],CertifiedCrop[1. Identifiant interne d’exploitation agricole*],0)),FALSE,TRUE))</f>
        <v>1</v>
      </c>
      <c r="AE864" s="122" t="b">
        <f>IF(ISBLANK(GroupMember[[#This Row],[1. Identifiant interne d’exploitation agricole*]]),"",IF(ISERROR(MATCH(GroupMember[[#This Row],[1. Identifiant interne d’exploitation agricole*]],FarmUnit[1. Identifiant interne d’exploitation agricole*],0)),FALSE,TRUE))</f>
        <v>1</v>
      </c>
      <c r="AF864" s="9" t="str">
        <f t="shared" si="39"/>
        <v>TRAORE  ISSA</v>
      </c>
      <c r="AG864" s="243" t="str">
        <f t="shared" si="40"/>
        <v>10/8/2021</v>
      </c>
      <c r="AH864" s="51">
        <f>COUNTIFS(Z:Z,Z864,AG:AG,AG864)</f>
        <v>4</v>
      </c>
      <c r="AI864" s="49">
        <f t="shared" si="41"/>
        <v>0</v>
      </c>
    </row>
    <row r="865" spans="1:35" ht="15" x14ac:dyDescent="0.2">
      <c r="A865" s="193" t="s">
        <v>2953</v>
      </c>
      <c r="B865" s="146" t="s">
        <v>668</v>
      </c>
      <c r="C865" s="193" t="s">
        <v>2953</v>
      </c>
      <c r="D865" s="175" t="s">
        <v>2948</v>
      </c>
      <c r="E865" s="146" t="s">
        <v>670</v>
      </c>
      <c r="F865" s="146" t="s">
        <v>671</v>
      </c>
      <c r="G865" s="146" t="s">
        <v>672</v>
      </c>
      <c r="H865" s="175">
        <v>4.5599999999999996</v>
      </c>
      <c r="I865" s="146" t="s">
        <v>673</v>
      </c>
      <c r="J865" s="220">
        <v>1</v>
      </c>
      <c r="K865" s="150">
        <v>2021</v>
      </c>
      <c r="L865" s="221" t="s">
        <v>2954</v>
      </c>
      <c r="M865" s="221" t="s">
        <v>2955</v>
      </c>
      <c r="N865" s="202">
        <v>758096057</v>
      </c>
      <c r="O865" s="223"/>
      <c r="P865" s="219" t="s">
        <v>676</v>
      </c>
      <c r="Q865" s="299"/>
      <c r="R865" s="155">
        <v>6</v>
      </c>
      <c r="S865" s="168"/>
      <c r="T865" s="168"/>
      <c r="U865" s="146"/>
      <c r="V865" s="146"/>
      <c r="W865" s="146"/>
      <c r="X865" s="156">
        <v>0</v>
      </c>
      <c r="Y865" s="156">
        <v>0</v>
      </c>
      <c r="Z865" s="157" t="s">
        <v>2703</v>
      </c>
      <c r="AA865" s="158">
        <v>2021</v>
      </c>
      <c r="AB865" s="158">
        <v>8</v>
      </c>
      <c r="AC865" s="158">
        <v>16</v>
      </c>
      <c r="AD865" s="122" t="b">
        <f>IF(ISBLANK(GroupMember[[#This Row],[1. Identifiant interne d’exploitation agricole*]]),"",IF(ISERROR(MATCH(GroupMember[[#This Row],[1. Identifiant interne d’exploitation agricole*]],CertifiedCrop[1. Identifiant interne d’exploitation agricole*],0)),FALSE,TRUE))</f>
        <v>1</v>
      </c>
      <c r="AE865" s="122" t="b">
        <f>IF(ISBLANK(GroupMember[[#This Row],[1. Identifiant interne d’exploitation agricole*]]),"",IF(ISERROR(MATCH(GroupMember[[#This Row],[1. Identifiant interne d’exploitation agricole*]],FarmUnit[1. Identifiant interne d’exploitation agricole*],0)),FALSE,TRUE))</f>
        <v>1</v>
      </c>
      <c r="AF865" s="9" t="str">
        <f t="shared" si="39"/>
        <v>SOM TCHOULARE</v>
      </c>
      <c r="AG865" s="243" t="str">
        <f t="shared" si="40"/>
        <v>16/8/2021</v>
      </c>
      <c r="AH865" s="51">
        <f>COUNTIFS(Z:Z,Z865,AG:AG,AG865)</f>
        <v>3</v>
      </c>
      <c r="AI865" s="49">
        <f t="shared" si="41"/>
        <v>0</v>
      </c>
    </row>
    <row r="866" spans="1:35" ht="15" x14ac:dyDescent="0.2">
      <c r="A866" s="193" t="s">
        <v>2956</v>
      </c>
      <c r="B866" s="146" t="s">
        <v>668</v>
      </c>
      <c r="C866" s="193" t="s">
        <v>2956</v>
      </c>
      <c r="D866" s="175" t="s">
        <v>2957</v>
      </c>
      <c r="E866" s="146" t="s">
        <v>670</v>
      </c>
      <c r="F866" s="146" t="s">
        <v>671</v>
      </c>
      <c r="G866" s="146" t="s">
        <v>672</v>
      </c>
      <c r="H866" s="175">
        <v>4.6900000000000004</v>
      </c>
      <c r="I866" s="146" t="s">
        <v>673</v>
      </c>
      <c r="J866" s="220">
        <v>2</v>
      </c>
      <c r="K866" s="150">
        <v>2021</v>
      </c>
      <c r="L866" s="221" t="s">
        <v>2958</v>
      </c>
      <c r="M866" s="221" t="s">
        <v>2959</v>
      </c>
      <c r="N866" s="202">
        <v>709588518</v>
      </c>
      <c r="O866" s="223" t="s">
        <v>2960</v>
      </c>
      <c r="P866" s="219" t="s">
        <v>676</v>
      </c>
      <c r="Q866" s="150">
        <v>1977</v>
      </c>
      <c r="R866" s="155">
        <v>5</v>
      </c>
      <c r="S866" s="168"/>
      <c r="T866" s="168"/>
      <c r="U866" s="146"/>
      <c r="V866" s="146"/>
      <c r="W866" s="146"/>
      <c r="X866" s="156">
        <v>0</v>
      </c>
      <c r="Y866" s="156">
        <v>0</v>
      </c>
      <c r="Z866" s="157" t="s">
        <v>2703</v>
      </c>
      <c r="AA866" s="158">
        <v>2021</v>
      </c>
      <c r="AB866" s="158">
        <v>8</v>
      </c>
      <c r="AC866" s="158">
        <v>13</v>
      </c>
      <c r="AD866" s="122" t="b">
        <f>IF(ISBLANK(GroupMember[[#This Row],[1. Identifiant interne d’exploitation agricole*]]),"",IF(ISERROR(MATCH(GroupMember[[#This Row],[1. Identifiant interne d’exploitation agricole*]],CertifiedCrop[1. Identifiant interne d’exploitation agricole*],0)),FALSE,TRUE))</f>
        <v>1</v>
      </c>
      <c r="AE866" s="122" t="b">
        <f>IF(ISBLANK(GroupMember[[#This Row],[1. Identifiant interne d’exploitation agricole*]]),"",IF(ISERROR(MATCH(GroupMember[[#This Row],[1. Identifiant interne d’exploitation agricole*]],FarmUnit[1. Identifiant interne d’exploitation agricole*],0)),FALSE,TRUE))</f>
        <v>1</v>
      </c>
      <c r="AF866" s="9" t="str">
        <f t="shared" si="39"/>
        <v xml:space="preserve">YOBOUET  AMANI ALAIN       </v>
      </c>
      <c r="AG866" s="243" t="str">
        <f t="shared" si="40"/>
        <v>13/8/2021</v>
      </c>
      <c r="AH866" s="51">
        <f>COUNTIFS(Z:Z,Z866,AG:AG,AG866)</f>
        <v>4</v>
      </c>
      <c r="AI866" s="49">
        <f t="shared" si="41"/>
        <v>0</v>
      </c>
    </row>
    <row r="867" spans="1:35" ht="15" x14ac:dyDescent="0.2">
      <c r="A867" s="193" t="s">
        <v>2961</v>
      </c>
      <c r="B867" s="146" t="s">
        <v>668</v>
      </c>
      <c r="C867" s="193" t="s">
        <v>2961</v>
      </c>
      <c r="D867" s="175" t="s">
        <v>2957</v>
      </c>
      <c r="E867" s="146" t="s">
        <v>670</v>
      </c>
      <c r="F867" s="146" t="s">
        <v>671</v>
      </c>
      <c r="G867" s="146" t="s">
        <v>672</v>
      </c>
      <c r="H867" s="175">
        <v>3.21</v>
      </c>
      <c r="I867" s="146" t="s">
        <v>673</v>
      </c>
      <c r="J867" s="220">
        <v>1</v>
      </c>
      <c r="K867" s="150">
        <v>2021</v>
      </c>
      <c r="L867" s="221" t="s">
        <v>1670</v>
      </c>
      <c r="M867" s="221" t="s">
        <v>2962</v>
      </c>
      <c r="N867" s="202">
        <v>757004516</v>
      </c>
      <c r="O867" s="223" t="s">
        <v>2963</v>
      </c>
      <c r="P867" s="219" t="s">
        <v>676</v>
      </c>
      <c r="Q867" s="150">
        <v>1989</v>
      </c>
      <c r="R867" s="155">
        <v>8</v>
      </c>
      <c r="S867" s="168"/>
      <c r="T867" s="168"/>
      <c r="U867" s="146"/>
      <c r="V867" s="146"/>
      <c r="W867" s="146"/>
      <c r="X867" s="156">
        <v>0</v>
      </c>
      <c r="Y867" s="156">
        <v>0</v>
      </c>
      <c r="Z867" s="157" t="s">
        <v>2703</v>
      </c>
      <c r="AA867" s="158">
        <v>2021</v>
      </c>
      <c r="AB867" s="158">
        <v>8</v>
      </c>
      <c r="AC867" s="158">
        <v>11</v>
      </c>
      <c r="AD867" s="122" t="b">
        <f>IF(ISBLANK(GroupMember[[#This Row],[1. Identifiant interne d’exploitation agricole*]]),"",IF(ISERROR(MATCH(GroupMember[[#This Row],[1. Identifiant interne d’exploitation agricole*]],CertifiedCrop[1. Identifiant interne d’exploitation agricole*],0)),FALSE,TRUE))</f>
        <v>1</v>
      </c>
      <c r="AE867" s="122" t="b">
        <f>IF(ISBLANK(GroupMember[[#This Row],[1. Identifiant interne d’exploitation agricole*]]),"",IF(ISERROR(MATCH(GroupMember[[#This Row],[1. Identifiant interne d’exploitation agricole*]],FarmUnit[1. Identifiant interne d’exploitation agricole*],0)),FALSE,TRUE))</f>
        <v>1</v>
      </c>
      <c r="AF867" s="9" t="str">
        <f t="shared" si="39"/>
        <v>YAO YAO RENE</v>
      </c>
      <c r="AG867" s="243" t="str">
        <f t="shared" si="40"/>
        <v>11/8/2021</v>
      </c>
      <c r="AH867" s="51">
        <f>COUNTIFS(Z:Z,Z867,AG:AG,AG867)</f>
        <v>4</v>
      </c>
      <c r="AI867" s="49">
        <f t="shared" si="41"/>
        <v>0</v>
      </c>
    </row>
    <row r="868" spans="1:35" ht="15" x14ac:dyDescent="0.2">
      <c r="A868" s="193" t="s">
        <v>2964</v>
      </c>
      <c r="B868" s="146" t="s">
        <v>668</v>
      </c>
      <c r="C868" s="193" t="s">
        <v>2964</v>
      </c>
      <c r="D868" s="175" t="s">
        <v>2965</v>
      </c>
      <c r="E868" s="146" t="s">
        <v>670</v>
      </c>
      <c r="F868" s="146" t="s">
        <v>671</v>
      </c>
      <c r="G868" s="146" t="s">
        <v>672</v>
      </c>
      <c r="H868" s="175">
        <v>2.73</v>
      </c>
      <c r="I868" s="146" t="s">
        <v>673</v>
      </c>
      <c r="J868" s="220">
        <v>1</v>
      </c>
      <c r="K868" s="150">
        <v>2021</v>
      </c>
      <c r="L868" s="221" t="s">
        <v>2966</v>
      </c>
      <c r="M868" s="221" t="s">
        <v>2967</v>
      </c>
      <c r="N868" s="202">
        <v>505042807</v>
      </c>
      <c r="O868" s="223" t="s">
        <v>2968</v>
      </c>
      <c r="P868" s="219" t="s">
        <v>676</v>
      </c>
      <c r="Q868" s="150">
        <v>1973</v>
      </c>
      <c r="R868" s="155">
        <v>7</v>
      </c>
      <c r="S868" s="168"/>
      <c r="T868" s="168"/>
      <c r="U868" s="146"/>
      <c r="V868" s="146"/>
      <c r="W868" s="146"/>
      <c r="X868" s="156">
        <v>0</v>
      </c>
      <c r="Y868" s="156">
        <v>0</v>
      </c>
      <c r="Z868" s="157" t="s">
        <v>2703</v>
      </c>
      <c r="AA868" s="158">
        <v>2021</v>
      </c>
      <c r="AB868" s="158">
        <v>8</v>
      </c>
      <c r="AC868" s="158">
        <v>16</v>
      </c>
      <c r="AD868" s="122" t="b">
        <f>IF(ISBLANK(GroupMember[[#This Row],[1. Identifiant interne d’exploitation agricole*]]),"",IF(ISERROR(MATCH(GroupMember[[#This Row],[1. Identifiant interne d’exploitation agricole*]],CertifiedCrop[1. Identifiant interne d’exploitation agricole*],0)),FALSE,TRUE))</f>
        <v>1</v>
      </c>
      <c r="AE868" s="122" t="b">
        <f>IF(ISBLANK(GroupMember[[#This Row],[1. Identifiant interne d’exploitation agricole*]]),"",IF(ISERROR(MATCH(GroupMember[[#This Row],[1. Identifiant interne d’exploitation agricole*]],FarmUnit[1. Identifiant interne d’exploitation agricole*],0)),FALSE,TRUE))</f>
        <v>1</v>
      </c>
      <c r="AF868" s="9" t="str">
        <f t="shared" si="39"/>
        <v>N'GUESSAN KONAN ALBERT</v>
      </c>
      <c r="AG868" s="243" t="str">
        <f t="shared" si="40"/>
        <v>16/8/2021</v>
      </c>
      <c r="AH868" s="51">
        <f>COUNTIFS(Z:Z,Z868,AG:AG,AG868)</f>
        <v>3</v>
      </c>
      <c r="AI868" s="49">
        <f t="shared" si="41"/>
        <v>0</v>
      </c>
    </row>
    <row r="869" spans="1:35" ht="15" x14ac:dyDescent="0.2">
      <c r="A869" s="193" t="s">
        <v>2969</v>
      </c>
      <c r="B869" s="146" t="s">
        <v>668</v>
      </c>
      <c r="C869" s="193" t="s">
        <v>2969</v>
      </c>
      <c r="D869" s="175" t="s">
        <v>2965</v>
      </c>
      <c r="E869" s="146" t="s">
        <v>670</v>
      </c>
      <c r="F869" s="146" t="s">
        <v>671</v>
      </c>
      <c r="G869" s="146" t="s">
        <v>672</v>
      </c>
      <c r="H869" s="175">
        <v>3.55</v>
      </c>
      <c r="I869" s="146" t="s">
        <v>673</v>
      </c>
      <c r="J869" s="220">
        <v>1</v>
      </c>
      <c r="K869" s="150">
        <v>2021</v>
      </c>
      <c r="L869" s="221" t="s">
        <v>2970</v>
      </c>
      <c r="M869" s="221" t="s">
        <v>2971</v>
      </c>
      <c r="N869" s="202">
        <v>758203707</v>
      </c>
      <c r="O869" s="224"/>
      <c r="P869" s="219" t="s">
        <v>676</v>
      </c>
      <c r="Q869" s="299">
        <v>1972</v>
      </c>
      <c r="R869" s="155">
        <v>6</v>
      </c>
      <c r="S869" s="168"/>
      <c r="T869" s="168"/>
      <c r="U869" s="146"/>
      <c r="V869" s="146"/>
      <c r="W869" s="146"/>
      <c r="X869" s="156">
        <v>0</v>
      </c>
      <c r="Y869" s="156">
        <v>0</v>
      </c>
      <c r="Z869" s="157" t="s">
        <v>2703</v>
      </c>
      <c r="AA869" s="158">
        <v>2021</v>
      </c>
      <c r="AB869" s="158">
        <v>7</v>
      </c>
      <c r="AC869" s="158">
        <v>8</v>
      </c>
      <c r="AD869" s="122" t="b">
        <f>IF(ISBLANK(GroupMember[[#This Row],[1. Identifiant interne d’exploitation agricole*]]),"",IF(ISERROR(MATCH(GroupMember[[#This Row],[1. Identifiant interne d’exploitation agricole*]],CertifiedCrop[1. Identifiant interne d’exploitation agricole*],0)),FALSE,TRUE))</f>
        <v>1</v>
      </c>
      <c r="AE869" s="122" t="b">
        <f>IF(ISBLANK(GroupMember[[#This Row],[1. Identifiant interne d’exploitation agricole*]]),"",IF(ISERROR(MATCH(GroupMember[[#This Row],[1. Identifiant interne d’exploitation agricole*]],FarmUnit[1. Identifiant interne d’exploitation agricole*],0)),FALSE,TRUE))</f>
        <v>1</v>
      </c>
      <c r="AF869" s="9" t="str">
        <f t="shared" si="39"/>
        <v>TOURE  ADJIHA ANDERSON</v>
      </c>
      <c r="AG869" s="243" t="str">
        <f t="shared" si="40"/>
        <v>8/7/2021</v>
      </c>
      <c r="AH869" s="51">
        <f>COUNTIFS(Z:Z,Z869,AG:AG,AG869)</f>
        <v>5</v>
      </c>
      <c r="AI869" s="49">
        <f t="shared" si="41"/>
        <v>0</v>
      </c>
    </row>
    <row r="870" spans="1:35" ht="15" x14ac:dyDescent="0.2">
      <c r="A870" s="193" t="s">
        <v>2972</v>
      </c>
      <c r="B870" s="146" t="s">
        <v>668</v>
      </c>
      <c r="C870" s="193" t="s">
        <v>2972</v>
      </c>
      <c r="D870" s="175" t="s">
        <v>2965</v>
      </c>
      <c r="E870" s="146" t="s">
        <v>670</v>
      </c>
      <c r="F870" s="146" t="s">
        <v>671</v>
      </c>
      <c r="G870" s="146" t="s">
        <v>672</v>
      </c>
      <c r="H870" s="175">
        <v>2.7</v>
      </c>
      <c r="I870" s="146" t="s">
        <v>673</v>
      </c>
      <c r="J870" s="220">
        <v>1</v>
      </c>
      <c r="K870" s="150">
        <v>2021</v>
      </c>
      <c r="L870" s="221" t="s">
        <v>2973</v>
      </c>
      <c r="M870" s="221" t="s">
        <v>1774</v>
      </c>
      <c r="N870" s="202">
        <v>576849900</v>
      </c>
      <c r="O870" s="223" t="s">
        <v>2974</v>
      </c>
      <c r="P870" s="219" t="s">
        <v>676</v>
      </c>
      <c r="Q870" s="150">
        <v>1986</v>
      </c>
      <c r="R870" s="155">
        <v>5</v>
      </c>
      <c r="S870" s="168"/>
      <c r="T870" s="168"/>
      <c r="U870" s="146"/>
      <c r="V870" s="146"/>
      <c r="W870" s="146"/>
      <c r="X870" s="156">
        <v>0</v>
      </c>
      <c r="Y870" s="156">
        <v>0</v>
      </c>
      <c r="Z870" s="157" t="s">
        <v>2703</v>
      </c>
      <c r="AA870" s="158">
        <v>2021</v>
      </c>
      <c r="AB870" s="158">
        <v>7</v>
      </c>
      <c r="AC870" s="158">
        <v>16</v>
      </c>
      <c r="AD870" s="122" t="b">
        <f>IF(ISBLANK(GroupMember[[#This Row],[1. Identifiant interne d’exploitation agricole*]]),"",IF(ISERROR(MATCH(GroupMember[[#This Row],[1. Identifiant interne d’exploitation agricole*]],CertifiedCrop[1. Identifiant interne d’exploitation agricole*],0)),FALSE,TRUE))</f>
        <v>1</v>
      </c>
      <c r="AE870" s="122" t="b">
        <f>IF(ISBLANK(GroupMember[[#This Row],[1. Identifiant interne d’exploitation agricole*]]),"",IF(ISERROR(MATCH(GroupMember[[#This Row],[1. Identifiant interne d’exploitation agricole*]],FarmUnit[1. Identifiant interne d’exploitation agricole*],0)),FALSE,TRUE))</f>
        <v>1</v>
      </c>
      <c r="AF870" s="9" t="str">
        <f t="shared" si="39"/>
        <v>PEH COULIBALY</v>
      </c>
      <c r="AG870" s="243" t="str">
        <f t="shared" si="40"/>
        <v>16/7/2021</v>
      </c>
      <c r="AH870" s="51">
        <f>COUNTIFS(Z:Z,Z870,AG:AG,AG870)</f>
        <v>4</v>
      </c>
      <c r="AI870" s="49">
        <f t="shared" si="41"/>
        <v>0</v>
      </c>
    </row>
    <row r="871" spans="1:35" ht="15" x14ac:dyDescent="0.2">
      <c r="A871" s="193" t="s">
        <v>2975</v>
      </c>
      <c r="B871" s="146" t="s">
        <v>668</v>
      </c>
      <c r="C871" s="193" t="s">
        <v>2975</v>
      </c>
      <c r="D871" s="175" t="s">
        <v>2965</v>
      </c>
      <c r="E871" s="146" t="s">
        <v>670</v>
      </c>
      <c r="F871" s="146" t="s">
        <v>671</v>
      </c>
      <c r="G871" s="146" t="s">
        <v>672</v>
      </c>
      <c r="H871" s="175">
        <v>3.24</v>
      </c>
      <c r="I871" s="146" t="s">
        <v>673</v>
      </c>
      <c r="J871" s="220">
        <v>1</v>
      </c>
      <c r="K871" s="150">
        <v>2021</v>
      </c>
      <c r="L871" s="221" t="s">
        <v>2970</v>
      </c>
      <c r="M871" s="221" t="s">
        <v>2976</v>
      </c>
      <c r="N871" s="202">
        <v>586911803</v>
      </c>
      <c r="O871" s="223"/>
      <c r="P871" s="219" t="s">
        <v>676</v>
      </c>
      <c r="Q871" s="299"/>
      <c r="R871" s="155">
        <v>6</v>
      </c>
      <c r="S871" s="168"/>
      <c r="T871" s="168"/>
      <c r="U871" s="146"/>
      <c r="V871" s="146"/>
      <c r="W871" s="146"/>
      <c r="X871" s="156">
        <v>0</v>
      </c>
      <c r="Y871" s="156">
        <v>0</v>
      </c>
      <c r="Z871" s="157" t="s">
        <v>2703</v>
      </c>
      <c r="AA871" s="158">
        <v>2021</v>
      </c>
      <c r="AB871" s="158">
        <v>8</v>
      </c>
      <c r="AC871" s="158">
        <v>10</v>
      </c>
      <c r="AD871" s="122" t="b">
        <f>IF(ISBLANK(GroupMember[[#This Row],[1. Identifiant interne d’exploitation agricole*]]),"",IF(ISERROR(MATCH(GroupMember[[#This Row],[1. Identifiant interne d’exploitation agricole*]],CertifiedCrop[1. Identifiant interne d’exploitation agricole*],0)),FALSE,TRUE))</f>
        <v>1</v>
      </c>
      <c r="AE871" s="122" t="b">
        <f>IF(ISBLANK(GroupMember[[#This Row],[1. Identifiant interne d’exploitation agricole*]]),"",IF(ISERROR(MATCH(GroupMember[[#This Row],[1. Identifiant interne d’exploitation agricole*]],FarmUnit[1. Identifiant interne d’exploitation agricole*],0)),FALSE,TRUE))</f>
        <v>1</v>
      </c>
      <c r="AF871" s="9" t="str">
        <f t="shared" si="39"/>
        <v>TOURE  KADJENAMBIN CLEMENT</v>
      </c>
      <c r="AG871" s="243" t="str">
        <f t="shared" si="40"/>
        <v>10/8/2021</v>
      </c>
      <c r="AH871" s="51">
        <f>COUNTIFS(Z:Z,Z871,AG:AG,AG871)</f>
        <v>4</v>
      </c>
      <c r="AI871" s="49">
        <f t="shared" si="41"/>
        <v>0</v>
      </c>
    </row>
    <row r="872" spans="1:35" ht="15" x14ac:dyDescent="0.2">
      <c r="A872" s="193" t="s">
        <v>2977</v>
      </c>
      <c r="B872" s="146" t="s">
        <v>668</v>
      </c>
      <c r="C872" s="193" t="s">
        <v>2977</v>
      </c>
      <c r="D872" s="175" t="s">
        <v>2948</v>
      </c>
      <c r="E872" s="146" t="s">
        <v>670</v>
      </c>
      <c r="F872" s="146" t="s">
        <v>671</v>
      </c>
      <c r="G872" s="146" t="s">
        <v>672</v>
      </c>
      <c r="H872" s="175">
        <v>4.29</v>
      </c>
      <c r="I872" s="146" t="s">
        <v>673</v>
      </c>
      <c r="J872" s="220">
        <v>1</v>
      </c>
      <c r="K872" s="150">
        <v>2021</v>
      </c>
      <c r="L872" s="221" t="s">
        <v>1284</v>
      </c>
      <c r="M872" s="221" t="s">
        <v>2199</v>
      </c>
      <c r="N872" s="202">
        <v>504423788</v>
      </c>
      <c r="O872" s="223" t="s">
        <v>2978</v>
      </c>
      <c r="P872" s="219" t="s">
        <v>676</v>
      </c>
      <c r="Q872" s="150">
        <v>1992</v>
      </c>
      <c r="R872" s="155">
        <v>8</v>
      </c>
      <c r="S872" s="168"/>
      <c r="T872" s="168"/>
      <c r="U872" s="146"/>
      <c r="V872" s="146"/>
      <c r="W872" s="146"/>
      <c r="X872" s="156">
        <v>0</v>
      </c>
      <c r="Y872" s="156">
        <v>0</v>
      </c>
      <c r="Z872" s="157" t="s">
        <v>2703</v>
      </c>
      <c r="AA872" s="158">
        <v>2021</v>
      </c>
      <c r="AB872" s="158">
        <v>8</v>
      </c>
      <c r="AC872" s="158">
        <v>12</v>
      </c>
      <c r="AD872" s="122" t="b">
        <f>IF(ISBLANK(GroupMember[[#This Row],[1. Identifiant interne d’exploitation agricole*]]),"",IF(ISERROR(MATCH(GroupMember[[#This Row],[1. Identifiant interne d’exploitation agricole*]],CertifiedCrop[1. Identifiant interne d’exploitation agricole*],0)),FALSE,TRUE))</f>
        <v>1</v>
      </c>
      <c r="AE872" s="122" t="b">
        <f>IF(ISBLANK(GroupMember[[#This Row],[1. Identifiant interne d’exploitation agricole*]]),"",IF(ISERROR(MATCH(GroupMember[[#This Row],[1. Identifiant interne d’exploitation agricole*]],FarmUnit[1. Identifiant interne d’exploitation agricole*],0)),FALSE,TRUE))</f>
        <v>1</v>
      </c>
      <c r="AF872" s="9" t="str">
        <f t="shared" si="39"/>
        <v>CISSE MOUSSA</v>
      </c>
      <c r="AG872" s="243" t="str">
        <f t="shared" si="40"/>
        <v>12/8/2021</v>
      </c>
      <c r="AH872" s="51">
        <f>COUNTIFS(Z:Z,Z872,AG:AG,AG872)</f>
        <v>4</v>
      </c>
      <c r="AI872" s="49">
        <f t="shared" si="41"/>
        <v>0</v>
      </c>
    </row>
    <row r="873" spans="1:35" ht="15" x14ac:dyDescent="0.2">
      <c r="A873" s="193" t="s">
        <v>2979</v>
      </c>
      <c r="B873" s="146" t="s">
        <v>668</v>
      </c>
      <c r="C873" s="193" t="s">
        <v>2979</v>
      </c>
      <c r="D873" s="175" t="s">
        <v>2948</v>
      </c>
      <c r="E873" s="146" t="s">
        <v>670</v>
      </c>
      <c r="F873" s="146" t="s">
        <v>671</v>
      </c>
      <c r="G873" s="146" t="s">
        <v>672</v>
      </c>
      <c r="H873" s="175">
        <v>2.5</v>
      </c>
      <c r="I873" s="146" t="s">
        <v>673</v>
      </c>
      <c r="J873" s="220">
        <v>1</v>
      </c>
      <c r="K873" s="150">
        <v>2021</v>
      </c>
      <c r="L873" s="221" t="s">
        <v>1982</v>
      </c>
      <c r="M873" s="221" t="s">
        <v>2980</v>
      </c>
      <c r="N873" s="202"/>
      <c r="O873" s="223"/>
      <c r="P873" s="219" t="s">
        <v>676</v>
      </c>
      <c r="Q873" s="299"/>
      <c r="R873" s="155">
        <v>7</v>
      </c>
      <c r="S873" s="168"/>
      <c r="T873" s="168"/>
      <c r="U873" s="146"/>
      <c r="V873" s="146"/>
      <c r="W873" s="146"/>
      <c r="X873" s="156">
        <v>0</v>
      </c>
      <c r="Y873" s="156">
        <v>0</v>
      </c>
      <c r="Z873" s="157" t="s">
        <v>2703</v>
      </c>
      <c r="AA873" s="158">
        <v>2021</v>
      </c>
      <c r="AB873" s="158">
        <v>8</v>
      </c>
      <c r="AC873" s="158">
        <v>14</v>
      </c>
      <c r="AD873" s="122" t="b">
        <f>IF(ISBLANK(GroupMember[[#This Row],[1. Identifiant interne d’exploitation agricole*]]),"",IF(ISERROR(MATCH(GroupMember[[#This Row],[1. Identifiant interne d’exploitation agricole*]],CertifiedCrop[1. Identifiant interne d’exploitation agricole*],0)),FALSE,TRUE))</f>
        <v>1</v>
      </c>
      <c r="AE873" s="122" t="b">
        <f>IF(ISBLANK(GroupMember[[#This Row],[1. Identifiant interne d’exploitation agricole*]]),"",IF(ISERROR(MATCH(GroupMember[[#This Row],[1. Identifiant interne d’exploitation agricole*]],FarmUnit[1. Identifiant interne d’exploitation agricole*],0)),FALSE,TRUE))</f>
        <v>1</v>
      </c>
      <c r="AF873" s="9" t="str">
        <f t="shared" si="39"/>
        <v>LADJI SEKONBO</v>
      </c>
      <c r="AG873" s="243" t="str">
        <f t="shared" si="40"/>
        <v>14/8/2021</v>
      </c>
      <c r="AH873" s="51">
        <f>COUNTIFS(Z:Z,Z873,AG:AG,AG873)</f>
        <v>4</v>
      </c>
      <c r="AI873" s="49">
        <f t="shared" si="41"/>
        <v>0</v>
      </c>
    </row>
    <row r="874" spans="1:35" ht="15" x14ac:dyDescent="0.2">
      <c r="A874" s="193" t="s">
        <v>2981</v>
      </c>
      <c r="B874" s="146" t="s">
        <v>668</v>
      </c>
      <c r="C874" s="193" t="s">
        <v>2981</v>
      </c>
      <c r="D874" s="175" t="s">
        <v>2948</v>
      </c>
      <c r="E874" s="146" t="s">
        <v>670</v>
      </c>
      <c r="F874" s="146" t="s">
        <v>671</v>
      </c>
      <c r="G874" s="146" t="s">
        <v>672</v>
      </c>
      <c r="H874" s="175">
        <v>4.67</v>
      </c>
      <c r="I874" s="146" t="s">
        <v>673</v>
      </c>
      <c r="J874" s="220">
        <v>3</v>
      </c>
      <c r="K874" s="150">
        <v>2021</v>
      </c>
      <c r="L874" s="221" t="s">
        <v>2982</v>
      </c>
      <c r="M874" s="221" t="s">
        <v>2983</v>
      </c>
      <c r="N874" s="202">
        <v>584738639</v>
      </c>
      <c r="O874" s="223" t="s">
        <v>2984</v>
      </c>
      <c r="P874" s="219" t="s">
        <v>676</v>
      </c>
      <c r="Q874" s="150">
        <v>1984</v>
      </c>
      <c r="R874" s="155">
        <v>4</v>
      </c>
      <c r="S874" s="168"/>
      <c r="T874" s="168"/>
      <c r="U874" s="146"/>
      <c r="V874" s="146"/>
      <c r="W874" s="146"/>
      <c r="X874" s="156">
        <v>0</v>
      </c>
      <c r="Y874" s="156">
        <v>0</v>
      </c>
      <c r="Z874" s="157" t="s">
        <v>2703</v>
      </c>
      <c r="AA874" s="158">
        <v>2021</v>
      </c>
      <c r="AB874" s="158">
        <v>8</v>
      </c>
      <c r="AC874" s="158">
        <v>16</v>
      </c>
      <c r="AD874" s="122" t="b">
        <f>IF(ISBLANK(GroupMember[[#This Row],[1. Identifiant interne d’exploitation agricole*]]),"",IF(ISERROR(MATCH(GroupMember[[#This Row],[1. Identifiant interne d’exploitation agricole*]],CertifiedCrop[1. Identifiant interne d’exploitation agricole*],0)),FALSE,TRUE))</f>
        <v>1</v>
      </c>
      <c r="AE874" s="122" t="b">
        <f>IF(ISBLANK(GroupMember[[#This Row],[1. Identifiant interne d’exploitation agricole*]]),"",IF(ISERROR(MATCH(GroupMember[[#This Row],[1. Identifiant interne d’exploitation agricole*]],FarmUnit[1. Identifiant interne d’exploitation agricole*],0)),FALSE,TRUE))</f>
        <v>1</v>
      </c>
      <c r="AF874" s="9" t="str">
        <f t="shared" si="39"/>
        <v xml:space="preserve">BELEM MADI        </v>
      </c>
      <c r="AG874" s="243" t="str">
        <f t="shared" si="40"/>
        <v>16/8/2021</v>
      </c>
      <c r="AH874" s="51">
        <f>COUNTIFS(Z:Z,Z874,AG:AG,AG874)</f>
        <v>3</v>
      </c>
      <c r="AI874" s="49">
        <f t="shared" si="41"/>
        <v>0</v>
      </c>
    </row>
    <row r="875" spans="1:35" ht="15" x14ac:dyDescent="0.2">
      <c r="A875" s="193" t="s">
        <v>2985</v>
      </c>
      <c r="B875" s="146" t="s">
        <v>668</v>
      </c>
      <c r="C875" s="193" t="s">
        <v>2985</v>
      </c>
      <c r="D875" s="175" t="s">
        <v>2948</v>
      </c>
      <c r="E875" s="146" t="s">
        <v>670</v>
      </c>
      <c r="F875" s="146" t="s">
        <v>671</v>
      </c>
      <c r="G875" s="146" t="s">
        <v>672</v>
      </c>
      <c r="H875" s="175">
        <v>2.92</v>
      </c>
      <c r="I875" s="146" t="s">
        <v>673</v>
      </c>
      <c r="J875" s="220">
        <v>1</v>
      </c>
      <c r="K875" s="150">
        <v>2021</v>
      </c>
      <c r="L875" s="221" t="s">
        <v>2986</v>
      </c>
      <c r="M875" s="221" t="s">
        <v>2987</v>
      </c>
      <c r="N875" s="202">
        <v>576434759</v>
      </c>
      <c r="O875" s="223"/>
      <c r="P875" s="219" t="s">
        <v>676</v>
      </c>
      <c r="Q875" s="299">
        <v>1981</v>
      </c>
      <c r="R875" s="155">
        <v>5</v>
      </c>
      <c r="S875" s="168"/>
      <c r="T875" s="168"/>
      <c r="U875" s="146"/>
      <c r="V875" s="146"/>
      <c r="W875" s="146"/>
      <c r="X875" s="156">
        <v>0</v>
      </c>
      <c r="Y875" s="156">
        <v>0</v>
      </c>
      <c r="Z875" s="157" t="s">
        <v>2703</v>
      </c>
      <c r="AA875" s="158">
        <v>2021</v>
      </c>
      <c r="AB875" s="158">
        <v>8</v>
      </c>
      <c r="AC875" s="158">
        <v>10</v>
      </c>
      <c r="AD875" s="122" t="b">
        <f>IF(ISBLANK(GroupMember[[#This Row],[1. Identifiant interne d’exploitation agricole*]]),"",IF(ISERROR(MATCH(GroupMember[[#This Row],[1. Identifiant interne d’exploitation agricole*]],CertifiedCrop[1. Identifiant interne d’exploitation agricole*],0)),FALSE,TRUE))</f>
        <v>1</v>
      </c>
      <c r="AE875" s="122" t="b">
        <f>IF(ISBLANK(GroupMember[[#This Row],[1. Identifiant interne d’exploitation agricole*]]),"",IF(ISERROR(MATCH(GroupMember[[#This Row],[1. Identifiant interne d’exploitation agricole*]],FarmUnit[1. Identifiant interne d’exploitation agricole*],0)),FALSE,TRUE))</f>
        <v>1</v>
      </c>
      <c r="AF875" s="9" t="str">
        <f t="shared" si="39"/>
        <v>PALE KIGI</v>
      </c>
      <c r="AG875" s="243" t="str">
        <f t="shared" si="40"/>
        <v>10/8/2021</v>
      </c>
      <c r="AH875" s="51">
        <f>COUNTIFS(Z:Z,Z875,AG:AG,AG875)</f>
        <v>4</v>
      </c>
      <c r="AI875" s="49">
        <f t="shared" si="41"/>
        <v>0</v>
      </c>
    </row>
    <row r="876" spans="1:35" ht="15" x14ac:dyDescent="0.2">
      <c r="A876" s="193" t="s">
        <v>2988</v>
      </c>
      <c r="B876" s="146" t="s">
        <v>668</v>
      </c>
      <c r="C876" s="193" t="s">
        <v>2988</v>
      </c>
      <c r="D876" s="175" t="s">
        <v>2948</v>
      </c>
      <c r="E876" s="146" t="s">
        <v>670</v>
      </c>
      <c r="F876" s="146" t="s">
        <v>671</v>
      </c>
      <c r="G876" s="146" t="s">
        <v>672</v>
      </c>
      <c r="H876" s="175">
        <v>6.25</v>
      </c>
      <c r="I876" s="146" t="s">
        <v>673</v>
      </c>
      <c r="J876" s="220">
        <v>1</v>
      </c>
      <c r="K876" s="150">
        <v>2021</v>
      </c>
      <c r="L876" s="221" t="s">
        <v>2989</v>
      </c>
      <c r="M876" s="221" t="s">
        <v>2990</v>
      </c>
      <c r="N876" s="202">
        <v>506337761</v>
      </c>
      <c r="O876" s="223" t="s">
        <v>2991</v>
      </c>
      <c r="P876" s="219" t="s">
        <v>676</v>
      </c>
      <c r="Q876" s="150">
        <v>1980</v>
      </c>
      <c r="R876" s="155">
        <v>7</v>
      </c>
      <c r="S876" s="168"/>
      <c r="T876" s="168"/>
      <c r="U876" s="146"/>
      <c r="V876" s="146"/>
      <c r="W876" s="146"/>
      <c r="X876" s="156">
        <v>0</v>
      </c>
      <c r="Y876" s="156">
        <v>0</v>
      </c>
      <c r="Z876" s="157" t="s">
        <v>2703</v>
      </c>
      <c r="AA876" s="158">
        <v>2021</v>
      </c>
      <c r="AB876" s="158">
        <v>8</v>
      </c>
      <c r="AC876" s="158">
        <v>12</v>
      </c>
      <c r="AD876" s="122" t="b">
        <f>IF(ISBLANK(GroupMember[[#This Row],[1. Identifiant interne d’exploitation agricole*]]),"",IF(ISERROR(MATCH(GroupMember[[#This Row],[1. Identifiant interne d’exploitation agricole*]],CertifiedCrop[1. Identifiant interne d’exploitation agricole*],0)),FALSE,TRUE))</f>
        <v>1</v>
      </c>
      <c r="AE876" s="122" t="b">
        <f>IF(ISBLANK(GroupMember[[#This Row],[1. Identifiant interne d’exploitation agricole*]]),"",IF(ISERROR(MATCH(GroupMember[[#This Row],[1. Identifiant interne d’exploitation agricole*]],FarmUnit[1. Identifiant interne d’exploitation agricole*],0)),FALSE,TRUE))</f>
        <v>1</v>
      </c>
      <c r="AF876" s="9" t="str">
        <f t="shared" si="39"/>
        <v>KOURAOGO PEGEDA</v>
      </c>
      <c r="AG876" s="243" t="str">
        <f t="shared" si="40"/>
        <v>12/8/2021</v>
      </c>
      <c r="AH876" s="51">
        <f>COUNTIFS(Z:Z,Z876,AG:AG,AG876)</f>
        <v>4</v>
      </c>
      <c r="AI876" s="49">
        <f t="shared" si="41"/>
        <v>0</v>
      </c>
    </row>
    <row r="877" spans="1:35" ht="15" x14ac:dyDescent="0.2">
      <c r="A877" s="193" t="s">
        <v>2992</v>
      </c>
      <c r="B877" s="146" t="s">
        <v>668</v>
      </c>
      <c r="C877" s="193" t="s">
        <v>2992</v>
      </c>
      <c r="D877" s="175" t="s">
        <v>2948</v>
      </c>
      <c r="E877" s="146" t="s">
        <v>670</v>
      </c>
      <c r="F877" s="146" t="s">
        <v>671</v>
      </c>
      <c r="G877" s="146" t="s">
        <v>672</v>
      </c>
      <c r="H877" s="175">
        <v>6.83</v>
      </c>
      <c r="I877" s="146" t="s">
        <v>673</v>
      </c>
      <c r="J877" s="220">
        <v>1</v>
      </c>
      <c r="K877" s="150">
        <v>2021</v>
      </c>
      <c r="L877" s="221" t="s">
        <v>2993</v>
      </c>
      <c r="M877" s="221" t="s">
        <v>2994</v>
      </c>
      <c r="N877" s="202">
        <v>576349326</v>
      </c>
      <c r="O877" s="223"/>
      <c r="P877" s="219" t="s">
        <v>676</v>
      </c>
      <c r="Q877" s="299"/>
      <c r="R877" s="155">
        <v>6</v>
      </c>
      <c r="S877" s="168"/>
      <c r="T877" s="168"/>
      <c r="U877" s="146"/>
      <c r="V877" s="146"/>
      <c r="W877" s="146"/>
      <c r="X877" s="156">
        <v>0</v>
      </c>
      <c r="Y877" s="156">
        <v>0</v>
      </c>
      <c r="Z877" s="157" t="s">
        <v>2703</v>
      </c>
      <c r="AA877" s="158">
        <v>2021</v>
      </c>
      <c r="AB877" s="158">
        <v>8</v>
      </c>
      <c r="AC877" s="158">
        <v>14</v>
      </c>
      <c r="AD877" s="122" t="b">
        <f>IF(ISBLANK(GroupMember[[#This Row],[1. Identifiant interne d’exploitation agricole*]]),"",IF(ISERROR(MATCH(GroupMember[[#This Row],[1. Identifiant interne d’exploitation agricole*]],CertifiedCrop[1. Identifiant interne d’exploitation agricole*],0)),FALSE,TRUE))</f>
        <v>1</v>
      </c>
      <c r="AE877" s="122" t="b">
        <f>IF(ISBLANK(GroupMember[[#This Row],[1. Identifiant interne d’exploitation agricole*]]),"",IF(ISERROR(MATCH(GroupMember[[#This Row],[1. Identifiant interne d’exploitation agricole*]],FarmUnit[1. Identifiant interne d’exploitation agricole*],0)),FALSE,TRUE))</f>
        <v>1</v>
      </c>
      <c r="AF877" s="9" t="str">
        <f t="shared" si="39"/>
        <v>KABORE  N'GO</v>
      </c>
      <c r="AG877" s="243" t="str">
        <f t="shared" si="40"/>
        <v>14/8/2021</v>
      </c>
      <c r="AH877" s="51">
        <f>COUNTIFS(Z:Z,Z877,AG:AG,AG877)</f>
        <v>4</v>
      </c>
      <c r="AI877" s="49">
        <f t="shared" si="41"/>
        <v>0</v>
      </c>
    </row>
    <row r="878" spans="1:35" ht="15" x14ac:dyDescent="0.2">
      <c r="A878" s="193" t="s">
        <v>2995</v>
      </c>
      <c r="B878" s="146" t="s">
        <v>668</v>
      </c>
      <c r="C878" s="193" t="s">
        <v>2995</v>
      </c>
      <c r="D878" s="175" t="s">
        <v>2948</v>
      </c>
      <c r="E878" s="146" t="s">
        <v>670</v>
      </c>
      <c r="F878" s="146" t="s">
        <v>671</v>
      </c>
      <c r="G878" s="146" t="s">
        <v>672</v>
      </c>
      <c r="H878" s="175">
        <v>7.93</v>
      </c>
      <c r="I878" s="146" t="s">
        <v>673</v>
      </c>
      <c r="J878" s="220">
        <v>1</v>
      </c>
      <c r="K878" s="150">
        <v>2021</v>
      </c>
      <c r="L878" s="221" t="s">
        <v>2996</v>
      </c>
      <c r="M878" s="221" t="s">
        <v>2997</v>
      </c>
      <c r="N878" s="202">
        <v>546082377</v>
      </c>
      <c r="O878" s="223" t="s">
        <v>2998</v>
      </c>
      <c r="P878" s="219" t="s">
        <v>676</v>
      </c>
      <c r="Q878" s="150">
        <v>1976</v>
      </c>
      <c r="R878" s="155">
        <v>5</v>
      </c>
      <c r="S878" s="168"/>
      <c r="T878" s="168"/>
      <c r="U878" s="146"/>
      <c r="V878" s="146"/>
      <c r="W878" s="146"/>
      <c r="X878" s="156">
        <v>0</v>
      </c>
      <c r="Y878" s="156">
        <v>0</v>
      </c>
      <c r="Z878" s="157" t="s">
        <v>2703</v>
      </c>
      <c r="AA878" s="158">
        <v>2021</v>
      </c>
      <c r="AB878" s="158">
        <v>8</v>
      </c>
      <c r="AC878" s="158">
        <v>11</v>
      </c>
      <c r="AD878" s="122" t="b">
        <f>IF(ISBLANK(GroupMember[[#This Row],[1. Identifiant interne d’exploitation agricole*]]),"",IF(ISERROR(MATCH(GroupMember[[#This Row],[1. Identifiant interne d’exploitation agricole*]],CertifiedCrop[1. Identifiant interne d’exploitation agricole*],0)),FALSE,TRUE))</f>
        <v>1</v>
      </c>
      <c r="AE878" s="122" t="b">
        <f>IF(ISBLANK(GroupMember[[#This Row],[1. Identifiant interne d’exploitation agricole*]]),"",IF(ISERROR(MATCH(GroupMember[[#This Row],[1. Identifiant interne d’exploitation agricole*]],FarmUnit[1. Identifiant interne d’exploitation agricole*],0)),FALSE,TRUE))</f>
        <v>1</v>
      </c>
      <c r="AF878" s="9" t="str">
        <f t="shared" si="39"/>
        <v>MONSIO KADMIEL SEI</v>
      </c>
      <c r="AG878" s="243" t="str">
        <f t="shared" si="40"/>
        <v>11/8/2021</v>
      </c>
      <c r="AH878" s="51">
        <f>COUNTIFS(Z:Z,Z878,AG:AG,AG878)</f>
        <v>4</v>
      </c>
      <c r="AI878" s="49">
        <f t="shared" si="41"/>
        <v>0</v>
      </c>
    </row>
    <row r="879" spans="1:35" ht="15" x14ac:dyDescent="0.2">
      <c r="A879" s="193" t="s">
        <v>2999</v>
      </c>
      <c r="B879" s="146" t="s">
        <v>668</v>
      </c>
      <c r="C879" s="193" t="s">
        <v>2999</v>
      </c>
      <c r="D879" s="175" t="s">
        <v>3000</v>
      </c>
      <c r="E879" s="146" t="s">
        <v>670</v>
      </c>
      <c r="F879" s="146" t="s">
        <v>671</v>
      </c>
      <c r="G879" s="146" t="s">
        <v>672</v>
      </c>
      <c r="H879" s="175">
        <v>2.14</v>
      </c>
      <c r="I879" s="146" t="s">
        <v>673</v>
      </c>
      <c r="J879" s="220">
        <v>1</v>
      </c>
      <c r="K879" s="150">
        <v>2021</v>
      </c>
      <c r="L879" s="221" t="s">
        <v>2938</v>
      </c>
      <c r="M879" s="221" t="s">
        <v>3001</v>
      </c>
      <c r="N879" s="202">
        <v>747714321</v>
      </c>
      <c r="O879" s="110" t="s">
        <v>3304</v>
      </c>
      <c r="P879" s="219" t="s">
        <v>676</v>
      </c>
      <c r="Q879" s="150">
        <v>1974</v>
      </c>
      <c r="R879" s="155">
        <v>8</v>
      </c>
      <c r="S879" s="168"/>
      <c r="T879" s="168"/>
      <c r="U879" s="146"/>
      <c r="V879" s="146"/>
      <c r="W879" s="146"/>
      <c r="X879" s="156">
        <v>0</v>
      </c>
      <c r="Y879" s="156">
        <v>0</v>
      </c>
      <c r="Z879" s="157" t="s">
        <v>2703</v>
      </c>
      <c r="AA879" s="158">
        <v>2021</v>
      </c>
      <c r="AB879" s="158">
        <v>8</v>
      </c>
      <c r="AC879" s="158">
        <v>12</v>
      </c>
      <c r="AD879" s="122" t="b">
        <f>IF(ISBLANK(GroupMember[[#This Row],[1. Identifiant interne d’exploitation agricole*]]),"",IF(ISERROR(MATCH(GroupMember[[#This Row],[1. Identifiant interne d’exploitation agricole*]],CertifiedCrop[1. Identifiant interne d’exploitation agricole*],0)),FALSE,TRUE))</f>
        <v>1</v>
      </c>
      <c r="AE879" s="122" t="b">
        <f>IF(ISBLANK(GroupMember[[#This Row],[1. Identifiant interne d’exploitation agricole*]]),"",IF(ISERROR(MATCH(GroupMember[[#This Row],[1. Identifiant interne d’exploitation agricole*]],FarmUnit[1. Identifiant interne d’exploitation agricole*],0)),FALSE,TRUE))</f>
        <v>1</v>
      </c>
      <c r="AF879" s="9" t="str">
        <f t="shared" si="39"/>
        <v>DAH  KOULBOUNTE</v>
      </c>
      <c r="AG879" s="243" t="str">
        <f t="shared" si="40"/>
        <v>12/8/2021</v>
      </c>
      <c r="AH879" s="51">
        <f>COUNTIFS(Z:Z,Z879,AG:AG,AG879)</f>
        <v>4</v>
      </c>
      <c r="AI879" s="49">
        <f t="shared" si="41"/>
        <v>0</v>
      </c>
    </row>
    <row r="880" spans="1:35" ht="15" x14ac:dyDescent="0.2">
      <c r="A880" s="193" t="s">
        <v>3002</v>
      </c>
      <c r="B880" s="146" t="s">
        <v>668</v>
      </c>
      <c r="C880" s="193" t="s">
        <v>3002</v>
      </c>
      <c r="D880" s="175" t="s">
        <v>3000</v>
      </c>
      <c r="E880" s="146" t="s">
        <v>670</v>
      </c>
      <c r="F880" s="146" t="s">
        <v>671</v>
      </c>
      <c r="G880" s="146" t="s">
        <v>672</v>
      </c>
      <c r="H880" s="175">
        <v>4.7</v>
      </c>
      <c r="I880" s="146" t="s">
        <v>673</v>
      </c>
      <c r="J880" s="220">
        <v>1</v>
      </c>
      <c r="K880" s="150">
        <v>2021</v>
      </c>
      <c r="L880" s="221" t="s">
        <v>2797</v>
      </c>
      <c r="M880" s="221" t="s">
        <v>3003</v>
      </c>
      <c r="N880" s="202">
        <v>747506668</v>
      </c>
      <c r="O880" s="223" t="s">
        <v>3323</v>
      </c>
      <c r="P880" s="219" t="s">
        <v>676</v>
      </c>
      <c r="Q880" s="150">
        <v>1985</v>
      </c>
      <c r="R880" s="155">
        <v>7</v>
      </c>
      <c r="S880" s="168"/>
      <c r="T880" s="168"/>
      <c r="U880" s="146"/>
      <c r="V880" s="146"/>
      <c r="W880" s="146"/>
      <c r="X880" s="156">
        <v>0</v>
      </c>
      <c r="Y880" s="156">
        <v>0</v>
      </c>
      <c r="Z880" s="157" t="s">
        <v>2703</v>
      </c>
      <c r="AA880" s="158">
        <v>2021</v>
      </c>
      <c r="AB880" s="158">
        <v>8</v>
      </c>
      <c r="AC880" s="158">
        <v>10</v>
      </c>
      <c r="AD880" s="122" t="b">
        <f>IF(ISBLANK(GroupMember[[#This Row],[1. Identifiant interne d’exploitation agricole*]]),"",IF(ISERROR(MATCH(GroupMember[[#This Row],[1. Identifiant interne d’exploitation agricole*]],CertifiedCrop[1. Identifiant interne d’exploitation agricole*],0)),FALSE,TRUE))</f>
        <v>1</v>
      </c>
      <c r="AE880" s="122" t="b">
        <f>IF(ISBLANK(GroupMember[[#This Row],[1. Identifiant interne d’exploitation agricole*]]),"",IF(ISERROR(MATCH(GroupMember[[#This Row],[1. Identifiant interne d’exploitation agricole*]],FarmUnit[1. Identifiant interne d’exploitation agricole*],0)),FALSE,TRUE))</f>
        <v>1</v>
      </c>
      <c r="AF880" s="9" t="str">
        <f t="shared" si="39"/>
        <v>KAMBIRE MILHALE</v>
      </c>
      <c r="AG880" s="243" t="str">
        <f t="shared" si="40"/>
        <v>10/8/2021</v>
      </c>
      <c r="AH880" s="51">
        <f>COUNTIFS(Z:Z,Z880,AG:AG,AG880)</f>
        <v>4</v>
      </c>
      <c r="AI880" s="49">
        <f t="shared" si="41"/>
        <v>0</v>
      </c>
    </row>
    <row r="881" spans="1:35" ht="15" x14ac:dyDescent="0.2">
      <c r="A881" s="193" t="s">
        <v>3004</v>
      </c>
      <c r="B881" s="146" t="s">
        <v>668</v>
      </c>
      <c r="C881" s="193" t="s">
        <v>3004</v>
      </c>
      <c r="D881" s="175" t="s">
        <v>3000</v>
      </c>
      <c r="E881" s="146" t="s">
        <v>670</v>
      </c>
      <c r="F881" s="146" t="s">
        <v>671</v>
      </c>
      <c r="G881" s="146" t="s">
        <v>672</v>
      </c>
      <c r="H881" s="175">
        <v>5.83</v>
      </c>
      <c r="I881" s="146" t="s">
        <v>673</v>
      </c>
      <c r="J881" s="220">
        <v>1</v>
      </c>
      <c r="K881" s="150">
        <v>2021</v>
      </c>
      <c r="L881" s="221" t="s">
        <v>3005</v>
      </c>
      <c r="M881" s="221" t="s">
        <v>3006</v>
      </c>
      <c r="N881" s="202">
        <v>574149612</v>
      </c>
      <c r="O881" s="217" t="s">
        <v>3312</v>
      </c>
      <c r="P881" s="219" t="s">
        <v>676</v>
      </c>
      <c r="Q881" s="150">
        <v>1991</v>
      </c>
      <c r="R881" s="155">
        <v>8</v>
      </c>
      <c r="S881" s="168"/>
      <c r="T881" s="168"/>
      <c r="U881" s="146"/>
      <c r="V881" s="146"/>
      <c r="W881" s="146"/>
      <c r="X881" s="156">
        <v>0</v>
      </c>
      <c r="Y881" s="156">
        <v>0</v>
      </c>
      <c r="Z881" s="157" t="s">
        <v>2703</v>
      </c>
      <c r="AA881" s="158">
        <v>2021</v>
      </c>
      <c r="AB881" s="158">
        <v>7</v>
      </c>
      <c r="AC881" s="158">
        <v>8</v>
      </c>
      <c r="AD881" s="122" t="b">
        <f>IF(ISBLANK(GroupMember[[#This Row],[1. Identifiant interne d’exploitation agricole*]]),"",IF(ISERROR(MATCH(GroupMember[[#This Row],[1. Identifiant interne d’exploitation agricole*]],CertifiedCrop[1. Identifiant interne d’exploitation agricole*],0)),FALSE,TRUE))</f>
        <v>1</v>
      </c>
      <c r="AE881" s="122" t="b">
        <f>IF(ISBLANK(GroupMember[[#This Row],[1. Identifiant interne d’exploitation agricole*]]),"",IF(ISERROR(MATCH(GroupMember[[#This Row],[1. Identifiant interne d’exploitation agricole*]],FarmUnit[1. Identifiant interne d’exploitation agricole*],0)),FALSE,TRUE))</f>
        <v>1</v>
      </c>
      <c r="AF881" s="9" t="str">
        <f t="shared" si="39"/>
        <v>YOUL SIE</v>
      </c>
      <c r="AG881" s="243" t="str">
        <f t="shared" si="40"/>
        <v>8/7/2021</v>
      </c>
      <c r="AH881" s="51">
        <f>COUNTIFS(Z:Z,Z881,AG:AG,AG881)</f>
        <v>5</v>
      </c>
      <c r="AI881" s="49">
        <f t="shared" si="41"/>
        <v>0</v>
      </c>
    </row>
    <row r="882" spans="1:35" ht="15" x14ac:dyDescent="0.2">
      <c r="A882" s="193" t="s">
        <v>3007</v>
      </c>
      <c r="B882" s="146" t="s">
        <v>668</v>
      </c>
      <c r="C882" s="193" t="s">
        <v>3007</v>
      </c>
      <c r="D882" s="175" t="s">
        <v>2948</v>
      </c>
      <c r="E882" s="146" t="s">
        <v>670</v>
      </c>
      <c r="F882" s="146" t="s">
        <v>671</v>
      </c>
      <c r="G882" s="146" t="s">
        <v>672</v>
      </c>
      <c r="H882" s="175">
        <v>3.78</v>
      </c>
      <c r="I882" s="146" t="s">
        <v>673</v>
      </c>
      <c r="J882" s="220">
        <v>2</v>
      </c>
      <c r="K882" s="150">
        <v>2021</v>
      </c>
      <c r="L882" s="221" t="s">
        <v>3008</v>
      </c>
      <c r="M882" s="221" t="s">
        <v>3009</v>
      </c>
      <c r="N882" s="202">
        <v>576884773</v>
      </c>
      <c r="O882" s="217" t="s">
        <v>3313</v>
      </c>
      <c r="P882" s="219" t="s">
        <v>676</v>
      </c>
      <c r="Q882" s="278">
        <v>1972</v>
      </c>
      <c r="R882" s="155">
        <v>6</v>
      </c>
      <c r="S882" s="168"/>
      <c r="T882" s="168"/>
      <c r="U882" s="146"/>
      <c r="V882" s="146"/>
      <c r="W882" s="146"/>
      <c r="X882" s="156">
        <v>0</v>
      </c>
      <c r="Y882" s="156">
        <v>0</v>
      </c>
      <c r="Z882" s="157" t="s">
        <v>2703</v>
      </c>
      <c r="AA882" s="158">
        <v>2021</v>
      </c>
      <c r="AB882" s="158">
        <v>7</v>
      </c>
      <c r="AC882" s="158">
        <v>16</v>
      </c>
      <c r="AD882" s="122" t="b">
        <f>IF(ISBLANK(GroupMember[[#This Row],[1. Identifiant interne d’exploitation agricole*]]),"",IF(ISERROR(MATCH(GroupMember[[#This Row],[1. Identifiant interne d’exploitation agricole*]],CertifiedCrop[1. Identifiant interne d’exploitation agricole*],0)),FALSE,TRUE))</f>
        <v>1</v>
      </c>
      <c r="AE882" s="122" t="b">
        <f>IF(ISBLANK(GroupMember[[#This Row],[1. Identifiant interne d’exploitation agricole*]]),"",IF(ISERROR(MATCH(GroupMember[[#This Row],[1. Identifiant interne d’exploitation agricole*]],FarmUnit[1. Identifiant interne d’exploitation agricole*],0)),FALSE,TRUE))</f>
        <v>1</v>
      </c>
      <c r="AF882" s="9" t="str">
        <f t="shared" si="39"/>
        <v xml:space="preserve">GNAHE BEODE JEAN              </v>
      </c>
      <c r="AG882" s="243" t="str">
        <f t="shared" si="40"/>
        <v>16/7/2021</v>
      </c>
      <c r="AH882" s="51">
        <f>COUNTIFS(Z:Z,Z882,AG:AG,AG882)</f>
        <v>4</v>
      </c>
      <c r="AI882" s="49">
        <f t="shared" si="41"/>
        <v>0</v>
      </c>
    </row>
    <row r="883" spans="1:35" ht="15" x14ac:dyDescent="0.2">
      <c r="A883" s="193" t="s">
        <v>3010</v>
      </c>
      <c r="B883" s="146" t="s">
        <v>668</v>
      </c>
      <c r="C883" s="193" t="s">
        <v>3010</v>
      </c>
      <c r="D883" s="175" t="s">
        <v>3011</v>
      </c>
      <c r="E883" s="146" t="s">
        <v>670</v>
      </c>
      <c r="F883" s="146" t="s">
        <v>671</v>
      </c>
      <c r="G883" s="146" t="s">
        <v>672</v>
      </c>
      <c r="H883" s="175">
        <v>2.17</v>
      </c>
      <c r="I883" s="146" t="s">
        <v>673</v>
      </c>
      <c r="J883" s="220">
        <v>1</v>
      </c>
      <c r="K883" s="150">
        <v>2021</v>
      </c>
      <c r="L883" s="221" t="s">
        <v>3012</v>
      </c>
      <c r="M883" s="221" t="s">
        <v>3013</v>
      </c>
      <c r="N883" s="202">
        <v>504107992</v>
      </c>
      <c r="O883" s="217" t="s">
        <v>3314</v>
      </c>
      <c r="P883" s="219" t="s">
        <v>676</v>
      </c>
      <c r="Q883" s="278">
        <v>1980</v>
      </c>
      <c r="R883" s="155">
        <v>10</v>
      </c>
      <c r="S883" s="168"/>
      <c r="T883" s="168"/>
      <c r="U883" s="146"/>
      <c r="V883" s="146"/>
      <c r="W883" s="146"/>
      <c r="X883" s="156">
        <v>0</v>
      </c>
      <c r="Y883" s="156">
        <v>0</v>
      </c>
      <c r="Z883" s="157" t="s">
        <v>2703</v>
      </c>
      <c r="AA883" s="158">
        <v>2021</v>
      </c>
      <c r="AB883" s="158">
        <v>8</v>
      </c>
      <c r="AC883" s="158">
        <v>12</v>
      </c>
      <c r="AD883" s="122" t="b">
        <f>IF(ISBLANK(GroupMember[[#This Row],[1. Identifiant interne d’exploitation agricole*]]),"",IF(ISERROR(MATCH(GroupMember[[#This Row],[1. Identifiant interne d’exploitation agricole*]],CertifiedCrop[1. Identifiant interne d’exploitation agricole*],0)),FALSE,TRUE))</f>
        <v>1</v>
      </c>
      <c r="AE883" s="122" t="b">
        <f>IF(ISBLANK(GroupMember[[#This Row],[1. Identifiant interne d’exploitation agricole*]]),"",IF(ISERROR(MATCH(GroupMember[[#This Row],[1. Identifiant interne d’exploitation agricole*]],FarmUnit[1. Identifiant interne d’exploitation agricole*],0)),FALSE,TRUE))</f>
        <v>1</v>
      </c>
      <c r="AF883" s="9" t="str">
        <f t="shared" ref="AF883:AF946" si="42">IFERROR(CONCATENATE(L883," ",M883),"")</f>
        <v>DODO DOUAN VICTOR</v>
      </c>
      <c r="AG883" s="243" t="str">
        <f t="shared" ref="AG883:AG946" si="43">CONCATENATE(AC883,"/",AB883,"/",AA883)</f>
        <v>12/8/2021</v>
      </c>
      <c r="AH883" s="51">
        <f>COUNTIFS(Z:Z,Z883,AG:AG,AG883)</f>
        <v>4</v>
      </c>
      <c r="AI883" s="49">
        <f t="shared" ref="AI883:AI946" si="44">IF((X883+Y883/12)&lt;0,"",(X883+Y883/12))</f>
        <v>0</v>
      </c>
    </row>
    <row r="884" spans="1:35" ht="15" x14ac:dyDescent="0.2">
      <c r="A884" s="193" t="s">
        <v>3014</v>
      </c>
      <c r="B884" s="146" t="s">
        <v>668</v>
      </c>
      <c r="C884" s="193" t="s">
        <v>3014</v>
      </c>
      <c r="D884" s="175" t="s">
        <v>3011</v>
      </c>
      <c r="E884" s="146" t="s">
        <v>670</v>
      </c>
      <c r="F884" s="146" t="s">
        <v>671</v>
      </c>
      <c r="G884" s="146" t="s">
        <v>672</v>
      </c>
      <c r="H884" s="175">
        <v>1.1499999999999999</v>
      </c>
      <c r="I884" s="146" t="s">
        <v>673</v>
      </c>
      <c r="J884" s="220">
        <v>1</v>
      </c>
      <c r="K884" s="150">
        <v>2021</v>
      </c>
      <c r="L884" s="221" t="s">
        <v>1967</v>
      </c>
      <c r="M884" s="221" t="s">
        <v>3015</v>
      </c>
      <c r="N884" s="202"/>
      <c r="O884" s="217" t="s">
        <v>3315</v>
      </c>
      <c r="P884" s="219" t="s">
        <v>676</v>
      </c>
      <c r="Q884" s="278">
        <v>1986</v>
      </c>
      <c r="R884" s="155">
        <v>8</v>
      </c>
      <c r="S884" s="168"/>
      <c r="T884" s="168"/>
      <c r="U884" s="146"/>
      <c r="V884" s="146"/>
      <c r="W884" s="146"/>
      <c r="X884" s="156">
        <v>0</v>
      </c>
      <c r="Y884" s="156">
        <v>0</v>
      </c>
      <c r="Z884" s="157" t="s">
        <v>2703</v>
      </c>
      <c r="AA884" s="158">
        <v>2021</v>
      </c>
      <c r="AB884" s="158">
        <v>8</v>
      </c>
      <c r="AC884" s="158">
        <v>14</v>
      </c>
      <c r="AD884" s="122" t="b">
        <f>IF(ISBLANK(GroupMember[[#This Row],[1. Identifiant interne d’exploitation agricole*]]),"",IF(ISERROR(MATCH(GroupMember[[#This Row],[1. Identifiant interne d’exploitation agricole*]],CertifiedCrop[1. Identifiant interne d’exploitation agricole*],0)),FALSE,TRUE))</f>
        <v>1</v>
      </c>
      <c r="AE884" s="122" t="b">
        <f>IF(ISBLANK(GroupMember[[#This Row],[1. Identifiant interne d’exploitation agricole*]]),"",IF(ISERROR(MATCH(GroupMember[[#This Row],[1. Identifiant interne d’exploitation agricole*]],FarmUnit[1. Identifiant interne d’exploitation agricole*],0)),FALSE,TRUE))</f>
        <v>1</v>
      </c>
      <c r="AF884" s="9" t="str">
        <f t="shared" si="42"/>
        <v>OULAI JUSTIN</v>
      </c>
      <c r="AG884" s="243" t="str">
        <f t="shared" si="43"/>
        <v>14/8/2021</v>
      </c>
      <c r="AH884" s="51">
        <f>COUNTIFS(Z:Z,Z884,AG:AG,AG884)</f>
        <v>4</v>
      </c>
      <c r="AI884" s="49">
        <f t="shared" si="44"/>
        <v>0</v>
      </c>
    </row>
    <row r="885" spans="1:35" ht="15" x14ac:dyDescent="0.2">
      <c r="A885" s="193" t="s">
        <v>3016</v>
      </c>
      <c r="B885" s="146" t="s">
        <v>668</v>
      </c>
      <c r="C885" s="193" t="s">
        <v>3016</v>
      </c>
      <c r="D885" s="175" t="s">
        <v>3011</v>
      </c>
      <c r="E885" s="146" t="s">
        <v>670</v>
      </c>
      <c r="F885" s="146" t="s">
        <v>671</v>
      </c>
      <c r="G885" s="146" t="s">
        <v>672</v>
      </c>
      <c r="H885" s="175">
        <v>2.57</v>
      </c>
      <c r="I885" s="146" t="s">
        <v>673</v>
      </c>
      <c r="J885" s="220">
        <v>2</v>
      </c>
      <c r="K885" s="150">
        <v>2021</v>
      </c>
      <c r="L885" s="221" t="s">
        <v>1967</v>
      </c>
      <c r="M885" s="221" t="s">
        <v>3017</v>
      </c>
      <c r="N885" s="202">
        <v>576523928</v>
      </c>
      <c r="O885" s="217" t="s">
        <v>3316</v>
      </c>
      <c r="P885" s="219" t="s">
        <v>676</v>
      </c>
      <c r="Q885" s="278">
        <v>1982</v>
      </c>
      <c r="R885" s="155">
        <v>6</v>
      </c>
      <c r="S885" s="168"/>
      <c r="T885" s="168"/>
      <c r="U885" s="146"/>
      <c r="V885" s="146"/>
      <c r="W885" s="146"/>
      <c r="X885" s="156">
        <v>0</v>
      </c>
      <c r="Y885" s="156">
        <v>0</v>
      </c>
      <c r="Z885" s="157" t="s">
        <v>2703</v>
      </c>
      <c r="AA885" s="158">
        <v>2021</v>
      </c>
      <c r="AB885" s="158">
        <v>8</v>
      </c>
      <c r="AC885" s="158">
        <v>11</v>
      </c>
      <c r="AD885" s="122" t="b">
        <f>IF(ISBLANK(GroupMember[[#This Row],[1. Identifiant interne d’exploitation agricole*]]),"",IF(ISERROR(MATCH(GroupMember[[#This Row],[1. Identifiant interne d’exploitation agricole*]],CertifiedCrop[1. Identifiant interne d’exploitation agricole*],0)),FALSE,TRUE))</f>
        <v>1</v>
      </c>
      <c r="AE885" s="122" t="b">
        <f>IF(ISBLANK(GroupMember[[#This Row],[1. Identifiant interne d’exploitation agricole*]]),"",IF(ISERROR(MATCH(GroupMember[[#This Row],[1. Identifiant interne d’exploitation agricole*]],FarmUnit[1. Identifiant interne d’exploitation agricole*],0)),FALSE,TRUE))</f>
        <v>1</v>
      </c>
      <c r="AF885" s="9" t="str">
        <f t="shared" si="42"/>
        <v xml:space="preserve">OULAI PARFAIT                </v>
      </c>
      <c r="AG885" s="243" t="str">
        <f t="shared" si="43"/>
        <v>11/8/2021</v>
      </c>
      <c r="AH885" s="51">
        <f>COUNTIFS(Z:Z,Z885,AG:AG,AG885)</f>
        <v>4</v>
      </c>
      <c r="AI885" s="49">
        <f t="shared" si="44"/>
        <v>0</v>
      </c>
    </row>
    <row r="886" spans="1:35" ht="15" x14ac:dyDescent="0.2">
      <c r="A886" s="193" t="s">
        <v>3018</v>
      </c>
      <c r="B886" s="146" t="s">
        <v>668</v>
      </c>
      <c r="C886" s="193" t="s">
        <v>3018</v>
      </c>
      <c r="D886" s="175" t="s">
        <v>3011</v>
      </c>
      <c r="E886" s="146" t="s">
        <v>670</v>
      </c>
      <c r="F886" s="146" t="s">
        <v>671</v>
      </c>
      <c r="G886" s="146" t="s">
        <v>672</v>
      </c>
      <c r="H886" s="175">
        <v>3</v>
      </c>
      <c r="I886" s="146" t="s">
        <v>673</v>
      </c>
      <c r="J886" s="220">
        <v>1</v>
      </c>
      <c r="K886" s="150">
        <v>2021</v>
      </c>
      <c r="L886" s="221" t="s">
        <v>3019</v>
      </c>
      <c r="M886" s="221" t="s">
        <v>991</v>
      </c>
      <c r="N886" s="202">
        <v>556809639</v>
      </c>
      <c r="O886" s="223"/>
      <c r="P886" s="219" t="s">
        <v>676</v>
      </c>
      <c r="Q886" s="300"/>
      <c r="R886" s="155">
        <v>8</v>
      </c>
      <c r="S886" s="168"/>
      <c r="T886" s="168"/>
      <c r="U886" s="146"/>
      <c r="V886" s="146"/>
      <c r="W886" s="146"/>
      <c r="X886" s="156">
        <v>0</v>
      </c>
      <c r="Y886" s="156">
        <v>0</v>
      </c>
      <c r="Z886" s="157" t="s">
        <v>2703</v>
      </c>
      <c r="AA886" s="158">
        <v>2021</v>
      </c>
      <c r="AB886" s="158">
        <v>8</v>
      </c>
      <c r="AC886" s="158">
        <v>17</v>
      </c>
      <c r="AD886" s="122" t="b">
        <f>IF(ISBLANK(GroupMember[[#This Row],[1. Identifiant interne d’exploitation agricole*]]),"",IF(ISERROR(MATCH(GroupMember[[#This Row],[1. Identifiant interne d’exploitation agricole*]],CertifiedCrop[1. Identifiant interne d’exploitation agricole*],0)),FALSE,TRUE))</f>
        <v>1</v>
      </c>
      <c r="AE886" s="122" t="b">
        <f>IF(ISBLANK(GroupMember[[#This Row],[1. Identifiant interne d’exploitation agricole*]]),"",IF(ISERROR(MATCH(GroupMember[[#This Row],[1. Identifiant interne d’exploitation agricole*]],FarmUnit[1. Identifiant interne d’exploitation agricole*],0)),FALSE,TRUE))</f>
        <v>1</v>
      </c>
      <c r="AF886" s="9" t="str">
        <f t="shared" si="42"/>
        <v>GONDO OLIVIER</v>
      </c>
      <c r="AG886" s="243" t="str">
        <f t="shared" si="43"/>
        <v>17/8/2021</v>
      </c>
      <c r="AH886" s="51">
        <f>COUNTIFS(Z:Z,Z886,AG:AG,AG886)</f>
        <v>3</v>
      </c>
      <c r="AI886" s="49">
        <f t="shared" si="44"/>
        <v>0</v>
      </c>
    </row>
    <row r="887" spans="1:35" ht="15" x14ac:dyDescent="0.2">
      <c r="A887" s="193" t="s">
        <v>3020</v>
      </c>
      <c r="B887" s="146" t="s">
        <v>668</v>
      </c>
      <c r="C887" s="193" t="s">
        <v>3020</v>
      </c>
      <c r="D887" s="175" t="s">
        <v>3021</v>
      </c>
      <c r="E887" s="146" t="s">
        <v>670</v>
      </c>
      <c r="F887" s="146" t="s">
        <v>671</v>
      </c>
      <c r="G887" s="146" t="s">
        <v>672</v>
      </c>
      <c r="H887" s="175">
        <v>3.29</v>
      </c>
      <c r="I887" s="146" t="s">
        <v>673</v>
      </c>
      <c r="J887" s="220">
        <v>2</v>
      </c>
      <c r="K887" s="150">
        <v>2021</v>
      </c>
      <c r="L887" s="221" t="s">
        <v>2966</v>
      </c>
      <c r="M887" s="221" t="s">
        <v>3022</v>
      </c>
      <c r="N887" s="202">
        <v>747804473</v>
      </c>
      <c r="O887" s="223" t="s">
        <v>3023</v>
      </c>
      <c r="P887" s="219" t="s">
        <v>676</v>
      </c>
      <c r="Q887" s="279">
        <v>1988</v>
      </c>
      <c r="R887" s="155">
        <v>11</v>
      </c>
      <c r="S887" s="168"/>
      <c r="T887" s="168"/>
      <c r="U887" s="146"/>
      <c r="V887" s="146"/>
      <c r="W887" s="146"/>
      <c r="X887" s="156">
        <v>0</v>
      </c>
      <c r="Y887" s="156">
        <v>0</v>
      </c>
      <c r="Z887" s="157" t="s">
        <v>2703</v>
      </c>
      <c r="AA887" s="158">
        <v>2021</v>
      </c>
      <c r="AB887" s="158">
        <v>8</v>
      </c>
      <c r="AC887" s="158">
        <v>13</v>
      </c>
      <c r="AD887" s="122" t="b">
        <f>IF(ISBLANK(GroupMember[[#This Row],[1. Identifiant interne d’exploitation agricole*]]),"",IF(ISERROR(MATCH(GroupMember[[#This Row],[1. Identifiant interne d’exploitation agricole*]],CertifiedCrop[1. Identifiant interne d’exploitation agricole*],0)),FALSE,TRUE))</f>
        <v>1</v>
      </c>
      <c r="AE887" s="122" t="b">
        <f>IF(ISBLANK(GroupMember[[#This Row],[1. Identifiant interne d’exploitation agricole*]]),"",IF(ISERROR(MATCH(GroupMember[[#This Row],[1. Identifiant interne d’exploitation agricole*]],FarmUnit[1. Identifiant interne d’exploitation agricole*],0)),FALSE,TRUE))</f>
        <v>1</v>
      </c>
      <c r="AF887" s="9" t="str">
        <f t="shared" si="42"/>
        <v xml:space="preserve">N'GUESSAN KOUADIO CELESTIN           </v>
      </c>
      <c r="AG887" s="243" t="str">
        <f t="shared" si="43"/>
        <v>13/8/2021</v>
      </c>
      <c r="AH887" s="51">
        <f>COUNTIFS(Z:Z,Z887,AG:AG,AG887)</f>
        <v>4</v>
      </c>
      <c r="AI887" s="49">
        <f t="shared" si="44"/>
        <v>0</v>
      </c>
    </row>
    <row r="888" spans="1:35" ht="15" x14ac:dyDescent="0.2">
      <c r="A888" s="193" t="s">
        <v>3024</v>
      </c>
      <c r="B888" s="146" t="s">
        <v>668</v>
      </c>
      <c r="C888" s="193" t="s">
        <v>3024</v>
      </c>
      <c r="D888" s="175" t="s">
        <v>2957</v>
      </c>
      <c r="E888" s="146" t="s">
        <v>670</v>
      </c>
      <c r="F888" s="146" t="s">
        <v>671</v>
      </c>
      <c r="G888" s="146" t="s">
        <v>672</v>
      </c>
      <c r="H888" s="175">
        <v>4.09</v>
      </c>
      <c r="I888" s="146" t="s">
        <v>673</v>
      </c>
      <c r="J888" s="220">
        <v>1</v>
      </c>
      <c r="K888" s="150">
        <v>2021</v>
      </c>
      <c r="L888" s="221" t="s">
        <v>3025</v>
      </c>
      <c r="M888" s="221" t="s">
        <v>3026</v>
      </c>
      <c r="N888" s="202">
        <v>564830608</v>
      </c>
      <c r="O888" s="223" t="s">
        <v>3027</v>
      </c>
      <c r="P888" s="219" t="s">
        <v>676</v>
      </c>
      <c r="Q888" s="279">
        <v>1985</v>
      </c>
      <c r="R888" s="155">
        <v>4</v>
      </c>
      <c r="S888" s="168"/>
      <c r="T888" s="168"/>
      <c r="U888" s="146"/>
      <c r="V888" s="146"/>
      <c r="W888" s="146"/>
      <c r="X888" s="156">
        <v>0</v>
      </c>
      <c r="Y888" s="156">
        <v>0</v>
      </c>
      <c r="Z888" s="157" t="s">
        <v>2703</v>
      </c>
      <c r="AA888" s="158">
        <v>2021</v>
      </c>
      <c r="AB888" s="158">
        <v>8</v>
      </c>
      <c r="AC888" s="158">
        <v>17</v>
      </c>
      <c r="AD888" s="122" t="b">
        <f>IF(ISBLANK(GroupMember[[#This Row],[1. Identifiant interne d’exploitation agricole*]]),"",IF(ISERROR(MATCH(GroupMember[[#This Row],[1. Identifiant interne d’exploitation agricole*]],CertifiedCrop[1. Identifiant interne d’exploitation agricole*],0)),FALSE,TRUE))</f>
        <v>1</v>
      </c>
      <c r="AE888" s="122" t="b">
        <f>IF(ISBLANK(GroupMember[[#This Row],[1. Identifiant interne d’exploitation agricole*]]),"",IF(ISERROR(MATCH(GroupMember[[#This Row],[1. Identifiant interne d’exploitation agricole*]],FarmUnit[1. Identifiant interne d’exploitation agricole*],0)),FALSE,TRUE))</f>
        <v>1</v>
      </c>
      <c r="AF888" s="9" t="str">
        <f t="shared" si="42"/>
        <v>KOUASSI  KONAN PAUL</v>
      </c>
      <c r="AG888" s="243" t="str">
        <f t="shared" si="43"/>
        <v>17/8/2021</v>
      </c>
      <c r="AH888" s="51">
        <f>COUNTIFS(Z:Z,Z888,AG:AG,AG888)</f>
        <v>3</v>
      </c>
      <c r="AI888" s="49">
        <f t="shared" si="44"/>
        <v>0</v>
      </c>
    </row>
    <row r="889" spans="1:35" ht="15" x14ac:dyDescent="0.2">
      <c r="A889" s="193" t="s">
        <v>3028</v>
      </c>
      <c r="B889" s="146" t="s">
        <v>668</v>
      </c>
      <c r="C889" s="193" t="s">
        <v>3028</v>
      </c>
      <c r="D889" s="175" t="s">
        <v>2957</v>
      </c>
      <c r="E889" s="146" t="s">
        <v>670</v>
      </c>
      <c r="F889" s="146" t="s">
        <v>671</v>
      </c>
      <c r="G889" s="146" t="s">
        <v>672</v>
      </c>
      <c r="H889" s="175">
        <v>2.63</v>
      </c>
      <c r="I889" s="146" t="s">
        <v>673</v>
      </c>
      <c r="J889" s="220">
        <v>1</v>
      </c>
      <c r="K889" s="150">
        <v>2021</v>
      </c>
      <c r="L889" s="221" t="s">
        <v>3029</v>
      </c>
      <c r="M889" s="221" t="s">
        <v>3030</v>
      </c>
      <c r="N889" s="202">
        <v>575763443</v>
      </c>
      <c r="O889" s="223" t="s">
        <v>3031</v>
      </c>
      <c r="P889" s="219" t="s">
        <v>676</v>
      </c>
      <c r="Q889" s="279">
        <v>1983</v>
      </c>
      <c r="R889" s="155">
        <v>8</v>
      </c>
      <c r="S889" s="168"/>
      <c r="T889" s="168"/>
      <c r="U889" s="146"/>
      <c r="V889" s="146"/>
      <c r="W889" s="146"/>
      <c r="X889" s="156">
        <v>0</v>
      </c>
      <c r="Y889" s="156">
        <v>0</v>
      </c>
      <c r="Z889" s="157" t="s">
        <v>2703</v>
      </c>
      <c r="AA889" s="158">
        <v>2021</v>
      </c>
      <c r="AB889" s="158">
        <v>8</v>
      </c>
      <c r="AC889" s="158">
        <v>11</v>
      </c>
      <c r="AD889" s="122" t="b">
        <f>IF(ISBLANK(GroupMember[[#This Row],[1. Identifiant interne d’exploitation agricole*]]),"",IF(ISERROR(MATCH(GroupMember[[#This Row],[1. Identifiant interne d’exploitation agricole*]],CertifiedCrop[1. Identifiant interne d’exploitation agricole*],0)),FALSE,TRUE))</f>
        <v>1</v>
      </c>
      <c r="AE889" s="122" t="b">
        <f>IF(ISBLANK(GroupMember[[#This Row],[1. Identifiant interne d’exploitation agricole*]]),"",IF(ISERROR(MATCH(GroupMember[[#This Row],[1. Identifiant interne d’exploitation agricole*]],FarmUnit[1. Identifiant interne d’exploitation agricole*],0)),FALSE,TRUE))</f>
        <v>1</v>
      </c>
      <c r="AF889" s="9" t="str">
        <f t="shared" si="42"/>
        <v>YAO  KOUAKOU JUSTIN</v>
      </c>
      <c r="AG889" s="243" t="str">
        <f t="shared" si="43"/>
        <v>11/8/2021</v>
      </c>
      <c r="AH889" s="51">
        <f>COUNTIFS(Z:Z,Z889,AG:AG,AG889)</f>
        <v>4</v>
      </c>
      <c r="AI889" s="49">
        <f t="shared" si="44"/>
        <v>0</v>
      </c>
    </row>
    <row r="890" spans="1:35" ht="15" x14ac:dyDescent="0.2">
      <c r="A890" s="193" t="s">
        <v>3032</v>
      </c>
      <c r="B890" s="146" t="s">
        <v>668</v>
      </c>
      <c r="C890" s="193" t="s">
        <v>3032</v>
      </c>
      <c r="D890" s="175" t="s">
        <v>3033</v>
      </c>
      <c r="E890" s="146" t="s">
        <v>670</v>
      </c>
      <c r="F890" s="146" t="s">
        <v>671</v>
      </c>
      <c r="G890" s="146" t="s">
        <v>672</v>
      </c>
      <c r="H890" s="175">
        <v>2.7</v>
      </c>
      <c r="I890" s="146" t="s">
        <v>673</v>
      </c>
      <c r="J890" s="220">
        <v>1</v>
      </c>
      <c r="K890" s="150">
        <v>2021</v>
      </c>
      <c r="L890" s="221" t="s">
        <v>3034</v>
      </c>
      <c r="M890" s="221" t="s">
        <v>3035</v>
      </c>
      <c r="N890" s="202">
        <v>707682904</v>
      </c>
      <c r="O890" s="223"/>
      <c r="P890" s="219" t="s">
        <v>676</v>
      </c>
      <c r="Q890" s="302"/>
      <c r="R890" s="155">
        <v>6</v>
      </c>
      <c r="S890" s="168"/>
      <c r="T890" s="168"/>
      <c r="U890" s="146"/>
      <c r="V890" s="146"/>
      <c r="W890" s="146"/>
      <c r="X890" s="156">
        <v>0</v>
      </c>
      <c r="Y890" s="156">
        <v>0</v>
      </c>
      <c r="Z890" s="157" t="s">
        <v>2703</v>
      </c>
      <c r="AA890" s="158">
        <v>2021</v>
      </c>
      <c r="AB890" s="158">
        <v>8</v>
      </c>
      <c r="AC890" s="158">
        <v>13</v>
      </c>
      <c r="AD890" s="122" t="b">
        <f>IF(ISBLANK(GroupMember[[#This Row],[1. Identifiant interne d’exploitation agricole*]]),"",IF(ISERROR(MATCH(GroupMember[[#This Row],[1. Identifiant interne d’exploitation agricole*]],CertifiedCrop[1. Identifiant interne d’exploitation agricole*],0)),FALSE,TRUE))</f>
        <v>1</v>
      </c>
      <c r="AE890" s="122" t="b">
        <f>IF(ISBLANK(GroupMember[[#This Row],[1. Identifiant interne d’exploitation agricole*]]),"",IF(ISERROR(MATCH(GroupMember[[#This Row],[1. Identifiant interne d’exploitation agricole*]],FarmUnit[1. Identifiant interne d’exploitation agricole*],0)),FALSE,TRUE))</f>
        <v>1</v>
      </c>
      <c r="AF890" s="9" t="str">
        <f t="shared" si="42"/>
        <v>N'BRA YAO HONORE</v>
      </c>
      <c r="AG890" s="243" t="str">
        <f t="shared" si="43"/>
        <v>13/8/2021</v>
      </c>
      <c r="AH890" s="51">
        <f>COUNTIFS(Z:Z,Z890,AG:AG,AG890)</f>
        <v>4</v>
      </c>
      <c r="AI890" s="49">
        <f t="shared" si="44"/>
        <v>0</v>
      </c>
    </row>
    <row r="891" spans="1:35" ht="15" x14ac:dyDescent="0.2">
      <c r="A891" s="193" t="s">
        <v>3036</v>
      </c>
      <c r="B891" s="146" t="s">
        <v>668</v>
      </c>
      <c r="C891" s="193" t="s">
        <v>3036</v>
      </c>
      <c r="D891" s="175" t="s">
        <v>3033</v>
      </c>
      <c r="E891" s="146" t="s">
        <v>670</v>
      </c>
      <c r="F891" s="146" t="s">
        <v>671</v>
      </c>
      <c r="G891" s="146" t="s">
        <v>672</v>
      </c>
      <c r="H891" s="175">
        <v>6.21</v>
      </c>
      <c r="I891" s="146" t="s">
        <v>673</v>
      </c>
      <c r="J891" s="220">
        <v>1</v>
      </c>
      <c r="K891" s="150">
        <v>2021</v>
      </c>
      <c r="L891" s="221" t="s">
        <v>3025</v>
      </c>
      <c r="M891" s="221" t="s">
        <v>3037</v>
      </c>
      <c r="N891" s="202">
        <v>767758092</v>
      </c>
      <c r="O891" s="223"/>
      <c r="P891" s="219" t="s">
        <v>676</v>
      </c>
      <c r="Q891" s="279"/>
      <c r="R891" s="155">
        <v>8</v>
      </c>
      <c r="S891" s="168"/>
      <c r="T891" s="168"/>
      <c r="U891" s="146"/>
      <c r="V891" s="146"/>
      <c r="W891" s="146"/>
      <c r="X891" s="156">
        <v>0</v>
      </c>
      <c r="Y891" s="156">
        <v>0</v>
      </c>
      <c r="Z891" s="157" t="s">
        <v>2703</v>
      </c>
      <c r="AA891" s="158">
        <v>2021</v>
      </c>
      <c r="AB891" s="158">
        <v>7</v>
      </c>
      <c r="AC891" s="158">
        <v>16</v>
      </c>
      <c r="AD891" s="122" t="b">
        <f>IF(ISBLANK(GroupMember[[#This Row],[1. Identifiant interne d’exploitation agricole*]]),"",IF(ISERROR(MATCH(GroupMember[[#This Row],[1. Identifiant interne d’exploitation agricole*]],CertifiedCrop[1. Identifiant interne d’exploitation agricole*],0)),FALSE,TRUE))</f>
        <v>1</v>
      </c>
      <c r="AE891" s="122" t="b">
        <f>IF(ISBLANK(GroupMember[[#This Row],[1. Identifiant interne d’exploitation agricole*]]),"",IF(ISERROR(MATCH(GroupMember[[#This Row],[1. Identifiant interne d’exploitation agricole*]],FarmUnit[1. Identifiant interne d’exploitation agricole*],0)),FALSE,TRUE))</f>
        <v>1</v>
      </c>
      <c r="AF891" s="9" t="str">
        <f t="shared" si="42"/>
        <v>KOUASSI  KOUASSI ANDRIEN</v>
      </c>
      <c r="AG891" s="243" t="str">
        <f t="shared" si="43"/>
        <v>16/7/2021</v>
      </c>
      <c r="AH891" s="51">
        <f>COUNTIFS(Z:Z,Z891,AG:AG,AG891)</f>
        <v>4</v>
      </c>
      <c r="AI891" s="49">
        <f t="shared" si="44"/>
        <v>0</v>
      </c>
    </row>
    <row r="892" spans="1:35" ht="15" x14ac:dyDescent="0.2">
      <c r="A892" s="193" t="s">
        <v>3038</v>
      </c>
      <c r="B892" s="146" t="s">
        <v>668</v>
      </c>
      <c r="C892" s="193" t="s">
        <v>3038</v>
      </c>
      <c r="D892" s="175" t="s">
        <v>3033</v>
      </c>
      <c r="E892" s="146" t="s">
        <v>670</v>
      </c>
      <c r="F892" s="146" t="s">
        <v>671</v>
      </c>
      <c r="G892" s="146" t="s">
        <v>672</v>
      </c>
      <c r="H892" s="175">
        <v>2.27</v>
      </c>
      <c r="I892" s="146" t="s">
        <v>673</v>
      </c>
      <c r="J892" s="220">
        <v>2</v>
      </c>
      <c r="K892" s="150">
        <v>2021</v>
      </c>
      <c r="L892" s="221" t="s">
        <v>2970</v>
      </c>
      <c r="M892" s="221" t="s">
        <v>3039</v>
      </c>
      <c r="N892" s="202">
        <v>708402715</v>
      </c>
      <c r="O892" s="223"/>
      <c r="P892" s="219" t="s">
        <v>676</v>
      </c>
      <c r="Q892" s="279"/>
      <c r="R892" s="155">
        <v>7</v>
      </c>
      <c r="S892" s="168"/>
      <c r="T892" s="168"/>
      <c r="U892" s="146"/>
      <c r="V892" s="146"/>
      <c r="W892" s="146"/>
      <c r="X892" s="156">
        <v>0</v>
      </c>
      <c r="Y892" s="156">
        <v>0</v>
      </c>
      <c r="Z892" s="157" t="s">
        <v>2703</v>
      </c>
      <c r="AA892" s="158">
        <v>2021</v>
      </c>
      <c r="AB892" s="158">
        <v>7</v>
      </c>
      <c r="AC892" s="158">
        <v>8</v>
      </c>
      <c r="AD892" s="122" t="b">
        <f>IF(ISBLANK(GroupMember[[#This Row],[1. Identifiant interne d’exploitation agricole*]]),"",IF(ISERROR(MATCH(GroupMember[[#This Row],[1. Identifiant interne d’exploitation agricole*]],CertifiedCrop[1. Identifiant interne d’exploitation agricole*],0)),FALSE,TRUE))</f>
        <v>1</v>
      </c>
      <c r="AE892" s="122" t="b">
        <f>IF(ISBLANK(GroupMember[[#This Row],[1. Identifiant interne d’exploitation agricole*]]),"",IF(ISERROR(MATCH(GroupMember[[#This Row],[1. Identifiant interne d’exploitation agricole*]],FarmUnit[1. Identifiant interne d’exploitation agricole*],0)),FALSE,TRUE))</f>
        <v>1</v>
      </c>
      <c r="AF892" s="9" t="str">
        <f t="shared" si="42"/>
        <v xml:space="preserve">TOURE  ALANGNAN PASCAL      </v>
      </c>
      <c r="AG892" s="243" t="str">
        <f t="shared" si="43"/>
        <v>8/7/2021</v>
      </c>
      <c r="AH892" s="51">
        <f>COUNTIFS(Z:Z,Z892,AG:AG,AG892)</f>
        <v>5</v>
      </c>
      <c r="AI892" s="49">
        <f t="shared" si="44"/>
        <v>0</v>
      </c>
    </row>
    <row r="893" spans="1:35" ht="15" x14ac:dyDescent="0.2">
      <c r="A893" s="193" t="s">
        <v>3040</v>
      </c>
      <c r="B893" s="146" t="s">
        <v>668</v>
      </c>
      <c r="C893" s="193" t="s">
        <v>3040</v>
      </c>
      <c r="D893" s="175" t="s">
        <v>2957</v>
      </c>
      <c r="E893" s="146" t="s">
        <v>670</v>
      </c>
      <c r="F893" s="146" t="s">
        <v>671</v>
      </c>
      <c r="G893" s="146" t="s">
        <v>672</v>
      </c>
      <c r="H893" s="175">
        <v>3.0478999999999998</v>
      </c>
      <c r="I893" s="146" t="s">
        <v>673</v>
      </c>
      <c r="J893" s="220">
        <v>1</v>
      </c>
      <c r="K893" s="150">
        <v>2021</v>
      </c>
      <c r="L893" s="221" t="s">
        <v>2400</v>
      </c>
      <c r="M893" s="221" t="s">
        <v>3041</v>
      </c>
      <c r="N893" s="202">
        <v>759621262</v>
      </c>
      <c r="O893" s="223"/>
      <c r="P893" s="219" t="s">
        <v>676</v>
      </c>
      <c r="Q893" s="279"/>
      <c r="R893" s="155">
        <v>5</v>
      </c>
      <c r="S893" s="168"/>
      <c r="T893" s="168"/>
      <c r="U893" s="146"/>
      <c r="V893" s="146"/>
      <c r="W893" s="146"/>
      <c r="X893" s="156">
        <v>0</v>
      </c>
      <c r="Y893" s="156">
        <v>0</v>
      </c>
      <c r="Z893" s="157" t="s">
        <v>2703</v>
      </c>
      <c r="AA893" s="158">
        <v>2021</v>
      </c>
      <c r="AB893" s="158">
        <v>8</v>
      </c>
      <c r="AC893" s="158">
        <v>14</v>
      </c>
      <c r="AD893" s="122" t="b">
        <f>IF(ISBLANK(GroupMember[[#This Row],[1. Identifiant interne d’exploitation agricole*]]),"",IF(ISERROR(MATCH(GroupMember[[#This Row],[1. Identifiant interne d’exploitation agricole*]],CertifiedCrop[1. Identifiant interne d’exploitation agricole*],0)),FALSE,TRUE))</f>
        <v>1</v>
      </c>
      <c r="AE893" s="122" t="b">
        <f>IF(ISBLANK(GroupMember[[#This Row],[1. Identifiant interne d’exploitation agricole*]]),"",IF(ISERROR(MATCH(GroupMember[[#This Row],[1. Identifiant interne d’exploitation agricole*]],FarmUnit[1. Identifiant interne d’exploitation agricole*],0)),FALSE,TRUE))</f>
        <v>1</v>
      </c>
      <c r="AF893" s="9" t="str">
        <f t="shared" si="42"/>
        <v>KOFFI N'GORAN EVARISTE</v>
      </c>
      <c r="AG893" s="243" t="str">
        <f t="shared" si="43"/>
        <v>14/8/2021</v>
      </c>
      <c r="AH893" s="51">
        <f>COUNTIFS(Z:Z,Z893,AG:AG,AG893)</f>
        <v>4</v>
      </c>
      <c r="AI893" s="49">
        <f t="shared" si="44"/>
        <v>0</v>
      </c>
    </row>
    <row r="894" spans="1:35" ht="15" x14ac:dyDescent="0.2">
      <c r="A894" s="193" t="s">
        <v>3042</v>
      </c>
      <c r="B894" s="146" t="s">
        <v>668</v>
      </c>
      <c r="C894" s="193" t="s">
        <v>3042</v>
      </c>
      <c r="D894" s="175" t="s">
        <v>2957</v>
      </c>
      <c r="E894" s="146" t="s">
        <v>670</v>
      </c>
      <c r="F894" s="146" t="s">
        <v>671</v>
      </c>
      <c r="G894" s="146" t="s">
        <v>672</v>
      </c>
      <c r="H894" s="175">
        <v>1.79</v>
      </c>
      <c r="I894" s="146" t="s">
        <v>673</v>
      </c>
      <c r="J894" s="220">
        <v>1</v>
      </c>
      <c r="K894" s="150">
        <v>2021</v>
      </c>
      <c r="L894" s="221" t="s">
        <v>2396</v>
      </c>
      <c r="M894" s="221" t="s">
        <v>3043</v>
      </c>
      <c r="N894" s="202">
        <v>797988875</v>
      </c>
      <c r="O894" s="223"/>
      <c r="P894" s="219" t="s">
        <v>676</v>
      </c>
      <c r="Q894" s="279"/>
      <c r="R894" s="155">
        <v>6</v>
      </c>
      <c r="S894" s="168"/>
      <c r="T894" s="168"/>
      <c r="U894" s="146"/>
      <c r="V894" s="146"/>
      <c r="W894" s="146"/>
      <c r="X894" s="156">
        <v>0</v>
      </c>
      <c r="Y894" s="156">
        <v>0</v>
      </c>
      <c r="Z894" s="157" t="s">
        <v>2703</v>
      </c>
      <c r="AA894" s="158">
        <v>2021</v>
      </c>
      <c r="AB894" s="158">
        <v>8</v>
      </c>
      <c r="AC894" s="158">
        <v>17</v>
      </c>
      <c r="AD894" s="122" t="b">
        <f>IF(ISBLANK(GroupMember[[#This Row],[1. Identifiant interne d’exploitation agricole*]]),"",IF(ISERROR(MATCH(GroupMember[[#This Row],[1. Identifiant interne d’exploitation agricole*]],CertifiedCrop[1. Identifiant interne d’exploitation agricole*],0)),FALSE,TRUE))</f>
        <v>1</v>
      </c>
      <c r="AE894" s="122" t="b">
        <f>IF(ISBLANK(GroupMember[[#This Row],[1. Identifiant interne d’exploitation agricole*]]),"",IF(ISERROR(MATCH(GroupMember[[#This Row],[1. Identifiant interne d’exploitation agricole*]],FarmUnit[1. Identifiant interne d’exploitation agricole*],0)),FALSE,TRUE))</f>
        <v>1</v>
      </c>
      <c r="AF894" s="9" t="str">
        <f t="shared" si="42"/>
        <v>KOUAKOU KONAN GUY LANDRY</v>
      </c>
      <c r="AG894" s="243" t="str">
        <f t="shared" si="43"/>
        <v>17/8/2021</v>
      </c>
      <c r="AH894" s="51">
        <f>COUNTIFS(Z:Z,Z894,AG:AG,AG894)</f>
        <v>3</v>
      </c>
      <c r="AI894" s="49">
        <f t="shared" si="44"/>
        <v>0</v>
      </c>
    </row>
    <row r="895" spans="1:35" ht="15" x14ac:dyDescent="0.2">
      <c r="A895" s="193" t="s">
        <v>3044</v>
      </c>
      <c r="B895" s="146" t="s">
        <v>668</v>
      </c>
      <c r="C895" s="193" t="s">
        <v>3044</v>
      </c>
      <c r="D895" s="175" t="s">
        <v>3045</v>
      </c>
      <c r="E895" s="146" t="s">
        <v>670</v>
      </c>
      <c r="F895" s="146" t="s">
        <v>671</v>
      </c>
      <c r="G895" s="146" t="s">
        <v>672</v>
      </c>
      <c r="H895" s="175">
        <v>3.2</v>
      </c>
      <c r="I895" s="146" t="s">
        <v>673</v>
      </c>
      <c r="J895" s="220">
        <v>1</v>
      </c>
      <c r="K895" s="150">
        <v>2021</v>
      </c>
      <c r="L895" s="221" t="s">
        <v>3046</v>
      </c>
      <c r="M895" s="221" t="s">
        <v>3047</v>
      </c>
      <c r="N895" s="202">
        <v>709833442</v>
      </c>
      <c r="O895" s="223" t="s">
        <v>3048</v>
      </c>
      <c r="P895" s="219" t="s">
        <v>676</v>
      </c>
      <c r="Q895" s="279">
        <v>1991</v>
      </c>
      <c r="R895" s="155">
        <v>8</v>
      </c>
      <c r="S895" s="168"/>
      <c r="T895" s="168"/>
      <c r="U895" s="146"/>
      <c r="V895" s="146"/>
      <c r="W895" s="146"/>
      <c r="X895" s="156">
        <v>0</v>
      </c>
      <c r="Y895" s="156">
        <v>0</v>
      </c>
      <c r="Z895" s="157" t="s">
        <v>2703</v>
      </c>
      <c r="AA895" s="158">
        <v>2021</v>
      </c>
      <c r="AB895" s="158">
        <v>8</v>
      </c>
      <c r="AC895" s="158">
        <v>19</v>
      </c>
      <c r="AD895" s="122" t="b">
        <f>IF(ISBLANK(GroupMember[[#This Row],[1. Identifiant interne d’exploitation agricole*]]),"",IF(ISERROR(MATCH(GroupMember[[#This Row],[1. Identifiant interne d’exploitation agricole*]],CertifiedCrop[1. Identifiant interne d’exploitation agricole*],0)),FALSE,TRUE))</f>
        <v>1</v>
      </c>
      <c r="AE895" s="122" t="b">
        <f>IF(ISBLANK(GroupMember[[#This Row],[1. Identifiant interne d’exploitation agricole*]]),"",IF(ISERROR(MATCH(GroupMember[[#This Row],[1. Identifiant interne d’exploitation agricole*]],FarmUnit[1. Identifiant interne d’exploitation agricole*],0)),FALSE,TRUE))</f>
        <v>1</v>
      </c>
      <c r="AF895" s="9" t="str">
        <f t="shared" si="42"/>
        <v>SARAKA KONAN MAURICE</v>
      </c>
      <c r="AG895" s="243" t="str">
        <f t="shared" si="43"/>
        <v>19/8/2021</v>
      </c>
      <c r="AH895" s="51">
        <f>COUNTIFS(Z:Z,Z895,AG:AG,AG895)</f>
        <v>2</v>
      </c>
      <c r="AI895" s="49">
        <f t="shared" si="44"/>
        <v>0</v>
      </c>
    </row>
    <row r="896" spans="1:35" ht="15" x14ac:dyDescent="0.2">
      <c r="A896" s="193" t="s">
        <v>3049</v>
      </c>
      <c r="B896" s="146" t="s">
        <v>668</v>
      </c>
      <c r="C896" s="193" t="s">
        <v>3049</v>
      </c>
      <c r="D896" s="175" t="s">
        <v>3045</v>
      </c>
      <c r="E896" s="146" t="s">
        <v>670</v>
      </c>
      <c r="F896" s="146" t="s">
        <v>671</v>
      </c>
      <c r="G896" s="146" t="s">
        <v>672</v>
      </c>
      <c r="H896" s="175">
        <v>4.29</v>
      </c>
      <c r="I896" s="146" t="s">
        <v>673</v>
      </c>
      <c r="J896" s="220">
        <v>1</v>
      </c>
      <c r="K896" s="150">
        <v>2021</v>
      </c>
      <c r="L896" s="221" t="s">
        <v>2958</v>
      </c>
      <c r="M896" s="221" t="s">
        <v>3050</v>
      </c>
      <c r="N896" s="202">
        <v>749115134</v>
      </c>
      <c r="O896" s="223" t="s">
        <v>3051</v>
      </c>
      <c r="P896" s="219" t="s">
        <v>676</v>
      </c>
      <c r="Q896" s="279">
        <v>1976</v>
      </c>
      <c r="R896" s="155">
        <v>7</v>
      </c>
      <c r="S896" s="168"/>
      <c r="T896" s="168"/>
      <c r="U896" s="146"/>
      <c r="V896" s="146"/>
      <c r="W896" s="146"/>
      <c r="X896" s="156">
        <v>0</v>
      </c>
      <c r="Y896" s="156">
        <v>0</v>
      </c>
      <c r="Z896" s="157" t="s">
        <v>2703</v>
      </c>
      <c r="AA896" s="158">
        <v>2021</v>
      </c>
      <c r="AB896" s="158">
        <v>8</v>
      </c>
      <c r="AC896" s="158">
        <v>21</v>
      </c>
      <c r="AD896" s="122" t="b">
        <f>IF(ISBLANK(GroupMember[[#This Row],[1. Identifiant interne d’exploitation agricole*]]),"",IF(ISERROR(MATCH(GroupMember[[#This Row],[1. Identifiant interne d’exploitation agricole*]],CertifiedCrop[1. Identifiant interne d’exploitation agricole*],0)),FALSE,TRUE))</f>
        <v>1</v>
      </c>
      <c r="AE896" s="122" t="b">
        <f>IF(ISBLANK(GroupMember[[#This Row],[1. Identifiant interne d’exploitation agricole*]]),"",IF(ISERROR(MATCH(GroupMember[[#This Row],[1. Identifiant interne d’exploitation agricole*]],FarmUnit[1. Identifiant interne d’exploitation agricole*],0)),FALSE,TRUE))</f>
        <v>1</v>
      </c>
      <c r="AF896" s="9" t="str">
        <f t="shared" si="42"/>
        <v>YOBOUET  KOUAME BLAISE</v>
      </c>
      <c r="AG896" s="243" t="str">
        <f t="shared" si="43"/>
        <v>21/8/2021</v>
      </c>
      <c r="AH896" s="51">
        <f>COUNTIFS(Z:Z,Z896,AG:AG,AG896)</f>
        <v>5</v>
      </c>
      <c r="AI896" s="49">
        <f t="shared" si="44"/>
        <v>0</v>
      </c>
    </row>
    <row r="897" spans="1:35" ht="15" x14ac:dyDescent="0.2">
      <c r="A897" s="193" t="s">
        <v>3052</v>
      </c>
      <c r="B897" s="146" t="s">
        <v>668</v>
      </c>
      <c r="C897" s="193" t="s">
        <v>3052</v>
      </c>
      <c r="D897" s="175" t="s">
        <v>3045</v>
      </c>
      <c r="E897" s="146" t="s">
        <v>670</v>
      </c>
      <c r="F897" s="146" t="s">
        <v>671</v>
      </c>
      <c r="G897" s="146" t="s">
        <v>672</v>
      </c>
      <c r="H897" s="175">
        <v>4.88</v>
      </c>
      <c r="I897" s="146" t="s">
        <v>673</v>
      </c>
      <c r="J897" s="220">
        <v>1</v>
      </c>
      <c r="K897" s="150">
        <v>2021</v>
      </c>
      <c r="L897" s="221" t="s">
        <v>2833</v>
      </c>
      <c r="M897" s="221" t="s">
        <v>3053</v>
      </c>
      <c r="N897" s="202">
        <v>7471127904</v>
      </c>
      <c r="O897" s="223" t="s">
        <v>3054</v>
      </c>
      <c r="P897" s="219" t="s">
        <v>676</v>
      </c>
      <c r="Q897" s="279">
        <v>1982</v>
      </c>
      <c r="R897" s="155">
        <v>6</v>
      </c>
      <c r="S897" s="168"/>
      <c r="T897" s="168"/>
      <c r="U897" s="146"/>
      <c r="V897" s="146"/>
      <c r="W897" s="146"/>
      <c r="X897" s="156">
        <v>0</v>
      </c>
      <c r="Y897" s="156">
        <v>0</v>
      </c>
      <c r="Z897" s="157" t="s">
        <v>2703</v>
      </c>
      <c r="AA897" s="158">
        <v>2021</v>
      </c>
      <c r="AB897" s="158">
        <v>8</v>
      </c>
      <c r="AC897" s="158">
        <v>19</v>
      </c>
      <c r="AD897" s="122" t="b">
        <f>IF(ISBLANK(GroupMember[[#This Row],[1. Identifiant interne d’exploitation agricole*]]),"",IF(ISERROR(MATCH(GroupMember[[#This Row],[1. Identifiant interne d’exploitation agricole*]],CertifiedCrop[1. Identifiant interne d’exploitation agricole*],0)),FALSE,TRUE))</f>
        <v>1</v>
      </c>
      <c r="AE897" s="122" t="b">
        <f>IF(ISBLANK(GroupMember[[#This Row],[1. Identifiant interne d’exploitation agricole*]]),"",IF(ISERROR(MATCH(GroupMember[[#This Row],[1. Identifiant interne d’exploitation agricole*]],FarmUnit[1. Identifiant interne d’exploitation agricole*],0)),FALSE,TRUE))</f>
        <v>1</v>
      </c>
      <c r="AF897" s="9" t="str">
        <f t="shared" si="42"/>
        <v>KOUADIO ALLE</v>
      </c>
      <c r="AG897" s="243" t="str">
        <f t="shared" si="43"/>
        <v>19/8/2021</v>
      </c>
      <c r="AH897" s="51">
        <f>COUNTIFS(Z:Z,Z897,AG:AG,AG897)</f>
        <v>2</v>
      </c>
      <c r="AI897" s="49">
        <f t="shared" si="44"/>
        <v>0</v>
      </c>
    </row>
    <row r="898" spans="1:35" ht="15" x14ac:dyDescent="0.2">
      <c r="A898" s="193" t="s">
        <v>3055</v>
      </c>
      <c r="B898" s="146" t="s">
        <v>668</v>
      </c>
      <c r="C898" s="193" t="s">
        <v>3055</v>
      </c>
      <c r="D898" s="175" t="s">
        <v>3045</v>
      </c>
      <c r="E898" s="146" t="s">
        <v>670</v>
      </c>
      <c r="F898" s="146" t="s">
        <v>671</v>
      </c>
      <c r="G898" s="146" t="s">
        <v>672</v>
      </c>
      <c r="H898" s="175">
        <v>2.2000000000000002</v>
      </c>
      <c r="I898" s="146" t="s">
        <v>673</v>
      </c>
      <c r="J898" s="220">
        <v>1</v>
      </c>
      <c r="K898" s="150">
        <v>2021</v>
      </c>
      <c r="L898" s="221" t="s">
        <v>1670</v>
      </c>
      <c r="M898" s="221" t="s">
        <v>3056</v>
      </c>
      <c r="N898" s="202">
        <v>788112345</v>
      </c>
      <c r="O898" s="223" t="s">
        <v>3057</v>
      </c>
      <c r="P898" s="219" t="s">
        <v>676</v>
      </c>
      <c r="Q898" s="279">
        <v>1993</v>
      </c>
      <c r="R898" s="155">
        <v>8</v>
      </c>
      <c r="S898" s="168"/>
      <c r="T898" s="168"/>
      <c r="U898" s="146"/>
      <c r="V898" s="146"/>
      <c r="W898" s="146"/>
      <c r="X898" s="156">
        <v>0</v>
      </c>
      <c r="Y898" s="156">
        <v>0</v>
      </c>
      <c r="Z898" s="157" t="s">
        <v>2703</v>
      </c>
      <c r="AA898" s="158">
        <v>2021</v>
      </c>
      <c r="AB898" s="158">
        <v>8</v>
      </c>
      <c r="AC898" s="158">
        <v>13</v>
      </c>
      <c r="AD898" s="122" t="b">
        <f>IF(ISBLANK(GroupMember[[#This Row],[1. Identifiant interne d’exploitation agricole*]]),"",IF(ISERROR(MATCH(GroupMember[[#This Row],[1. Identifiant interne d’exploitation agricole*]],CertifiedCrop[1. Identifiant interne d’exploitation agricole*],0)),FALSE,TRUE))</f>
        <v>1</v>
      </c>
      <c r="AE898" s="122" t="b">
        <f>IF(ISBLANK(GroupMember[[#This Row],[1. Identifiant interne d’exploitation agricole*]]),"",IF(ISERROR(MATCH(GroupMember[[#This Row],[1. Identifiant interne d’exploitation agricole*]],FarmUnit[1. Identifiant interne d’exploitation agricole*],0)),FALSE,TRUE))</f>
        <v>1</v>
      </c>
      <c r="AF898" s="9" t="str">
        <f t="shared" si="42"/>
        <v>YAO KOFFI PAULIN</v>
      </c>
      <c r="AG898" s="243" t="str">
        <f t="shared" si="43"/>
        <v>13/8/2021</v>
      </c>
      <c r="AH898" s="51">
        <f>COUNTIFS(Z:Z,Z898,AG:AG,AG898)</f>
        <v>4</v>
      </c>
      <c r="AI898" s="49">
        <f t="shared" si="44"/>
        <v>0</v>
      </c>
    </row>
    <row r="899" spans="1:35" ht="15" x14ac:dyDescent="0.2">
      <c r="A899" s="193" t="s">
        <v>3058</v>
      </c>
      <c r="B899" s="146" t="s">
        <v>668</v>
      </c>
      <c r="C899" s="193" t="s">
        <v>3058</v>
      </c>
      <c r="D899" s="175" t="s">
        <v>2957</v>
      </c>
      <c r="E899" s="146" t="s">
        <v>670</v>
      </c>
      <c r="F899" s="146" t="s">
        <v>671</v>
      </c>
      <c r="G899" s="146" t="s">
        <v>672</v>
      </c>
      <c r="H899" s="175">
        <v>9.4700000000000006</v>
      </c>
      <c r="I899" s="146" t="s">
        <v>673</v>
      </c>
      <c r="J899" s="220">
        <v>2</v>
      </c>
      <c r="K899" s="150">
        <v>2021</v>
      </c>
      <c r="L899" s="221" t="s">
        <v>2833</v>
      </c>
      <c r="M899" s="221" t="s">
        <v>3059</v>
      </c>
      <c r="N899" s="202">
        <v>707121560</v>
      </c>
      <c r="O899" s="223"/>
      <c r="P899" s="219" t="s">
        <v>676</v>
      </c>
      <c r="Q899" s="302"/>
      <c r="R899" s="155">
        <v>7</v>
      </c>
      <c r="S899" s="168"/>
      <c r="T899" s="168"/>
      <c r="U899" s="146"/>
      <c r="V899" s="146"/>
      <c r="W899" s="146"/>
      <c r="X899" s="156">
        <v>0</v>
      </c>
      <c r="Y899" s="156">
        <v>0</v>
      </c>
      <c r="Z899" s="157" t="s">
        <v>2703</v>
      </c>
      <c r="AA899" s="158">
        <v>2021</v>
      </c>
      <c r="AB899" s="158">
        <v>8</v>
      </c>
      <c r="AC899" s="158">
        <v>9</v>
      </c>
      <c r="AD899" s="122" t="b">
        <f>IF(ISBLANK(GroupMember[[#This Row],[1. Identifiant interne d’exploitation agricole*]]),"",IF(ISERROR(MATCH(GroupMember[[#This Row],[1. Identifiant interne d’exploitation agricole*]],CertifiedCrop[1. Identifiant interne d’exploitation agricole*],0)),FALSE,TRUE))</f>
        <v>1</v>
      </c>
      <c r="AE899" s="122" t="b">
        <f>IF(ISBLANK(GroupMember[[#This Row],[1. Identifiant interne d’exploitation agricole*]]),"",IF(ISERROR(MATCH(GroupMember[[#This Row],[1. Identifiant interne d’exploitation agricole*]],FarmUnit[1. Identifiant interne d’exploitation agricole*],0)),FALSE,TRUE))</f>
        <v>1</v>
      </c>
      <c r="AF899" s="9" t="str">
        <f t="shared" si="42"/>
        <v xml:space="preserve">KOUADIO KOUAKOU ROMARIC      </v>
      </c>
      <c r="AG899" s="243" t="str">
        <f t="shared" si="43"/>
        <v>9/8/2021</v>
      </c>
      <c r="AH899" s="51">
        <f>COUNTIFS(Z:Z,Z899,AG:AG,AG899)</f>
        <v>5</v>
      </c>
      <c r="AI899" s="49">
        <f t="shared" si="44"/>
        <v>0</v>
      </c>
    </row>
    <row r="900" spans="1:35" ht="15" x14ac:dyDescent="0.2">
      <c r="A900" s="193" t="s">
        <v>3060</v>
      </c>
      <c r="B900" s="146" t="s">
        <v>668</v>
      </c>
      <c r="C900" s="193" t="s">
        <v>3060</v>
      </c>
      <c r="D900" s="175" t="s">
        <v>2957</v>
      </c>
      <c r="E900" s="146" t="s">
        <v>670</v>
      </c>
      <c r="F900" s="146" t="s">
        <v>671</v>
      </c>
      <c r="G900" s="146" t="s">
        <v>672</v>
      </c>
      <c r="H900" s="175">
        <v>3.84</v>
      </c>
      <c r="I900" s="146" t="s">
        <v>673</v>
      </c>
      <c r="J900" s="220">
        <v>1</v>
      </c>
      <c r="K900" s="150">
        <v>2021</v>
      </c>
      <c r="L900" s="221" t="s">
        <v>3029</v>
      </c>
      <c r="M900" s="221" t="s">
        <v>3061</v>
      </c>
      <c r="N900" s="202">
        <v>709359190</v>
      </c>
      <c r="O900" s="223" t="s">
        <v>3062</v>
      </c>
      <c r="P900" s="219" t="s">
        <v>676</v>
      </c>
      <c r="Q900" s="279">
        <v>1987</v>
      </c>
      <c r="R900" s="155">
        <v>8</v>
      </c>
      <c r="S900" s="168"/>
      <c r="T900" s="168"/>
      <c r="U900" s="146"/>
      <c r="V900" s="146"/>
      <c r="W900" s="146"/>
      <c r="X900" s="156">
        <v>0</v>
      </c>
      <c r="Y900" s="156">
        <v>0</v>
      </c>
      <c r="Z900" s="157" t="s">
        <v>2703</v>
      </c>
      <c r="AA900" s="158">
        <v>2021</v>
      </c>
      <c r="AB900" s="158">
        <v>8</v>
      </c>
      <c r="AC900" s="158">
        <v>21</v>
      </c>
      <c r="AD900" s="122" t="b">
        <f>IF(ISBLANK(GroupMember[[#This Row],[1. Identifiant interne d’exploitation agricole*]]),"",IF(ISERROR(MATCH(GroupMember[[#This Row],[1. Identifiant interne d’exploitation agricole*]],CertifiedCrop[1. Identifiant interne d’exploitation agricole*],0)),FALSE,TRUE))</f>
        <v>1</v>
      </c>
      <c r="AE900" s="122" t="b">
        <f>IF(ISBLANK(GroupMember[[#This Row],[1. Identifiant interne d’exploitation agricole*]]),"",IF(ISERROR(MATCH(GroupMember[[#This Row],[1. Identifiant interne d’exploitation agricole*]],FarmUnit[1. Identifiant interne d’exploitation agricole*],0)),FALSE,TRUE))</f>
        <v>1</v>
      </c>
      <c r="AF900" s="9" t="str">
        <f t="shared" si="42"/>
        <v>YAO  YAO ANDRE</v>
      </c>
      <c r="AG900" s="243" t="str">
        <f t="shared" si="43"/>
        <v>21/8/2021</v>
      </c>
      <c r="AH900" s="51">
        <f>COUNTIFS(Z:Z,Z900,AG:AG,AG900)</f>
        <v>5</v>
      </c>
      <c r="AI900" s="49">
        <f t="shared" si="44"/>
        <v>0</v>
      </c>
    </row>
    <row r="901" spans="1:35" ht="15" x14ac:dyDescent="0.2">
      <c r="A901" s="193" t="s">
        <v>3063</v>
      </c>
      <c r="B901" s="146" t="s">
        <v>668</v>
      </c>
      <c r="C901" s="193" t="s">
        <v>3063</v>
      </c>
      <c r="D901" s="175" t="s">
        <v>3064</v>
      </c>
      <c r="E901" s="146" t="s">
        <v>670</v>
      </c>
      <c r="F901" s="146" t="s">
        <v>671</v>
      </c>
      <c r="G901" s="146" t="s">
        <v>672</v>
      </c>
      <c r="H901" s="175">
        <v>4.33</v>
      </c>
      <c r="I901" s="146" t="s">
        <v>673</v>
      </c>
      <c r="J901" s="220">
        <v>1</v>
      </c>
      <c r="K901" s="150">
        <v>2021</v>
      </c>
      <c r="L901" s="221" t="s">
        <v>3065</v>
      </c>
      <c r="M901" s="221" t="s">
        <v>3066</v>
      </c>
      <c r="N901" s="202">
        <v>748558422</v>
      </c>
      <c r="O901" s="223"/>
      <c r="P901" s="219" t="s">
        <v>676</v>
      </c>
      <c r="Q901" s="302"/>
      <c r="R901" s="155">
        <v>9</v>
      </c>
      <c r="S901" s="168"/>
      <c r="T901" s="168"/>
      <c r="U901" s="146"/>
      <c r="V901" s="146"/>
      <c r="W901" s="146"/>
      <c r="X901" s="156">
        <v>0</v>
      </c>
      <c r="Y901" s="156">
        <v>0</v>
      </c>
      <c r="Z901" s="157" t="s">
        <v>2703</v>
      </c>
      <c r="AA901" s="158">
        <v>2021</v>
      </c>
      <c r="AB901" s="158">
        <v>8</v>
      </c>
      <c r="AC901" s="158">
        <v>20</v>
      </c>
      <c r="AD901" s="122" t="b">
        <f>IF(ISBLANK(GroupMember[[#This Row],[1. Identifiant interne d’exploitation agricole*]]),"",IF(ISERROR(MATCH(GroupMember[[#This Row],[1. Identifiant interne d’exploitation agricole*]],CertifiedCrop[1. Identifiant interne d’exploitation agricole*],0)),FALSE,TRUE))</f>
        <v>1</v>
      </c>
      <c r="AE901" s="122" t="b">
        <f>IF(ISBLANK(GroupMember[[#This Row],[1. Identifiant interne d’exploitation agricole*]]),"",IF(ISERROR(MATCH(GroupMember[[#This Row],[1. Identifiant interne d’exploitation agricole*]],FarmUnit[1. Identifiant interne d’exploitation agricole*],0)),FALSE,TRUE))</f>
        <v>1</v>
      </c>
      <c r="AF901" s="9" t="str">
        <f t="shared" si="42"/>
        <v>HIEN SIE YENOUOTE</v>
      </c>
      <c r="AG901" s="243" t="str">
        <f t="shared" si="43"/>
        <v>20/8/2021</v>
      </c>
      <c r="AH901" s="51">
        <f>COUNTIFS(Z:Z,Z901,AG:AG,AG901)</f>
        <v>3</v>
      </c>
      <c r="AI901" s="49">
        <f t="shared" si="44"/>
        <v>0</v>
      </c>
    </row>
    <row r="902" spans="1:35" ht="15" x14ac:dyDescent="0.2">
      <c r="A902" s="193" t="s">
        <v>3067</v>
      </c>
      <c r="B902" s="146" t="s">
        <v>668</v>
      </c>
      <c r="C902" s="193" t="s">
        <v>3067</v>
      </c>
      <c r="D902" s="175" t="s">
        <v>3064</v>
      </c>
      <c r="E902" s="146" t="s">
        <v>670</v>
      </c>
      <c r="F902" s="146" t="s">
        <v>671</v>
      </c>
      <c r="G902" s="146" t="s">
        <v>672</v>
      </c>
      <c r="H902" s="175">
        <v>1.8</v>
      </c>
      <c r="I902" s="146" t="s">
        <v>673</v>
      </c>
      <c r="J902" s="220">
        <v>1</v>
      </c>
      <c r="K902" s="150">
        <v>2021</v>
      </c>
      <c r="L902" s="221" t="s">
        <v>3068</v>
      </c>
      <c r="M902" s="221" t="s">
        <v>3069</v>
      </c>
      <c r="N902" s="202">
        <v>768316178</v>
      </c>
      <c r="O902" s="223"/>
      <c r="P902" s="219" t="s">
        <v>676</v>
      </c>
      <c r="Q902" s="275"/>
      <c r="R902" s="155">
        <v>9</v>
      </c>
      <c r="S902" s="168"/>
      <c r="T902" s="168"/>
      <c r="U902" s="146"/>
      <c r="V902" s="146"/>
      <c r="W902" s="146"/>
      <c r="X902" s="156">
        <v>0</v>
      </c>
      <c r="Y902" s="156">
        <v>0</v>
      </c>
      <c r="Z902" s="157" t="s">
        <v>2703</v>
      </c>
      <c r="AA902" s="158">
        <v>2021</v>
      </c>
      <c r="AB902" s="158">
        <v>8</v>
      </c>
      <c r="AC902" s="158">
        <v>22</v>
      </c>
      <c r="AD902" s="122" t="b">
        <f>IF(ISBLANK(GroupMember[[#This Row],[1. Identifiant interne d’exploitation agricole*]]),"",IF(ISERROR(MATCH(GroupMember[[#This Row],[1. Identifiant interne d’exploitation agricole*]],CertifiedCrop[1. Identifiant interne d’exploitation agricole*],0)),FALSE,TRUE))</f>
        <v>1</v>
      </c>
      <c r="AE902" s="122" t="b">
        <f>IF(ISBLANK(GroupMember[[#This Row],[1. Identifiant interne d’exploitation agricole*]]),"",IF(ISERROR(MATCH(GroupMember[[#This Row],[1. Identifiant interne d’exploitation agricole*]],FarmUnit[1. Identifiant interne d’exploitation agricole*],0)),FALSE,TRUE))</f>
        <v>1</v>
      </c>
      <c r="AF902" s="9" t="str">
        <f t="shared" si="42"/>
        <v>BIWITHE SOMATE</v>
      </c>
      <c r="AG902" s="243" t="str">
        <f t="shared" si="43"/>
        <v>22/8/2021</v>
      </c>
      <c r="AH902" s="51">
        <f>COUNTIFS(Z:Z,Z902,AG:AG,AG902)</f>
        <v>1</v>
      </c>
      <c r="AI902" s="49">
        <f t="shared" si="44"/>
        <v>0</v>
      </c>
    </row>
    <row r="903" spans="1:35" ht="15" x14ac:dyDescent="0.2">
      <c r="A903" s="193" t="s">
        <v>3070</v>
      </c>
      <c r="B903" s="146" t="s">
        <v>668</v>
      </c>
      <c r="C903" s="193" t="s">
        <v>3070</v>
      </c>
      <c r="D903" s="175" t="s">
        <v>3064</v>
      </c>
      <c r="E903" s="146" t="s">
        <v>670</v>
      </c>
      <c r="F903" s="146" t="s">
        <v>671</v>
      </c>
      <c r="G903" s="146" t="s">
        <v>672</v>
      </c>
      <c r="H903" s="175">
        <v>2.1</v>
      </c>
      <c r="I903" s="146" t="s">
        <v>673</v>
      </c>
      <c r="J903" s="220">
        <v>1</v>
      </c>
      <c r="K903" s="150">
        <v>2021</v>
      </c>
      <c r="L903" s="221" t="s">
        <v>2954</v>
      </c>
      <c r="M903" s="221" t="s">
        <v>3071</v>
      </c>
      <c r="N903" s="202"/>
      <c r="O903" s="223"/>
      <c r="P903" s="219" t="s">
        <v>676</v>
      </c>
      <c r="Q903" s="279"/>
      <c r="R903" s="155">
        <v>8</v>
      </c>
      <c r="S903" s="168"/>
      <c r="T903" s="168"/>
      <c r="U903" s="146"/>
      <c r="V903" s="146"/>
      <c r="W903" s="146"/>
      <c r="X903" s="156">
        <v>0</v>
      </c>
      <c r="Y903" s="156">
        <v>0</v>
      </c>
      <c r="Z903" s="157" t="s">
        <v>2703</v>
      </c>
      <c r="AA903" s="158">
        <v>2021</v>
      </c>
      <c r="AB903" s="158">
        <v>8</v>
      </c>
      <c r="AC903" s="158">
        <v>21</v>
      </c>
      <c r="AD903" s="122" t="b">
        <f>IF(ISBLANK(GroupMember[[#This Row],[1. Identifiant interne d’exploitation agricole*]]),"",IF(ISERROR(MATCH(GroupMember[[#This Row],[1. Identifiant interne d’exploitation agricole*]],CertifiedCrop[1. Identifiant interne d’exploitation agricole*],0)),FALSE,TRUE))</f>
        <v>1</v>
      </c>
      <c r="AE903" s="122" t="b">
        <f>IF(ISBLANK(GroupMember[[#This Row],[1. Identifiant interne d’exploitation agricole*]]),"",IF(ISERROR(MATCH(GroupMember[[#This Row],[1. Identifiant interne d’exploitation agricole*]],FarmUnit[1. Identifiant interne d’exploitation agricole*],0)),FALSE,TRUE))</f>
        <v>1</v>
      </c>
      <c r="AF903" s="9" t="str">
        <f t="shared" si="42"/>
        <v>SOM BIELLIMNE</v>
      </c>
      <c r="AG903" s="243" t="str">
        <f t="shared" si="43"/>
        <v>21/8/2021</v>
      </c>
      <c r="AH903" s="51">
        <f>COUNTIFS(Z:Z,Z903,AG:AG,AG903)</f>
        <v>5</v>
      </c>
      <c r="AI903" s="49">
        <f t="shared" si="44"/>
        <v>0</v>
      </c>
    </row>
    <row r="904" spans="1:35" ht="15" x14ac:dyDescent="0.2">
      <c r="A904" s="193" t="s">
        <v>3072</v>
      </c>
      <c r="B904" s="146" t="s">
        <v>668</v>
      </c>
      <c r="C904" s="193" t="s">
        <v>3072</v>
      </c>
      <c r="D904" s="175" t="s">
        <v>3064</v>
      </c>
      <c r="E904" s="146" t="s">
        <v>670</v>
      </c>
      <c r="F904" s="146" t="s">
        <v>671</v>
      </c>
      <c r="G904" s="146" t="s">
        <v>672</v>
      </c>
      <c r="H904" s="175">
        <v>3.82</v>
      </c>
      <c r="I904" s="146" t="s">
        <v>673</v>
      </c>
      <c r="J904" s="220">
        <v>1</v>
      </c>
      <c r="K904" s="150">
        <v>2021</v>
      </c>
      <c r="L904" s="221" t="s">
        <v>2954</v>
      </c>
      <c r="M904" s="221" t="s">
        <v>3073</v>
      </c>
      <c r="N904" s="202">
        <v>595519861</v>
      </c>
      <c r="O904" s="223" t="s">
        <v>3074</v>
      </c>
      <c r="P904" s="219" t="s">
        <v>676</v>
      </c>
      <c r="Q904" s="279">
        <v>1984</v>
      </c>
      <c r="R904" s="155">
        <v>5</v>
      </c>
      <c r="S904" s="168"/>
      <c r="T904" s="168"/>
      <c r="U904" s="146"/>
      <c r="V904" s="146"/>
      <c r="W904" s="146"/>
      <c r="X904" s="156">
        <v>0</v>
      </c>
      <c r="Y904" s="156">
        <v>0</v>
      </c>
      <c r="Z904" s="157" t="s">
        <v>2703</v>
      </c>
      <c r="AA904" s="158">
        <v>2021</v>
      </c>
      <c r="AB904" s="158">
        <v>8</v>
      </c>
      <c r="AC904" s="158">
        <v>20</v>
      </c>
      <c r="AD904" s="122" t="b">
        <f>IF(ISBLANK(GroupMember[[#This Row],[1. Identifiant interne d’exploitation agricole*]]),"",IF(ISERROR(MATCH(GroupMember[[#This Row],[1. Identifiant interne d’exploitation agricole*]],CertifiedCrop[1. Identifiant interne d’exploitation agricole*],0)),FALSE,TRUE))</f>
        <v>1</v>
      </c>
      <c r="AE904" s="122" t="b">
        <f>IF(ISBLANK(GroupMember[[#This Row],[1. Identifiant interne d’exploitation agricole*]]),"",IF(ISERROR(MATCH(GroupMember[[#This Row],[1. Identifiant interne d’exploitation agricole*]],FarmUnit[1. Identifiant interne d’exploitation agricole*],0)),FALSE,TRUE))</f>
        <v>1</v>
      </c>
      <c r="AF904" s="9" t="str">
        <f t="shared" si="42"/>
        <v>SOM ONVAREI</v>
      </c>
      <c r="AG904" s="243" t="str">
        <f t="shared" si="43"/>
        <v>20/8/2021</v>
      </c>
      <c r="AH904" s="51">
        <f>COUNTIFS(Z:Z,Z904,AG:AG,AG904)</f>
        <v>3</v>
      </c>
      <c r="AI904" s="49">
        <f t="shared" si="44"/>
        <v>0</v>
      </c>
    </row>
    <row r="905" spans="1:35" ht="15" x14ac:dyDescent="0.2">
      <c r="A905" s="193" t="s">
        <v>3075</v>
      </c>
      <c r="B905" s="146" t="s">
        <v>668</v>
      </c>
      <c r="C905" s="193" t="s">
        <v>3075</v>
      </c>
      <c r="D905" s="175" t="s">
        <v>3064</v>
      </c>
      <c r="E905" s="146" t="s">
        <v>670</v>
      </c>
      <c r="F905" s="146" t="s">
        <v>671</v>
      </c>
      <c r="G905" s="146" t="s">
        <v>672</v>
      </c>
      <c r="H905" s="175">
        <v>1.73</v>
      </c>
      <c r="I905" s="146" t="s">
        <v>673</v>
      </c>
      <c r="J905" s="220">
        <v>1</v>
      </c>
      <c r="K905" s="150">
        <v>2021</v>
      </c>
      <c r="L905" s="221" t="s">
        <v>1774</v>
      </c>
      <c r="M905" s="221" t="s">
        <v>3076</v>
      </c>
      <c r="N905" s="202">
        <v>764709166</v>
      </c>
      <c r="O905" s="223"/>
      <c r="P905" s="219" t="s">
        <v>676</v>
      </c>
      <c r="Q905" s="302"/>
      <c r="R905" s="155">
        <v>12</v>
      </c>
      <c r="S905" s="168"/>
      <c r="T905" s="168"/>
      <c r="U905" s="146"/>
      <c r="V905" s="146"/>
      <c r="W905" s="146"/>
      <c r="X905" s="156">
        <v>0</v>
      </c>
      <c r="Y905" s="156">
        <v>0</v>
      </c>
      <c r="Z905" s="157" t="s">
        <v>2703</v>
      </c>
      <c r="AA905" s="158">
        <v>2021</v>
      </c>
      <c r="AB905" s="158">
        <v>8</v>
      </c>
      <c r="AC905" s="158">
        <v>21</v>
      </c>
      <c r="AD905" s="122" t="b">
        <f>IF(ISBLANK(GroupMember[[#This Row],[1. Identifiant interne d’exploitation agricole*]]),"",IF(ISERROR(MATCH(GroupMember[[#This Row],[1. Identifiant interne d’exploitation agricole*]],CertifiedCrop[1. Identifiant interne d’exploitation agricole*],0)),FALSE,TRUE))</f>
        <v>1</v>
      </c>
      <c r="AE905" s="122" t="b">
        <f>IF(ISBLANK(GroupMember[[#This Row],[1. Identifiant interne d’exploitation agricole*]]),"",IF(ISERROR(MATCH(GroupMember[[#This Row],[1. Identifiant interne d’exploitation agricole*]],FarmUnit[1. Identifiant interne d’exploitation agricole*],0)),FALSE,TRUE))</f>
        <v>1</v>
      </c>
      <c r="AF905" s="9" t="str">
        <f t="shared" si="42"/>
        <v>COULIBALY DJAKALIA</v>
      </c>
      <c r="AG905" s="243" t="str">
        <f t="shared" si="43"/>
        <v>21/8/2021</v>
      </c>
      <c r="AH905" s="51">
        <f>COUNTIFS(Z:Z,Z905,AG:AG,AG905)</f>
        <v>5</v>
      </c>
      <c r="AI905" s="49">
        <f t="shared" si="44"/>
        <v>0</v>
      </c>
    </row>
    <row r="906" spans="1:35" ht="15" x14ac:dyDescent="0.2">
      <c r="A906" s="193" t="s">
        <v>3077</v>
      </c>
      <c r="B906" s="146" t="s">
        <v>668</v>
      </c>
      <c r="C906" s="193" t="s">
        <v>3077</v>
      </c>
      <c r="D906" s="175" t="s">
        <v>3078</v>
      </c>
      <c r="E906" s="146" t="s">
        <v>670</v>
      </c>
      <c r="F906" s="146" t="s">
        <v>671</v>
      </c>
      <c r="G906" s="146" t="s">
        <v>672</v>
      </c>
      <c r="H906" s="175">
        <v>2.2200000000000002</v>
      </c>
      <c r="I906" s="146" t="s">
        <v>673</v>
      </c>
      <c r="J906" s="220">
        <v>1</v>
      </c>
      <c r="K906" s="150">
        <v>2021</v>
      </c>
      <c r="L906" s="221" t="s">
        <v>701</v>
      </c>
      <c r="M906" s="221" t="s">
        <v>1920</v>
      </c>
      <c r="N906" s="202"/>
      <c r="O906" s="223"/>
      <c r="P906" s="219" t="s">
        <v>676</v>
      </c>
      <c r="Q906" s="279"/>
      <c r="R906" s="155">
        <v>8</v>
      </c>
      <c r="S906" s="168"/>
      <c r="T906" s="168"/>
      <c r="U906" s="146"/>
      <c r="V906" s="146"/>
      <c r="W906" s="146"/>
      <c r="X906" s="156">
        <v>0</v>
      </c>
      <c r="Y906" s="156">
        <v>0</v>
      </c>
      <c r="Z906" s="157" t="s">
        <v>2703</v>
      </c>
      <c r="AA906" s="158">
        <v>2021</v>
      </c>
      <c r="AB906" s="158">
        <v>8</v>
      </c>
      <c r="AC906" s="158">
        <v>21</v>
      </c>
      <c r="AD906" s="122" t="b">
        <f>IF(ISBLANK(GroupMember[[#This Row],[1. Identifiant interne d’exploitation agricole*]]),"",IF(ISERROR(MATCH(GroupMember[[#This Row],[1. Identifiant interne d’exploitation agricole*]],CertifiedCrop[1. Identifiant interne d’exploitation agricole*],0)),FALSE,TRUE))</f>
        <v>1</v>
      </c>
      <c r="AE906" s="122" t="b">
        <f>IF(ISBLANK(GroupMember[[#This Row],[1. Identifiant interne d’exploitation agricole*]]),"",IF(ISERROR(MATCH(GroupMember[[#This Row],[1. Identifiant interne d’exploitation agricole*]],FarmUnit[1. Identifiant interne d’exploitation agricole*],0)),FALSE,TRUE))</f>
        <v>1</v>
      </c>
      <c r="AF906" s="9" t="str">
        <f t="shared" si="42"/>
        <v>OUATTARA ALASSANE</v>
      </c>
      <c r="AG906" s="243" t="str">
        <f t="shared" si="43"/>
        <v>21/8/2021</v>
      </c>
      <c r="AH906" s="51">
        <f>COUNTIFS(Z:Z,Z906,AG:AG,AG906)</f>
        <v>5</v>
      </c>
      <c r="AI906" s="49">
        <f t="shared" si="44"/>
        <v>0</v>
      </c>
    </row>
    <row r="907" spans="1:35" ht="15" x14ac:dyDescent="0.2">
      <c r="A907" s="193" t="s">
        <v>3079</v>
      </c>
      <c r="B907" s="146" t="s">
        <v>668</v>
      </c>
      <c r="C907" s="193" t="s">
        <v>3079</v>
      </c>
      <c r="D907" s="175" t="s">
        <v>3078</v>
      </c>
      <c r="E907" s="146" t="s">
        <v>670</v>
      </c>
      <c r="F907" s="146" t="s">
        <v>671</v>
      </c>
      <c r="G907" s="146" t="s">
        <v>672</v>
      </c>
      <c r="H907" s="175">
        <v>0.9224</v>
      </c>
      <c r="I907" s="146" t="s">
        <v>673</v>
      </c>
      <c r="J907" s="220">
        <v>1</v>
      </c>
      <c r="K907" s="150">
        <v>2021</v>
      </c>
      <c r="L907" s="221" t="s">
        <v>1774</v>
      </c>
      <c r="M907" s="221" t="s">
        <v>2767</v>
      </c>
      <c r="N907" s="202"/>
      <c r="O907" s="282" t="s">
        <v>3303</v>
      </c>
      <c r="P907" s="219" t="s">
        <v>676</v>
      </c>
      <c r="Q907" s="278">
        <v>1996</v>
      </c>
      <c r="R907" s="155">
        <v>7</v>
      </c>
      <c r="S907" s="168"/>
      <c r="T907" s="168"/>
      <c r="U907" s="146"/>
      <c r="V907" s="146"/>
      <c r="W907" s="146"/>
      <c r="X907" s="156">
        <v>0</v>
      </c>
      <c r="Y907" s="156">
        <v>0</v>
      </c>
      <c r="Z907" s="157" t="s">
        <v>2703</v>
      </c>
      <c r="AA907" s="158">
        <v>2021</v>
      </c>
      <c r="AB907" s="158">
        <v>8</v>
      </c>
      <c r="AC907" s="158">
        <v>20</v>
      </c>
      <c r="AD907" s="122" t="b">
        <f>IF(ISBLANK(GroupMember[[#This Row],[1. Identifiant interne d’exploitation agricole*]]),"",IF(ISERROR(MATCH(GroupMember[[#This Row],[1. Identifiant interne d’exploitation agricole*]],CertifiedCrop[1. Identifiant interne d’exploitation agricole*],0)),FALSE,TRUE))</f>
        <v>1</v>
      </c>
      <c r="AE907" s="122" t="b">
        <f>IF(ISBLANK(GroupMember[[#This Row],[1. Identifiant interne d’exploitation agricole*]]),"",IF(ISERROR(MATCH(GroupMember[[#This Row],[1. Identifiant interne d’exploitation agricole*]],FarmUnit[1. Identifiant interne d’exploitation agricole*],0)),FALSE,TRUE))</f>
        <v>1</v>
      </c>
      <c r="AF907" s="9" t="str">
        <f t="shared" si="42"/>
        <v>COULIBALY BAKARI</v>
      </c>
      <c r="AG907" s="243" t="str">
        <f t="shared" si="43"/>
        <v>20/8/2021</v>
      </c>
      <c r="AH907" s="51">
        <f>COUNTIFS(Z:Z,Z907,AG:AG,AG907)</f>
        <v>3</v>
      </c>
      <c r="AI907" s="49">
        <f t="shared" si="44"/>
        <v>0</v>
      </c>
    </row>
    <row r="908" spans="1:35" ht="15" x14ac:dyDescent="0.2">
      <c r="A908" s="193" t="s">
        <v>3080</v>
      </c>
      <c r="B908" s="146" t="s">
        <v>668</v>
      </c>
      <c r="C908" s="193" t="s">
        <v>3080</v>
      </c>
      <c r="D908" s="175" t="s">
        <v>3078</v>
      </c>
      <c r="E908" s="146" t="s">
        <v>670</v>
      </c>
      <c r="F908" s="146" t="s">
        <v>671</v>
      </c>
      <c r="G908" s="146" t="s">
        <v>672</v>
      </c>
      <c r="H908" s="175">
        <v>4.6900000000000004</v>
      </c>
      <c r="I908" s="146" t="s">
        <v>673</v>
      </c>
      <c r="J908" s="220">
        <v>2</v>
      </c>
      <c r="K908" s="150">
        <v>2021</v>
      </c>
      <c r="L908" s="221" t="s">
        <v>2951</v>
      </c>
      <c r="M908" s="221" t="s">
        <v>3081</v>
      </c>
      <c r="N908" s="202">
        <v>758382013</v>
      </c>
      <c r="O908" s="223"/>
      <c r="P908" s="219" t="s">
        <v>676</v>
      </c>
      <c r="Q908" s="302"/>
      <c r="R908" s="155">
        <v>5</v>
      </c>
      <c r="S908" s="168"/>
      <c r="T908" s="168"/>
      <c r="U908" s="146"/>
      <c r="V908" s="146"/>
      <c r="W908" s="146"/>
      <c r="X908" s="156">
        <v>0</v>
      </c>
      <c r="Y908" s="156">
        <v>0</v>
      </c>
      <c r="Z908" s="157" t="s">
        <v>2703</v>
      </c>
      <c r="AA908" s="158">
        <v>2021</v>
      </c>
      <c r="AB908" s="158">
        <v>7</v>
      </c>
      <c r="AC908" s="158">
        <v>16</v>
      </c>
      <c r="AD908" s="122" t="b">
        <f>IF(ISBLANK(GroupMember[[#This Row],[1. Identifiant interne d’exploitation agricole*]]),"",IF(ISERROR(MATCH(GroupMember[[#This Row],[1. Identifiant interne d’exploitation agricole*]],CertifiedCrop[1. Identifiant interne d’exploitation agricole*],0)),FALSE,TRUE))</f>
        <v>1</v>
      </c>
      <c r="AE908" s="122" t="b">
        <f>IF(ISBLANK(GroupMember[[#This Row],[1. Identifiant interne d’exploitation agricole*]]),"",IF(ISERROR(MATCH(GroupMember[[#This Row],[1. Identifiant interne d’exploitation agricole*]],FarmUnit[1. Identifiant interne d’exploitation agricole*],0)),FALSE,TRUE))</f>
        <v>1</v>
      </c>
      <c r="AF908" s="9" t="str">
        <f t="shared" si="42"/>
        <v xml:space="preserve">TRAORE  DRISSA                        </v>
      </c>
      <c r="AG908" s="243" t="str">
        <f t="shared" si="43"/>
        <v>16/7/2021</v>
      </c>
      <c r="AH908" s="51">
        <f>COUNTIFS(Z:Z,Z908,AG:AG,AG908)</f>
        <v>4</v>
      </c>
      <c r="AI908" s="49">
        <f t="shared" si="44"/>
        <v>0</v>
      </c>
    </row>
    <row r="909" spans="1:35" ht="15" x14ac:dyDescent="0.2">
      <c r="A909" s="193" t="s">
        <v>3082</v>
      </c>
      <c r="B909" s="146" t="s">
        <v>668</v>
      </c>
      <c r="C909" s="193" t="s">
        <v>3082</v>
      </c>
      <c r="D909" s="175" t="s">
        <v>3078</v>
      </c>
      <c r="E909" s="146" t="s">
        <v>670</v>
      </c>
      <c r="F909" s="146" t="s">
        <v>671</v>
      </c>
      <c r="G909" s="146" t="s">
        <v>672</v>
      </c>
      <c r="H909" s="175">
        <v>2.1800000000000002</v>
      </c>
      <c r="I909" s="146" t="s">
        <v>673</v>
      </c>
      <c r="J909" s="220">
        <v>1</v>
      </c>
      <c r="K909" s="150">
        <v>2021</v>
      </c>
      <c r="L909" s="221" t="s">
        <v>701</v>
      </c>
      <c r="M909" s="221" t="s">
        <v>3083</v>
      </c>
      <c r="N909" s="202"/>
      <c r="O909" s="223"/>
      <c r="P909" s="219" t="s">
        <v>676</v>
      </c>
      <c r="Q909" s="279"/>
      <c r="R909" s="155">
        <v>8</v>
      </c>
      <c r="S909" s="168"/>
      <c r="T909" s="168"/>
      <c r="U909" s="146"/>
      <c r="V909" s="146"/>
      <c r="W909" s="146"/>
      <c r="X909" s="156">
        <v>0</v>
      </c>
      <c r="Y909" s="156">
        <v>0</v>
      </c>
      <c r="Z909" s="157" t="s">
        <v>2703</v>
      </c>
      <c r="AA909" s="158">
        <v>2021</v>
      </c>
      <c r="AB909" s="158">
        <v>7</v>
      </c>
      <c r="AC909" s="158">
        <v>9</v>
      </c>
      <c r="AD909" s="122" t="b">
        <f>IF(ISBLANK(GroupMember[[#This Row],[1. Identifiant interne d’exploitation agricole*]]),"",IF(ISERROR(MATCH(GroupMember[[#This Row],[1. Identifiant interne d’exploitation agricole*]],CertifiedCrop[1. Identifiant interne d’exploitation agricole*],0)),FALSE,TRUE))</f>
        <v>1</v>
      </c>
      <c r="AE909" s="122" t="b">
        <f>IF(ISBLANK(GroupMember[[#This Row],[1. Identifiant interne d’exploitation agricole*]]),"",IF(ISERROR(MATCH(GroupMember[[#This Row],[1. Identifiant interne d’exploitation agricole*]],FarmUnit[1. Identifiant interne d’exploitation agricole*],0)),FALSE,TRUE))</f>
        <v>1</v>
      </c>
      <c r="AF909" s="9" t="str">
        <f t="shared" si="42"/>
        <v>OUATTARA DRISSA 1</v>
      </c>
      <c r="AG909" s="243" t="str">
        <f t="shared" si="43"/>
        <v>9/7/2021</v>
      </c>
      <c r="AH909" s="51">
        <f>COUNTIFS(Z:Z,Z909,AG:AG,AG909)</f>
        <v>4</v>
      </c>
      <c r="AI909" s="49">
        <f t="shared" si="44"/>
        <v>0</v>
      </c>
    </row>
    <row r="910" spans="1:35" ht="15" x14ac:dyDescent="0.2">
      <c r="A910" s="193" t="s">
        <v>3084</v>
      </c>
      <c r="B910" s="146" t="s">
        <v>668</v>
      </c>
      <c r="C910" s="193" t="s">
        <v>3084</v>
      </c>
      <c r="D910" s="175" t="s">
        <v>3085</v>
      </c>
      <c r="E910" s="146" t="s">
        <v>670</v>
      </c>
      <c r="F910" s="146" t="s">
        <v>671</v>
      </c>
      <c r="G910" s="146" t="s">
        <v>672</v>
      </c>
      <c r="H910" s="175">
        <v>2.09</v>
      </c>
      <c r="I910" s="146" t="s">
        <v>673</v>
      </c>
      <c r="J910" s="220">
        <v>1</v>
      </c>
      <c r="K910" s="150">
        <v>2021</v>
      </c>
      <c r="L910" s="221" t="s">
        <v>701</v>
      </c>
      <c r="M910" s="221" t="s">
        <v>1900</v>
      </c>
      <c r="N910" s="202">
        <v>758443956</v>
      </c>
      <c r="O910" s="223"/>
      <c r="P910" s="219" t="s">
        <v>676</v>
      </c>
      <c r="Q910" s="279"/>
      <c r="R910" s="155">
        <v>7</v>
      </c>
      <c r="S910" s="168"/>
      <c r="T910" s="168"/>
      <c r="U910" s="146"/>
      <c r="V910" s="146"/>
      <c r="W910" s="146"/>
      <c r="X910" s="156">
        <v>0</v>
      </c>
      <c r="Y910" s="156">
        <v>0</v>
      </c>
      <c r="Z910" s="157" t="s">
        <v>2703</v>
      </c>
      <c r="AA910" s="158">
        <v>2021</v>
      </c>
      <c r="AB910" s="158">
        <v>8</v>
      </c>
      <c r="AC910" s="158">
        <v>23</v>
      </c>
      <c r="AD910" s="122" t="b">
        <f>IF(ISBLANK(GroupMember[[#This Row],[1. Identifiant interne d’exploitation agricole*]]),"",IF(ISERROR(MATCH(GroupMember[[#This Row],[1. Identifiant interne d’exploitation agricole*]],CertifiedCrop[1. Identifiant interne d’exploitation agricole*],0)),FALSE,TRUE))</f>
        <v>1</v>
      </c>
      <c r="AE910" s="122" t="b">
        <f>IF(ISBLANK(GroupMember[[#This Row],[1. Identifiant interne d’exploitation agricole*]]),"",IF(ISERROR(MATCH(GroupMember[[#This Row],[1. Identifiant interne d’exploitation agricole*]],FarmUnit[1. Identifiant interne d’exploitation agricole*],0)),FALSE,TRUE))</f>
        <v>1</v>
      </c>
      <c r="AF910" s="9" t="str">
        <f t="shared" si="42"/>
        <v>OUATTARA TIEMOKO</v>
      </c>
      <c r="AG910" s="243" t="str">
        <f t="shared" si="43"/>
        <v>23/8/2021</v>
      </c>
      <c r="AH910" s="51">
        <f>COUNTIFS(Z:Z,Z910,AG:AG,AG910)</f>
        <v>4</v>
      </c>
      <c r="AI910" s="49">
        <f t="shared" si="44"/>
        <v>0</v>
      </c>
    </row>
    <row r="911" spans="1:35" ht="15" x14ac:dyDescent="0.2">
      <c r="A911" s="193" t="s">
        <v>3086</v>
      </c>
      <c r="B911" s="146" t="s">
        <v>668</v>
      </c>
      <c r="C911" s="193" t="s">
        <v>3086</v>
      </c>
      <c r="D911" s="175" t="s">
        <v>3085</v>
      </c>
      <c r="E911" s="146" t="s">
        <v>670</v>
      </c>
      <c r="F911" s="146" t="s">
        <v>671</v>
      </c>
      <c r="G911" s="146" t="s">
        <v>672</v>
      </c>
      <c r="H911" s="175">
        <v>4.29</v>
      </c>
      <c r="I911" s="146" t="s">
        <v>673</v>
      </c>
      <c r="J911" s="220">
        <v>1</v>
      </c>
      <c r="K911" s="150">
        <v>2021</v>
      </c>
      <c r="L911" s="221" t="s">
        <v>3087</v>
      </c>
      <c r="M911" s="221" t="s">
        <v>3088</v>
      </c>
      <c r="N911" s="202">
        <v>544901864</v>
      </c>
      <c r="O911" s="223"/>
      <c r="P911" s="219" t="s">
        <v>676</v>
      </c>
      <c r="Q911" s="279"/>
      <c r="R911" s="155">
        <v>9</v>
      </c>
      <c r="S911" s="168"/>
      <c r="T911" s="168"/>
      <c r="U911" s="146"/>
      <c r="V911" s="146"/>
      <c r="W911" s="146"/>
      <c r="X911" s="156">
        <v>0</v>
      </c>
      <c r="Y911" s="156">
        <v>0</v>
      </c>
      <c r="Z911" s="157" t="s">
        <v>2703</v>
      </c>
      <c r="AA911" s="158">
        <v>2021</v>
      </c>
      <c r="AB911" s="158">
        <v>8</v>
      </c>
      <c r="AC911" s="158">
        <v>24</v>
      </c>
      <c r="AD911" s="122" t="b">
        <f>IF(ISBLANK(GroupMember[[#This Row],[1. Identifiant interne d’exploitation agricole*]]),"",IF(ISERROR(MATCH(GroupMember[[#This Row],[1. Identifiant interne d’exploitation agricole*]],CertifiedCrop[1. Identifiant interne d’exploitation agricole*],0)),FALSE,TRUE))</f>
        <v>1</v>
      </c>
      <c r="AE911" s="122" t="b">
        <f>IF(ISBLANK(GroupMember[[#This Row],[1. Identifiant interne d’exploitation agricole*]]),"",IF(ISERROR(MATCH(GroupMember[[#This Row],[1. Identifiant interne d’exploitation agricole*]],FarmUnit[1. Identifiant interne d’exploitation agricole*],0)),FALSE,TRUE))</f>
        <v>1</v>
      </c>
      <c r="AF911" s="9" t="str">
        <f t="shared" si="42"/>
        <v>KAMBOU SAMI</v>
      </c>
      <c r="AG911" s="243" t="str">
        <f t="shared" si="43"/>
        <v>24/8/2021</v>
      </c>
      <c r="AH911" s="51">
        <f>COUNTIFS(Z:Z,Z911,AG:AG,AG911)</f>
        <v>3</v>
      </c>
      <c r="AI911" s="49">
        <f t="shared" si="44"/>
        <v>0</v>
      </c>
    </row>
    <row r="912" spans="1:35" ht="15" x14ac:dyDescent="0.2">
      <c r="A912" s="193" t="s">
        <v>3089</v>
      </c>
      <c r="B912" s="146" t="s">
        <v>668</v>
      </c>
      <c r="C912" s="193" t="s">
        <v>3089</v>
      </c>
      <c r="D912" s="175" t="s">
        <v>3085</v>
      </c>
      <c r="E912" s="146" t="s">
        <v>670</v>
      </c>
      <c r="F912" s="146" t="s">
        <v>671</v>
      </c>
      <c r="G912" s="146" t="s">
        <v>672</v>
      </c>
      <c r="H912" s="175">
        <v>2.19</v>
      </c>
      <c r="I912" s="146" t="s">
        <v>673</v>
      </c>
      <c r="J912" s="220">
        <v>1</v>
      </c>
      <c r="K912" s="150">
        <v>2021</v>
      </c>
      <c r="L912" s="221" t="s">
        <v>701</v>
      </c>
      <c r="M912" s="221" t="s">
        <v>3090</v>
      </c>
      <c r="N912" s="202">
        <v>749528254</v>
      </c>
      <c r="O912" s="223"/>
      <c r="P912" s="219" t="s">
        <v>676</v>
      </c>
      <c r="Q912" s="279"/>
      <c r="R912" s="155">
        <v>8</v>
      </c>
      <c r="S912" s="168"/>
      <c r="T912" s="168"/>
      <c r="U912" s="146"/>
      <c r="V912" s="146"/>
      <c r="W912" s="146"/>
      <c r="X912" s="156">
        <v>0</v>
      </c>
      <c r="Y912" s="156">
        <v>0</v>
      </c>
      <c r="Z912" s="157" t="s">
        <v>2703</v>
      </c>
      <c r="AA912" s="158">
        <v>2021</v>
      </c>
      <c r="AB912" s="158">
        <v>8</v>
      </c>
      <c r="AC912" s="158">
        <v>26</v>
      </c>
      <c r="AD912" s="122" t="b">
        <f>IF(ISBLANK(GroupMember[[#This Row],[1. Identifiant interne d’exploitation agricole*]]),"",IF(ISERROR(MATCH(GroupMember[[#This Row],[1. Identifiant interne d’exploitation agricole*]],CertifiedCrop[1. Identifiant interne d’exploitation agricole*],0)),FALSE,TRUE))</f>
        <v>1</v>
      </c>
      <c r="AE912" s="122" t="b">
        <f>IF(ISBLANK(GroupMember[[#This Row],[1. Identifiant interne d’exploitation agricole*]]),"",IF(ISERROR(MATCH(GroupMember[[#This Row],[1. Identifiant interne d’exploitation agricole*]],FarmUnit[1. Identifiant interne d’exploitation agricole*],0)),FALSE,TRUE))</f>
        <v>1</v>
      </c>
      <c r="AF912" s="9" t="str">
        <f t="shared" si="42"/>
        <v>OUATTARA BOUKARI</v>
      </c>
      <c r="AG912" s="243" t="str">
        <f t="shared" si="43"/>
        <v>26/8/2021</v>
      </c>
      <c r="AH912" s="51">
        <f>COUNTIFS(Z:Z,Z912,AG:AG,AG912)</f>
        <v>3</v>
      </c>
      <c r="AI912" s="49">
        <f t="shared" si="44"/>
        <v>0</v>
      </c>
    </row>
    <row r="913" spans="1:35" ht="15" x14ac:dyDescent="0.2">
      <c r="A913" s="193" t="s">
        <v>3091</v>
      </c>
      <c r="B913" s="146" t="s">
        <v>668</v>
      </c>
      <c r="C913" s="193" t="s">
        <v>3091</v>
      </c>
      <c r="D913" s="175" t="s">
        <v>2948</v>
      </c>
      <c r="E913" s="146" t="s">
        <v>670</v>
      </c>
      <c r="F913" s="146" t="s">
        <v>671</v>
      </c>
      <c r="G913" s="146" t="s">
        <v>672</v>
      </c>
      <c r="H913" s="175">
        <v>2.3199999999999998</v>
      </c>
      <c r="I913" s="146" t="s">
        <v>673</v>
      </c>
      <c r="J913" s="220">
        <v>1</v>
      </c>
      <c r="K913" s="150">
        <v>2021</v>
      </c>
      <c r="L913" s="221" t="s">
        <v>765</v>
      </c>
      <c r="M913" s="221" t="s">
        <v>1785</v>
      </c>
      <c r="N913" s="202">
        <v>544597609</v>
      </c>
      <c r="O913" s="281" t="s">
        <v>3317</v>
      </c>
      <c r="P913" s="219" t="s">
        <v>676</v>
      </c>
      <c r="Q913" s="279">
        <v>1981</v>
      </c>
      <c r="R913" s="155">
        <v>7</v>
      </c>
      <c r="S913" s="168"/>
      <c r="T913" s="168"/>
      <c r="U913" s="146"/>
      <c r="V913" s="146"/>
      <c r="W913" s="146"/>
      <c r="X913" s="156">
        <v>0</v>
      </c>
      <c r="Y913" s="156">
        <v>0</v>
      </c>
      <c r="Z913" s="157" t="s">
        <v>2703</v>
      </c>
      <c r="AA913" s="158">
        <v>2021</v>
      </c>
      <c r="AB913" s="158">
        <v>7</v>
      </c>
      <c r="AC913" s="158">
        <v>17</v>
      </c>
      <c r="AD913" s="122" t="b">
        <f>IF(ISBLANK(GroupMember[[#This Row],[1. Identifiant interne d’exploitation agricole*]]),"",IF(ISERROR(MATCH(GroupMember[[#This Row],[1. Identifiant interne d’exploitation agricole*]],CertifiedCrop[1. Identifiant interne d’exploitation agricole*],0)),FALSE,TRUE))</f>
        <v>1</v>
      </c>
      <c r="AE913" s="122" t="b">
        <f>IF(ISBLANK(GroupMember[[#This Row],[1. Identifiant interne d’exploitation agricole*]]),"",IF(ISERROR(MATCH(GroupMember[[#This Row],[1. Identifiant interne d’exploitation agricole*]],FarmUnit[1. Identifiant interne d’exploitation agricole*],0)),FALSE,TRUE))</f>
        <v>1</v>
      </c>
      <c r="AF913" s="9" t="str">
        <f t="shared" si="42"/>
        <v>KONE MAMADOU</v>
      </c>
      <c r="AG913" s="243" t="str">
        <f t="shared" si="43"/>
        <v>17/7/2021</v>
      </c>
      <c r="AH913" s="51">
        <f>COUNTIFS(Z:Z,Z913,AG:AG,AG913)</f>
        <v>4</v>
      </c>
      <c r="AI913" s="49">
        <f t="shared" si="44"/>
        <v>0</v>
      </c>
    </row>
    <row r="914" spans="1:35" ht="15" x14ac:dyDescent="0.2">
      <c r="A914" s="193" t="s">
        <v>3092</v>
      </c>
      <c r="B914" s="146" t="s">
        <v>668</v>
      </c>
      <c r="C914" s="193" t="s">
        <v>3092</v>
      </c>
      <c r="D914" s="175" t="s">
        <v>2948</v>
      </c>
      <c r="E914" s="146" t="s">
        <v>670</v>
      </c>
      <c r="F914" s="146" t="s">
        <v>671</v>
      </c>
      <c r="G914" s="146" t="s">
        <v>672</v>
      </c>
      <c r="H914" s="175">
        <v>5.84</v>
      </c>
      <c r="I914" s="146" t="s">
        <v>673</v>
      </c>
      <c r="J914" s="220">
        <v>2</v>
      </c>
      <c r="K914" s="150">
        <v>2021</v>
      </c>
      <c r="L914" s="221" t="s">
        <v>1670</v>
      </c>
      <c r="M914" s="221" t="s">
        <v>3093</v>
      </c>
      <c r="N914" s="202">
        <v>748416730</v>
      </c>
      <c r="O914" s="223"/>
      <c r="P914" s="219" t="s">
        <v>676</v>
      </c>
      <c r="Q914" s="302"/>
      <c r="R914" s="155">
        <v>10</v>
      </c>
      <c r="S914" s="168"/>
      <c r="T914" s="168"/>
      <c r="U914" s="146"/>
      <c r="V914" s="146"/>
      <c r="W914" s="146"/>
      <c r="X914" s="156">
        <v>0</v>
      </c>
      <c r="Y914" s="156">
        <v>0</v>
      </c>
      <c r="Z914" s="157" t="s">
        <v>2703</v>
      </c>
      <c r="AA914" s="158">
        <v>2021</v>
      </c>
      <c r="AB914" s="158">
        <v>8</v>
      </c>
      <c r="AC914" s="158">
        <v>23</v>
      </c>
      <c r="AD914" s="122" t="b">
        <f>IF(ISBLANK(GroupMember[[#This Row],[1. Identifiant interne d’exploitation agricole*]]),"",IF(ISERROR(MATCH(GroupMember[[#This Row],[1. Identifiant interne d’exploitation agricole*]],CertifiedCrop[1. Identifiant interne d’exploitation agricole*],0)),FALSE,TRUE))</f>
        <v>1</v>
      </c>
      <c r="AE914" s="122" t="b">
        <f>IF(ISBLANK(GroupMember[[#This Row],[1. Identifiant interne d’exploitation agricole*]]),"",IF(ISERROR(MATCH(GroupMember[[#This Row],[1. Identifiant interne d’exploitation agricole*]],FarmUnit[1. Identifiant interne d’exploitation agricole*],0)),FALSE,TRUE))</f>
        <v>1</v>
      </c>
      <c r="AF914" s="9" t="str">
        <f t="shared" si="42"/>
        <v xml:space="preserve">YAO KOUAKOU NORBERT     </v>
      </c>
      <c r="AG914" s="243" t="str">
        <f t="shared" si="43"/>
        <v>23/8/2021</v>
      </c>
      <c r="AH914" s="51">
        <f>COUNTIFS(Z:Z,Z914,AG:AG,AG914)</f>
        <v>4</v>
      </c>
      <c r="AI914" s="49">
        <f t="shared" si="44"/>
        <v>0</v>
      </c>
    </row>
    <row r="915" spans="1:35" ht="15" x14ac:dyDescent="0.2">
      <c r="A915" s="193" t="s">
        <v>3094</v>
      </c>
      <c r="B915" s="146" t="s">
        <v>668</v>
      </c>
      <c r="C915" s="193" t="s">
        <v>3094</v>
      </c>
      <c r="D915" s="175" t="s">
        <v>3095</v>
      </c>
      <c r="E915" s="146" t="s">
        <v>670</v>
      </c>
      <c r="F915" s="146" t="s">
        <v>671</v>
      </c>
      <c r="G915" s="146" t="s">
        <v>672</v>
      </c>
      <c r="H915" s="175">
        <v>2.9</v>
      </c>
      <c r="I915" s="146" t="s">
        <v>673</v>
      </c>
      <c r="J915" s="220">
        <v>1</v>
      </c>
      <c r="K915" s="150">
        <v>2021</v>
      </c>
      <c r="L915" s="221" t="s">
        <v>3096</v>
      </c>
      <c r="M915" s="221" t="s">
        <v>3097</v>
      </c>
      <c r="N915" s="202">
        <v>505224409</v>
      </c>
      <c r="O915" s="223" t="s">
        <v>3098</v>
      </c>
      <c r="P915" s="219" t="s">
        <v>676</v>
      </c>
      <c r="Q915" s="279">
        <v>1986</v>
      </c>
      <c r="R915" s="155">
        <v>6</v>
      </c>
      <c r="S915" s="168"/>
      <c r="T915" s="168"/>
      <c r="U915" s="146"/>
      <c r="V915" s="146"/>
      <c r="W915" s="146"/>
      <c r="X915" s="156">
        <v>0</v>
      </c>
      <c r="Y915" s="156">
        <v>0</v>
      </c>
      <c r="Z915" s="157" t="s">
        <v>2703</v>
      </c>
      <c r="AA915" s="158">
        <v>2021</v>
      </c>
      <c r="AB915" s="158">
        <v>8</v>
      </c>
      <c r="AC915" s="158">
        <v>27</v>
      </c>
      <c r="AD915" s="122" t="b">
        <f>IF(ISBLANK(GroupMember[[#This Row],[1. Identifiant interne d’exploitation agricole*]]),"",IF(ISERROR(MATCH(GroupMember[[#This Row],[1. Identifiant interne d’exploitation agricole*]],CertifiedCrop[1. Identifiant interne d’exploitation agricole*],0)),FALSE,TRUE))</f>
        <v>1</v>
      </c>
      <c r="AE915" s="122" t="b">
        <f>IF(ISBLANK(GroupMember[[#This Row],[1. Identifiant interne d’exploitation agricole*]]),"",IF(ISERROR(MATCH(GroupMember[[#This Row],[1. Identifiant interne d’exploitation agricole*]],FarmUnit[1. Identifiant interne d’exploitation agricole*],0)),FALSE,TRUE))</f>
        <v>1</v>
      </c>
      <c r="AF915" s="9" t="str">
        <f t="shared" si="42"/>
        <v xml:space="preserve">AMANY KOUAKOU LUC   </v>
      </c>
      <c r="AG915" s="243" t="str">
        <f t="shared" si="43"/>
        <v>27/8/2021</v>
      </c>
      <c r="AH915" s="51">
        <f>COUNTIFS(Z:Z,Z915,AG:AG,AG915)</f>
        <v>4</v>
      </c>
      <c r="AI915" s="49">
        <f t="shared" si="44"/>
        <v>0</v>
      </c>
    </row>
    <row r="916" spans="1:35" ht="15" x14ac:dyDescent="0.2">
      <c r="A916" s="193" t="s">
        <v>3099</v>
      </c>
      <c r="B916" s="146" t="s">
        <v>668</v>
      </c>
      <c r="C916" s="193" t="s">
        <v>3099</v>
      </c>
      <c r="D916" s="175" t="s">
        <v>2957</v>
      </c>
      <c r="E916" s="146" t="s">
        <v>670</v>
      </c>
      <c r="F916" s="146" t="s">
        <v>671</v>
      </c>
      <c r="G916" s="146" t="s">
        <v>672</v>
      </c>
      <c r="H916" s="175">
        <v>4.0199999999999996</v>
      </c>
      <c r="I916" s="146" t="s">
        <v>673</v>
      </c>
      <c r="J916" s="220">
        <v>1</v>
      </c>
      <c r="K916" s="150">
        <v>2021</v>
      </c>
      <c r="L916" s="221" t="s">
        <v>3100</v>
      </c>
      <c r="M916" s="221" t="s">
        <v>3101</v>
      </c>
      <c r="N916" s="202"/>
      <c r="O916" s="223" t="s">
        <v>3102</v>
      </c>
      <c r="P916" s="219" t="s">
        <v>676</v>
      </c>
      <c r="Q916" s="279">
        <v>1984</v>
      </c>
      <c r="R916" s="155">
        <v>8</v>
      </c>
      <c r="S916" s="168"/>
      <c r="T916" s="168"/>
      <c r="U916" s="146"/>
      <c r="V916" s="146"/>
      <c r="W916" s="146"/>
      <c r="X916" s="156">
        <v>0</v>
      </c>
      <c r="Y916" s="156">
        <v>0</v>
      </c>
      <c r="Z916" s="157" t="s">
        <v>2703</v>
      </c>
      <c r="AA916" s="158">
        <v>2021</v>
      </c>
      <c r="AB916" s="158">
        <v>8</v>
      </c>
      <c r="AC916" s="158">
        <v>28</v>
      </c>
      <c r="AD916" s="122" t="b">
        <f>IF(ISBLANK(GroupMember[[#This Row],[1. Identifiant interne d’exploitation agricole*]]),"",IF(ISERROR(MATCH(GroupMember[[#This Row],[1. Identifiant interne d’exploitation agricole*]],CertifiedCrop[1. Identifiant interne d’exploitation agricole*],0)),FALSE,TRUE))</f>
        <v>1</v>
      </c>
      <c r="AE916" s="122" t="b">
        <f>IF(ISBLANK(GroupMember[[#This Row],[1. Identifiant interne d’exploitation agricole*]]),"",IF(ISERROR(MATCH(GroupMember[[#This Row],[1. Identifiant interne d’exploitation agricole*]],FarmUnit[1. Identifiant interne d’exploitation agricole*],0)),FALSE,TRUE))</f>
        <v>1</v>
      </c>
      <c r="AF916" s="9" t="str">
        <f t="shared" si="42"/>
        <v>AHOUTOU KOUASSI JUSTIN</v>
      </c>
      <c r="AG916" s="243" t="str">
        <f t="shared" si="43"/>
        <v>28/8/2021</v>
      </c>
      <c r="AH916" s="51">
        <f>COUNTIFS(Z:Z,Z916,AG:AG,AG916)</f>
        <v>4</v>
      </c>
      <c r="AI916" s="49">
        <f t="shared" si="44"/>
        <v>0</v>
      </c>
    </row>
    <row r="917" spans="1:35" ht="15" x14ac:dyDescent="0.2">
      <c r="A917" s="193" t="s">
        <v>3103</v>
      </c>
      <c r="B917" s="146" t="s">
        <v>668</v>
      </c>
      <c r="C917" s="193" t="s">
        <v>3103</v>
      </c>
      <c r="D917" s="175" t="s">
        <v>2957</v>
      </c>
      <c r="E917" s="146" t="s">
        <v>670</v>
      </c>
      <c r="F917" s="146" t="s">
        <v>671</v>
      </c>
      <c r="G917" s="146" t="s">
        <v>672</v>
      </c>
      <c r="H917" s="175">
        <v>2.11</v>
      </c>
      <c r="I917" s="146" t="s">
        <v>673</v>
      </c>
      <c r="J917" s="220">
        <v>1</v>
      </c>
      <c r="K917" s="150">
        <v>2021</v>
      </c>
      <c r="L917" s="221" t="s">
        <v>1670</v>
      </c>
      <c r="M917" s="221" t="s">
        <v>3104</v>
      </c>
      <c r="N917" s="202">
        <v>748379314</v>
      </c>
      <c r="O917" s="223" t="s">
        <v>3105</v>
      </c>
      <c r="P917" s="219" t="s">
        <v>676</v>
      </c>
      <c r="Q917" s="279">
        <v>1982</v>
      </c>
      <c r="R917" s="155">
        <v>5</v>
      </c>
      <c r="S917" s="168"/>
      <c r="T917" s="168"/>
      <c r="U917" s="146"/>
      <c r="V917" s="146"/>
      <c r="W917" s="146"/>
      <c r="X917" s="156">
        <v>0</v>
      </c>
      <c r="Y917" s="156">
        <v>0</v>
      </c>
      <c r="Z917" s="157" t="s">
        <v>2703</v>
      </c>
      <c r="AA917" s="158">
        <v>2021</v>
      </c>
      <c r="AB917" s="158">
        <v>8</v>
      </c>
      <c r="AC917" s="158">
        <v>23</v>
      </c>
      <c r="AD917" s="122" t="b">
        <f>IF(ISBLANK(GroupMember[[#This Row],[1. Identifiant interne d’exploitation agricole*]]),"",IF(ISERROR(MATCH(GroupMember[[#This Row],[1. Identifiant interne d’exploitation agricole*]],CertifiedCrop[1. Identifiant interne d’exploitation agricole*],0)),FALSE,TRUE))</f>
        <v>1</v>
      </c>
      <c r="AE917" s="122" t="b">
        <f>IF(ISBLANK(GroupMember[[#This Row],[1. Identifiant interne d’exploitation agricole*]]),"",IF(ISERROR(MATCH(GroupMember[[#This Row],[1. Identifiant interne d’exploitation agricole*]],FarmUnit[1. Identifiant interne d’exploitation agricole*],0)),FALSE,TRUE))</f>
        <v>1</v>
      </c>
      <c r="AF917" s="9" t="str">
        <f t="shared" si="42"/>
        <v>YAO N'GUESSAN MICHEL</v>
      </c>
      <c r="AG917" s="243" t="str">
        <f t="shared" si="43"/>
        <v>23/8/2021</v>
      </c>
      <c r="AH917" s="51">
        <f>COUNTIFS(Z:Z,Z917,AG:AG,AG917)</f>
        <v>4</v>
      </c>
      <c r="AI917" s="49">
        <f t="shared" si="44"/>
        <v>0</v>
      </c>
    </row>
    <row r="918" spans="1:35" ht="15" x14ac:dyDescent="0.2">
      <c r="A918" s="193" t="s">
        <v>3106</v>
      </c>
      <c r="B918" s="146" t="s">
        <v>668</v>
      </c>
      <c r="C918" s="193" t="s">
        <v>3106</v>
      </c>
      <c r="D918" s="175" t="s">
        <v>2957</v>
      </c>
      <c r="E918" s="146" t="s">
        <v>670</v>
      </c>
      <c r="F918" s="146" t="s">
        <v>671</v>
      </c>
      <c r="G918" s="146" t="s">
        <v>672</v>
      </c>
      <c r="H918" s="175">
        <v>3.63</v>
      </c>
      <c r="I918" s="146" t="s">
        <v>673</v>
      </c>
      <c r="J918" s="220">
        <v>1</v>
      </c>
      <c r="K918" s="150">
        <v>2021</v>
      </c>
      <c r="L918" s="221" t="s">
        <v>3025</v>
      </c>
      <c r="M918" s="221" t="s">
        <v>3107</v>
      </c>
      <c r="N918" s="202">
        <v>758200726</v>
      </c>
      <c r="O918" s="223"/>
      <c r="P918" s="219" t="s">
        <v>676</v>
      </c>
      <c r="Q918" s="302"/>
      <c r="R918" s="155">
        <v>8</v>
      </c>
      <c r="S918" s="168"/>
      <c r="T918" s="168"/>
      <c r="U918" s="146"/>
      <c r="V918" s="146"/>
      <c r="W918" s="146"/>
      <c r="X918" s="156">
        <v>0</v>
      </c>
      <c r="Y918" s="156">
        <v>0</v>
      </c>
      <c r="Z918" s="157" t="s">
        <v>2703</v>
      </c>
      <c r="AA918" s="158">
        <v>2021</v>
      </c>
      <c r="AB918" s="158">
        <v>8</v>
      </c>
      <c r="AC918" s="158">
        <v>27</v>
      </c>
      <c r="AD918" s="122" t="b">
        <f>IF(ISBLANK(GroupMember[[#This Row],[1. Identifiant interne d’exploitation agricole*]]),"",IF(ISERROR(MATCH(GroupMember[[#This Row],[1. Identifiant interne d’exploitation agricole*]],CertifiedCrop[1. Identifiant interne d’exploitation agricole*],0)),FALSE,TRUE))</f>
        <v>1</v>
      </c>
      <c r="AE918" s="122" t="b">
        <f>IF(ISBLANK(GroupMember[[#This Row],[1. Identifiant interne d’exploitation agricole*]]),"",IF(ISERROR(MATCH(GroupMember[[#This Row],[1. Identifiant interne d’exploitation agricole*]],FarmUnit[1. Identifiant interne d’exploitation agricole*],0)),FALSE,TRUE))</f>
        <v>1</v>
      </c>
      <c r="AF918" s="9" t="str">
        <f t="shared" si="42"/>
        <v>KOUASSI  KOUADIO GERMAIN</v>
      </c>
      <c r="AG918" s="243" t="str">
        <f t="shared" si="43"/>
        <v>27/8/2021</v>
      </c>
      <c r="AH918" s="51">
        <f>COUNTIFS(Z:Z,Z918,AG:AG,AG918)</f>
        <v>4</v>
      </c>
      <c r="AI918" s="49">
        <f t="shared" si="44"/>
        <v>0</v>
      </c>
    </row>
    <row r="919" spans="1:35" ht="15" x14ac:dyDescent="0.2">
      <c r="A919" s="193" t="s">
        <v>3108</v>
      </c>
      <c r="B919" s="146" t="s">
        <v>668</v>
      </c>
      <c r="C919" s="193" t="s">
        <v>3108</v>
      </c>
      <c r="D919" s="175" t="s">
        <v>2948</v>
      </c>
      <c r="E919" s="146" t="s">
        <v>670</v>
      </c>
      <c r="F919" s="146" t="s">
        <v>671</v>
      </c>
      <c r="G919" s="146" t="s">
        <v>672</v>
      </c>
      <c r="H919" s="175">
        <v>2.59</v>
      </c>
      <c r="I919" s="146" t="s">
        <v>673</v>
      </c>
      <c r="J919" s="220">
        <v>1</v>
      </c>
      <c r="K919" s="150">
        <v>2021</v>
      </c>
      <c r="L919" s="221" t="s">
        <v>2982</v>
      </c>
      <c r="M919" s="221" t="s">
        <v>1624</v>
      </c>
      <c r="N919" s="202">
        <v>707071439</v>
      </c>
      <c r="O919" s="223" t="s">
        <v>3109</v>
      </c>
      <c r="P919" s="219" t="s">
        <v>676</v>
      </c>
      <c r="Q919" s="279">
        <v>1978</v>
      </c>
      <c r="R919" s="155">
        <v>10</v>
      </c>
      <c r="S919" s="168"/>
      <c r="T919" s="168"/>
      <c r="U919" s="146"/>
      <c r="V919" s="146"/>
      <c r="W919" s="146"/>
      <c r="X919" s="156">
        <v>0</v>
      </c>
      <c r="Y919" s="156">
        <v>0</v>
      </c>
      <c r="Z919" s="157" t="s">
        <v>2703</v>
      </c>
      <c r="AA919" s="158">
        <v>2021</v>
      </c>
      <c r="AB919" s="158">
        <v>7</v>
      </c>
      <c r="AC919" s="158">
        <v>9</v>
      </c>
      <c r="AD919" s="122" t="b">
        <f>IF(ISBLANK(GroupMember[[#This Row],[1. Identifiant interne d’exploitation agricole*]]),"",IF(ISERROR(MATCH(GroupMember[[#This Row],[1. Identifiant interne d’exploitation agricole*]],CertifiedCrop[1. Identifiant interne d’exploitation agricole*],0)),FALSE,TRUE))</f>
        <v>1</v>
      </c>
      <c r="AE919" s="122" t="b">
        <f>IF(ISBLANK(GroupMember[[#This Row],[1. Identifiant interne d’exploitation agricole*]]),"",IF(ISERROR(MATCH(GroupMember[[#This Row],[1. Identifiant interne d’exploitation agricole*]],FarmUnit[1. Identifiant interne d’exploitation agricole*],0)),FALSE,TRUE))</f>
        <v>1</v>
      </c>
      <c r="AF919" s="9" t="str">
        <f t="shared" si="42"/>
        <v>BELEM SOULEYMANE</v>
      </c>
      <c r="AG919" s="243" t="str">
        <f t="shared" si="43"/>
        <v>9/7/2021</v>
      </c>
      <c r="AH919" s="51">
        <f>COUNTIFS(Z:Z,Z919,AG:AG,AG919)</f>
        <v>4</v>
      </c>
      <c r="AI919" s="49">
        <f t="shared" si="44"/>
        <v>0</v>
      </c>
    </row>
    <row r="920" spans="1:35" ht="15" x14ac:dyDescent="0.2">
      <c r="A920" s="193" t="s">
        <v>3110</v>
      </c>
      <c r="B920" s="146" t="s">
        <v>668</v>
      </c>
      <c r="C920" s="193" t="s">
        <v>3110</v>
      </c>
      <c r="D920" s="175" t="s">
        <v>2948</v>
      </c>
      <c r="E920" s="146" t="s">
        <v>670</v>
      </c>
      <c r="F920" s="146" t="s">
        <v>671</v>
      </c>
      <c r="G920" s="146" t="s">
        <v>672</v>
      </c>
      <c r="H920" s="175">
        <v>2.5099999999999998</v>
      </c>
      <c r="I920" s="146" t="s">
        <v>673</v>
      </c>
      <c r="J920" s="220">
        <v>1</v>
      </c>
      <c r="K920" s="150">
        <v>2021</v>
      </c>
      <c r="L920" s="221" t="s">
        <v>3111</v>
      </c>
      <c r="M920" s="221" t="s">
        <v>3112</v>
      </c>
      <c r="N920" s="202">
        <v>575758032</v>
      </c>
      <c r="O920" s="223"/>
      <c r="P920" s="219" t="s">
        <v>676</v>
      </c>
      <c r="Q920" s="302"/>
      <c r="R920" s="155">
        <v>7</v>
      </c>
      <c r="S920" s="168"/>
      <c r="T920" s="168"/>
      <c r="U920" s="146"/>
      <c r="V920" s="146"/>
      <c r="W920" s="146"/>
      <c r="X920" s="156">
        <v>0</v>
      </c>
      <c r="Y920" s="156">
        <v>0</v>
      </c>
      <c r="Z920" s="157" t="s">
        <v>2703</v>
      </c>
      <c r="AA920" s="158">
        <v>2021</v>
      </c>
      <c r="AB920" s="158">
        <v>7</v>
      </c>
      <c r="AC920" s="158">
        <v>17</v>
      </c>
      <c r="AD920" s="122" t="b">
        <f>IF(ISBLANK(GroupMember[[#This Row],[1. Identifiant interne d’exploitation agricole*]]),"",IF(ISERROR(MATCH(GroupMember[[#This Row],[1. Identifiant interne d’exploitation agricole*]],CertifiedCrop[1. Identifiant interne d’exploitation agricole*],0)),FALSE,TRUE))</f>
        <v>1</v>
      </c>
      <c r="AE920" s="122" t="b">
        <f>IF(ISBLANK(GroupMember[[#This Row],[1. Identifiant interne d’exploitation agricole*]]),"",IF(ISERROR(MATCH(GroupMember[[#This Row],[1. Identifiant interne d’exploitation agricole*]],FarmUnit[1. Identifiant interne d’exploitation agricole*],0)),FALSE,TRUE))</f>
        <v>1</v>
      </c>
      <c r="AF920" s="9" t="str">
        <f t="shared" si="42"/>
        <v>SEBLE MONPEHO JULES</v>
      </c>
      <c r="AG920" s="243" t="str">
        <f t="shared" si="43"/>
        <v>17/7/2021</v>
      </c>
      <c r="AH920" s="51">
        <f>COUNTIFS(Z:Z,Z920,AG:AG,AG920)</f>
        <v>4</v>
      </c>
      <c r="AI920" s="49">
        <f t="shared" si="44"/>
        <v>0</v>
      </c>
    </row>
    <row r="921" spans="1:35" ht="15" x14ac:dyDescent="0.2">
      <c r="A921" s="193" t="s">
        <v>3113</v>
      </c>
      <c r="B921" s="146" t="s">
        <v>668</v>
      </c>
      <c r="C921" s="193" t="s">
        <v>3113</v>
      </c>
      <c r="D921" s="175" t="s">
        <v>3114</v>
      </c>
      <c r="E921" s="146" t="s">
        <v>670</v>
      </c>
      <c r="F921" s="146" t="s">
        <v>671</v>
      </c>
      <c r="G921" s="146" t="s">
        <v>672</v>
      </c>
      <c r="H921" s="175">
        <v>1.77</v>
      </c>
      <c r="I921" s="146" t="s">
        <v>673</v>
      </c>
      <c r="J921" s="220">
        <v>1</v>
      </c>
      <c r="K921" s="150">
        <v>2021</v>
      </c>
      <c r="L921" s="221" t="s">
        <v>3115</v>
      </c>
      <c r="M921" s="221" t="s">
        <v>2730</v>
      </c>
      <c r="N921" s="202">
        <v>776733311</v>
      </c>
      <c r="O921" s="223"/>
      <c r="P921" s="219" t="s">
        <v>676</v>
      </c>
      <c r="Q921" s="279"/>
      <c r="R921" s="155">
        <v>8</v>
      </c>
      <c r="S921" s="168"/>
      <c r="T921" s="168"/>
      <c r="U921" s="146"/>
      <c r="V921" s="146"/>
      <c r="W921" s="146"/>
      <c r="X921" s="156">
        <v>0</v>
      </c>
      <c r="Y921" s="156">
        <v>0</v>
      </c>
      <c r="Z921" s="157" t="s">
        <v>2703</v>
      </c>
      <c r="AA921" s="158">
        <v>2021</v>
      </c>
      <c r="AB921" s="158">
        <v>8</v>
      </c>
      <c r="AC921" s="158">
        <v>28</v>
      </c>
      <c r="AD921" s="122" t="b">
        <f>IF(ISBLANK(GroupMember[[#This Row],[1. Identifiant interne d’exploitation agricole*]]),"",IF(ISERROR(MATCH(GroupMember[[#This Row],[1. Identifiant interne d’exploitation agricole*]],CertifiedCrop[1. Identifiant interne d’exploitation agricole*],0)),FALSE,TRUE))</f>
        <v>1</v>
      </c>
      <c r="AE921" s="122" t="b">
        <f>IF(ISBLANK(GroupMember[[#This Row],[1. Identifiant interne d’exploitation agricole*]]),"",IF(ISERROR(MATCH(GroupMember[[#This Row],[1. Identifiant interne d’exploitation agricole*]],FarmUnit[1. Identifiant interne d’exploitation agricole*],0)),FALSE,TRUE))</f>
        <v>1</v>
      </c>
      <c r="AF921" s="9" t="str">
        <f t="shared" si="42"/>
        <v>TAORE AMIDOU</v>
      </c>
      <c r="AG921" s="243" t="str">
        <f t="shared" si="43"/>
        <v>28/8/2021</v>
      </c>
      <c r="AH921" s="51">
        <f>COUNTIFS(Z:Z,Z921,AG:AG,AG921)</f>
        <v>4</v>
      </c>
      <c r="AI921" s="49">
        <f t="shared" si="44"/>
        <v>0</v>
      </c>
    </row>
    <row r="922" spans="1:35" ht="15" x14ac:dyDescent="0.2">
      <c r="A922" s="193" t="s">
        <v>3116</v>
      </c>
      <c r="B922" s="146" t="s">
        <v>668</v>
      </c>
      <c r="C922" s="193" t="s">
        <v>3116</v>
      </c>
      <c r="D922" s="175" t="s">
        <v>2948</v>
      </c>
      <c r="E922" s="146" t="s">
        <v>670</v>
      </c>
      <c r="F922" s="146" t="s">
        <v>671</v>
      </c>
      <c r="G922" s="146" t="s">
        <v>672</v>
      </c>
      <c r="H922" s="175">
        <v>2.63</v>
      </c>
      <c r="I922" s="146" t="s">
        <v>673</v>
      </c>
      <c r="J922" s="220">
        <v>1</v>
      </c>
      <c r="K922" s="150">
        <v>2021</v>
      </c>
      <c r="L922" s="221" t="s">
        <v>765</v>
      </c>
      <c r="M922" s="221" t="s">
        <v>2199</v>
      </c>
      <c r="N922" s="202">
        <v>504374908</v>
      </c>
      <c r="O922" s="217" t="s">
        <v>3318</v>
      </c>
      <c r="P922" s="219" t="s">
        <v>676</v>
      </c>
      <c r="Q922" s="279">
        <v>1987</v>
      </c>
      <c r="R922" s="155">
        <v>5</v>
      </c>
      <c r="S922" s="168"/>
      <c r="T922" s="168"/>
      <c r="U922" s="146"/>
      <c r="V922" s="146"/>
      <c r="W922" s="146"/>
      <c r="X922" s="156">
        <v>0</v>
      </c>
      <c r="Y922" s="156">
        <v>0</v>
      </c>
      <c r="Z922" s="157" t="s">
        <v>2703</v>
      </c>
      <c r="AA922" s="158">
        <v>2021</v>
      </c>
      <c r="AB922" s="158">
        <v>8</v>
      </c>
      <c r="AC922" s="158">
        <v>27</v>
      </c>
      <c r="AD922" s="122" t="b">
        <f>IF(ISBLANK(GroupMember[[#This Row],[1. Identifiant interne d’exploitation agricole*]]),"",IF(ISERROR(MATCH(GroupMember[[#This Row],[1. Identifiant interne d’exploitation agricole*]],CertifiedCrop[1. Identifiant interne d’exploitation agricole*],0)),FALSE,TRUE))</f>
        <v>1</v>
      </c>
      <c r="AE922" s="122" t="b">
        <f>IF(ISBLANK(GroupMember[[#This Row],[1. Identifiant interne d’exploitation agricole*]]),"",IF(ISERROR(MATCH(GroupMember[[#This Row],[1. Identifiant interne d’exploitation agricole*]],FarmUnit[1. Identifiant interne d’exploitation agricole*],0)),FALSE,TRUE))</f>
        <v>1</v>
      </c>
      <c r="AF922" s="9" t="str">
        <f t="shared" si="42"/>
        <v>KONE MOUSSA</v>
      </c>
      <c r="AG922" s="243" t="str">
        <f t="shared" si="43"/>
        <v>27/8/2021</v>
      </c>
      <c r="AH922" s="51">
        <f>COUNTIFS(Z:Z,Z922,AG:AG,AG922)</f>
        <v>4</v>
      </c>
      <c r="AI922" s="49">
        <f t="shared" si="44"/>
        <v>0</v>
      </c>
    </row>
    <row r="923" spans="1:35" ht="15" x14ac:dyDescent="0.2">
      <c r="A923" s="193" t="s">
        <v>3117</v>
      </c>
      <c r="B923" s="146" t="s">
        <v>668</v>
      </c>
      <c r="C923" s="193" t="s">
        <v>3117</v>
      </c>
      <c r="D923" s="175" t="s">
        <v>2948</v>
      </c>
      <c r="E923" s="146" t="s">
        <v>670</v>
      </c>
      <c r="F923" s="146" t="s">
        <v>671</v>
      </c>
      <c r="G923" s="146" t="s">
        <v>672</v>
      </c>
      <c r="H923" s="175">
        <v>1.3</v>
      </c>
      <c r="I923" s="146" t="s">
        <v>673</v>
      </c>
      <c r="J923" s="220">
        <v>1</v>
      </c>
      <c r="K923" s="150">
        <v>2021</v>
      </c>
      <c r="L923" s="221" t="s">
        <v>765</v>
      </c>
      <c r="M923" s="221" t="s">
        <v>3118</v>
      </c>
      <c r="N923" s="202">
        <v>707883536</v>
      </c>
      <c r="O923" s="223" t="s">
        <v>3119</v>
      </c>
      <c r="P923" s="219" t="s">
        <v>676</v>
      </c>
      <c r="Q923" s="279">
        <v>1986</v>
      </c>
      <c r="R923" s="155">
        <v>7</v>
      </c>
      <c r="S923" s="168"/>
      <c r="T923" s="168"/>
      <c r="U923" s="146"/>
      <c r="V923" s="146"/>
      <c r="W923" s="146"/>
      <c r="X923" s="156">
        <v>0</v>
      </c>
      <c r="Y923" s="156">
        <v>0</v>
      </c>
      <c r="Z923" s="157" t="s">
        <v>2703</v>
      </c>
      <c r="AA923" s="158">
        <v>2021</v>
      </c>
      <c r="AB923" s="158">
        <v>8</v>
      </c>
      <c r="AC923" s="158">
        <v>28</v>
      </c>
      <c r="AD923" s="122" t="b">
        <f>IF(ISBLANK(GroupMember[[#This Row],[1. Identifiant interne d’exploitation agricole*]]),"",IF(ISERROR(MATCH(GroupMember[[#This Row],[1. Identifiant interne d’exploitation agricole*]],CertifiedCrop[1. Identifiant interne d’exploitation agricole*],0)),FALSE,TRUE))</f>
        <v>1</v>
      </c>
      <c r="AE923" s="122" t="b">
        <f>IF(ISBLANK(GroupMember[[#This Row],[1. Identifiant interne d’exploitation agricole*]]),"",IF(ISERROR(MATCH(GroupMember[[#This Row],[1. Identifiant interne d’exploitation agricole*]],FarmUnit[1. Identifiant interne d’exploitation agricole*],0)),FALSE,TRUE))</f>
        <v>1</v>
      </c>
      <c r="AF923" s="9" t="str">
        <f t="shared" si="42"/>
        <v>KONE KALOU</v>
      </c>
      <c r="AG923" s="243" t="str">
        <f t="shared" si="43"/>
        <v>28/8/2021</v>
      </c>
      <c r="AH923" s="51">
        <f>COUNTIFS(Z:Z,Z923,AG:AG,AG923)</f>
        <v>4</v>
      </c>
      <c r="AI923" s="49">
        <f t="shared" si="44"/>
        <v>0</v>
      </c>
    </row>
    <row r="924" spans="1:35" ht="15" x14ac:dyDescent="0.2">
      <c r="A924" s="193" t="s">
        <v>3120</v>
      </c>
      <c r="B924" s="146" t="s">
        <v>668</v>
      </c>
      <c r="C924" s="193" t="s">
        <v>3120</v>
      </c>
      <c r="D924" s="175" t="s">
        <v>2948</v>
      </c>
      <c r="E924" s="146" t="s">
        <v>670</v>
      </c>
      <c r="F924" s="146" t="s">
        <v>671</v>
      </c>
      <c r="G924" s="146" t="s">
        <v>672</v>
      </c>
      <c r="H924" s="175">
        <v>1.82</v>
      </c>
      <c r="I924" s="146" t="s">
        <v>673</v>
      </c>
      <c r="J924" s="220">
        <v>1</v>
      </c>
      <c r="K924" s="150">
        <v>2021</v>
      </c>
      <c r="L924" s="221" t="s">
        <v>1785</v>
      </c>
      <c r="M924" s="221" t="s">
        <v>3121</v>
      </c>
      <c r="N924" s="202">
        <v>564329083</v>
      </c>
      <c r="O924" s="223"/>
      <c r="P924" s="219" t="s">
        <v>676</v>
      </c>
      <c r="Q924" s="302"/>
      <c r="R924" s="155">
        <v>7</v>
      </c>
      <c r="S924" s="168"/>
      <c r="T924" s="168"/>
      <c r="U924" s="146"/>
      <c r="V924" s="146"/>
      <c r="W924" s="146"/>
      <c r="X924" s="156">
        <v>0</v>
      </c>
      <c r="Y924" s="156">
        <v>0</v>
      </c>
      <c r="Z924" s="157" t="s">
        <v>2703</v>
      </c>
      <c r="AA924" s="158">
        <v>2021</v>
      </c>
      <c r="AB924" s="158">
        <v>8</v>
      </c>
      <c r="AC924" s="158">
        <v>28</v>
      </c>
      <c r="AD924" s="122" t="b">
        <f>IF(ISBLANK(GroupMember[[#This Row],[1. Identifiant interne d’exploitation agricole*]]),"",IF(ISERROR(MATCH(GroupMember[[#This Row],[1. Identifiant interne d’exploitation agricole*]],CertifiedCrop[1. Identifiant interne d’exploitation agricole*],0)),FALSE,TRUE))</f>
        <v>1</v>
      </c>
      <c r="AE924" s="122" t="b">
        <f>IF(ISBLANK(GroupMember[[#This Row],[1. Identifiant interne d’exploitation agricole*]]),"",IF(ISERROR(MATCH(GroupMember[[#This Row],[1. Identifiant interne d’exploitation agricole*]],FarmUnit[1. Identifiant interne d’exploitation agricole*],0)),FALSE,TRUE))</f>
        <v>1</v>
      </c>
      <c r="AF924" s="9" t="str">
        <f t="shared" si="42"/>
        <v>MAMADOU DOUKOURE</v>
      </c>
      <c r="AG924" s="243" t="str">
        <f t="shared" si="43"/>
        <v>28/8/2021</v>
      </c>
      <c r="AH924" s="51">
        <f>COUNTIFS(Z:Z,Z924,AG:AG,AG924)</f>
        <v>4</v>
      </c>
      <c r="AI924" s="49">
        <f t="shared" si="44"/>
        <v>0</v>
      </c>
    </row>
    <row r="925" spans="1:35" ht="15" x14ac:dyDescent="0.2">
      <c r="A925" s="193" t="s">
        <v>3122</v>
      </c>
      <c r="B925" s="146" t="s">
        <v>668</v>
      </c>
      <c r="C925" s="193" t="s">
        <v>3122</v>
      </c>
      <c r="D925" s="175" t="s">
        <v>2948</v>
      </c>
      <c r="E925" s="146" t="s">
        <v>670</v>
      </c>
      <c r="F925" s="146" t="s">
        <v>671</v>
      </c>
      <c r="G925" s="146" t="s">
        <v>672</v>
      </c>
      <c r="H925" s="175">
        <v>8.83</v>
      </c>
      <c r="I925" s="146" t="s">
        <v>673</v>
      </c>
      <c r="J925" s="220">
        <v>2</v>
      </c>
      <c r="K925" s="150">
        <v>2021</v>
      </c>
      <c r="L925" s="221" t="s">
        <v>3065</v>
      </c>
      <c r="M925" s="221" t="s">
        <v>3123</v>
      </c>
      <c r="N925" s="202">
        <v>757530930</v>
      </c>
      <c r="O925" s="223"/>
      <c r="P925" s="219" t="s">
        <v>676</v>
      </c>
      <c r="Q925" s="279"/>
      <c r="R925" s="155">
        <v>5</v>
      </c>
      <c r="S925" s="168"/>
      <c r="T925" s="168"/>
      <c r="U925" s="146"/>
      <c r="V925" s="146"/>
      <c r="W925" s="146"/>
      <c r="X925" s="156">
        <v>0</v>
      </c>
      <c r="Y925" s="156">
        <v>0</v>
      </c>
      <c r="Z925" s="157" t="s">
        <v>2703</v>
      </c>
      <c r="AA925" s="158">
        <v>2021</v>
      </c>
      <c r="AB925" s="158">
        <v>8</v>
      </c>
      <c r="AC925" s="158">
        <v>30</v>
      </c>
      <c r="AD925" s="122" t="b">
        <f>IF(ISBLANK(GroupMember[[#This Row],[1. Identifiant interne d’exploitation agricole*]]),"",IF(ISERROR(MATCH(GroupMember[[#This Row],[1. Identifiant interne d’exploitation agricole*]],CertifiedCrop[1. Identifiant interne d’exploitation agricole*],0)),FALSE,TRUE))</f>
        <v>1</v>
      </c>
      <c r="AE925" s="122" t="b">
        <f>IF(ISBLANK(GroupMember[[#This Row],[1. Identifiant interne d’exploitation agricole*]]),"",IF(ISERROR(MATCH(GroupMember[[#This Row],[1. Identifiant interne d’exploitation agricole*]],FarmUnit[1. Identifiant interne d’exploitation agricole*],0)),FALSE,TRUE))</f>
        <v>1</v>
      </c>
      <c r="AF925" s="9" t="str">
        <f t="shared" si="42"/>
        <v xml:space="preserve">HIEN SIRIKI    </v>
      </c>
      <c r="AG925" s="243" t="str">
        <f t="shared" si="43"/>
        <v>30/8/2021</v>
      </c>
      <c r="AH925" s="51">
        <f>COUNTIFS(Z:Z,Z925,AG:AG,AG925)</f>
        <v>1</v>
      </c>
      <c r="AI925" s="49">
        <f t="shared" si="44"/>
        <v>0</v>
      </c>
    </row>
    <row r="926" spans="1:35" ht="15" x14ac:dyDescent="0.2">
      <c r="A926" s="193" t="s">
        <v>3124</v>
      </c>
      <c r="B926" s="146" t="s">
        <v>668</v>
      </c>
      <c r="C926" s="193" t="s">
        <v>3124</v>
      </c>
      <c r="D926" s="175" t="s">
        <v>2948</v>
      </c>
      <c r="E926" s="146" t="s">
        <v>670</v>
      </c>
      <c r="F926" s="146" t="s">
        <v>671</v>
      </c>
      <c r="G926" s="146" t="s">
        <v>672</v>
      </c>
      <c r="H926" s="175">
        <v>1.92</v>
      </c>
      <c r="I926" s="146" t="s">
        <v>673</v>
      </c>
      <c r="J926" s="220">
        <v>1</v>
      </c>
      <c r="K926" s="150">
        <v>2021</v>
      </c>
      <c r="L926" s="221" t="s">
        <v>3065</v>
      </c>
      <c r="M926" s="221" t="s">
        <v>3125</v>
      </c>
      <c r="N926" s="202">
        <v>749864607</v>
      </c>
      <c r="O926" s="223" t="s">
        <v>3126</v>
      </c>
      <c r="P926" s="219" t="s">
        <v>676</v>
      </c>
      <c r="Q926" s="279">
        <v>1992</v>
      </c>
      <c r="R926" s="155">
        <v>4</v>
      </c>
      <c r="S926" s="168"/>
      <c r="T926" s="168"/>
      <c r="U926" s="146"/>
      <c r="V926" s="146"/>
      <c r="W926" s="146"/>
      <c r="X926" s="156">
        <v>0</v>
      </c>
      <c r="Y926" s="156">
        <v>0</v>
      </c>
      <c r="Z926" s="157" t="s">
        <v>2703</v>
      </c>
      <c r="AA926" s="158">
        <v>2021</v>
      </c>
      <c r="AB926" s="158">
        <v>8</v>
      </c>
      <c r="AC926" s="158">
        <v>26</v>
      </c>
      <c r="AD926" s="122" t="b">
        <f>IF(ISBLANK(GroupMember[[#This Row],[1. Identifiant interne d’exploitation agricole*]]),"",IF(ISERROR(MATCH(GroupMember[[#This Row],[1. Identifiant interne d’exploitation agricole*]],CertifiedCrop[1. Identifiant interne d’exploitation agricole*],0)),FALSE,TRUE))</f>
        <v>1</v>
      </c>
      <c r="AE926" s="122" t="b">
        <f>IF(ISBLANK(GroupMember[[#This Row],[1. Identifiant interne d’exploitation agricole*]]),"",IF(ISERROR(MATCH(GroupMember[[#This Row],[1. Identifiant interne d’exploitation agricole*]],FarmUnit[1. Identifiant interne d’exploitation agricole*],0)),FALSE,TRUE))</f>
        <v>1</v>
      </c>
      <c r="AF926" s="9" t="str">
        <f t="shared" si="42"/>
        <v>HIEN KARAMPITE</v>
      </c>
      <c r="AG926" s="243" t="str">
        <f t="shared" si="43"/>
        <v>26/8/2021</v>
      </c>
      <c r="AH926" s="51">
        <f>COUNTIFS(Z:Z,Z926,AG:AG,AG926)</f>
        <v>3</v>
      </c>
      <c r="AI926" s="49">
        <f t="shared" si="44"/>
        <v>0</v>
      </c>
    </row>
    <row r="927" spans="1:35" ht="15" x14ac:dyDescent="0.2">
      <c r="A927" s="193" t="s">
        <v>3127</v>
      </c>
      <c r="B927" s="146" t="s">
        <v>668</v>
      </c>
      <c r="C927" s="193" t="s">
        <v>3127</v>
      </c>
      <c r="D927" s="175" t="s">
        <v>2948</v>
      </c>
      <c r="E927" s="146" t="s">
        <v>670</v>
      </c>
      <c r="F927" s="146" t="s">
        <v>671</v>
      </c>
      <c r="G927" s="146" t="s">
        <v>672</v>
      </c>
      <c r="H927" s="175">
        <v>2.9</v>
      </c>
      <c r="I927" s="146" t="s">
        <v>673</v>
      </c>
      <c r="J927" s="220">
        <v>1</v>
      </c>
      <c r="K927" s="150">
        <v>2021</v>
      </c>
      <c r="L927" s="221" t="s">
        <v>3069</v>
      </c>
      <c r="M927" s="221" t="s">
        <v>3128</v>
      </c>
      <c r="N927" s="202">
        <v>506626146</v>
      </c>
      <c r="O927" s="217" t="s">
        <v>3319</v>
      </c>
      <c r="P927" s="219" t="s">
        <v>676</v>
      </c>
      <c r="Q927" s="279">
        <v>1982</v>
      </c>
      <c r="R927" s="155">
        <v>6</v>
      </c>
      <c r="S927" s="168"/>
      <c r="T927" s="168"/>
      <c r="U927" s="146"/>
      <c r="V927" s="146"/>
      <c r="W927" s="146"/>
      <c r="X927" s="156">
        <v>0</v>
      </c>
      <c r="Y927" s="156">
        <v>0</v>
      </c>
      <c r="Z927" s="157" t="s">
        <v>2703</v>
      </c>
      <c r="AA927" s="158">
        <v>2021</v>
      </c>
      <c r="AB927" s="158">
        <v>7</v>
      </c>
      <c r="AC927" s="158">
        <v>9</v>
      </c>
      <c r="AD927" s="122" t="b">
        <f>IF(ISBLANK(GroupMember[[#This Row],[1. Identifiant interne d’exploitation agricole*]]),"",IF(ISERROR(MATCH(GroupMember[[#This Row],[1. Identifiant interne d’exploitation agricole*]],CertifiedCrop[1. Identifiant interne d’exploitation agricole*],0)),FALSE,TRUE))</f>
        <v>1</v>
      </c>
      <c r="AE927" s="122" t="b">
        <f>IF(ISBLANK(GroupMember[[#This Row],[1. Identifiant interne d’exploitation agricole*]]),"",IF(ISERROR(MATCH(GroupMember[[#This Row],[1. Identifiant interne d’exploitation agricole*]],FarmUnit[1. Identifiant interne d’exploitation agricole*],0)),FALSE,TRUE))</f>
        <v>1</v>
      </c>
      <c r="AF927" s="9" t="str">
        <f t="shared" si="42"/>
        <v>SOMATE SIB</v>
      </c>
      <c r="AG927" s="243" t="str">
        <f t="shared" si="43"/>
        <v>9/7/2021</v>
      </c>
      <c r="AH927" s="51">
        <f>COUNTIFS(Z:Z,Z927,AG:AG,AG927)</f>
        <v>4</v>
      </c>
      <c r="AI927" s="49">
        <f t="shared" si="44"/>
        <v>0</v>
      </c>
    </row>
    <row r="928" spans="1:35" ht="15" x14ac:dyDescent="0.2">
      <c r="A928" s="193" t="s">
        <v>3129</v>
      </c>
      <c r="B928" s="146" t="s">
        <v>668</v>
      </c>
      <c r="C928" s="193" t="s">
        <v>3129</v>
      </c>
      <c r="D928" s="175" t="s">
        <v>3130</v>
      </c>
      <c r="E928" s="146" t="s">
        <v>670</v>
      </c>
      <c r="F928" s="146" t="s">
        <v>671</v>
      </c>
      <c r="G928" s="146" t="s">
        <v>672</v>
      </c>
      <c r="H928" s="175">
        <v>2.41</v>
      </c>
      <c r="I928" s="146" t="s">
        <v>673</v>
      </c>
      <c r="J928" s="220">
        <v>1</v>
      </c>
      <c r="K928" s="150">
        <v>2021</v>
      </c>
      <c r="L928" s="221" t="s">
        <v>701</v>
      </c>
      <c r="M928" s="221" t="s">
        <v>2614</v>
      </c>
      <c r="N928" s="202">
        <v>584071239</v>
      </c>
      <c r="O928" s="217" t="s">
        <v>3320</v>
      </c>
      <c r="P928" s="219" t="s">
        <v>676</v>
      </c>
      <c r="Q928" s="279">
        <v>1986</v>
      </c>
      <c r="R928" s="155">
        <v>8</v>
      </c>
      <c r="S928" s="168"/>
      <c r="T928" s="168"/>
      <c r="U928" s="146"/>
      <c r="V928" s="146"/>
      <c r="W928" s="146"/>
      <c r="X928" s="156">
        <v>0</v>
      </c>
      <c r="Y928" s="156">
        <v>0</v>
      </c>
      <c r="Z928" s="157" t="s">
        <v>2703</v>
      </c>
      <c r="AA928" s="158">
        <v>2021</v>
      </c>
      <c r="AB928" s="158">
        <v>8</v>
      </c>
      <c r="AC928" s="158">
        <v>24</v>
      </c>
      <c r="AD928" s="122" t="b">
        <f>IF(ISBLANK(GroupMember[[#This Row],[1. Identifiant interne d’exploitation agricole*]]),"",IF(ISERROR(MATCH(GroupMember[[#This Row],[1. Identifiant interne d’exploitation agricole*]],CertifiedCrop[1. Identifiant interne d’exploitation agricole*],0)),FALSE,TRUE))</f>
        <v>1</v>
      </c>
      <c r="AE928" s="122" t="b">
        <f>IF(ISBLANK(GroupMember[[#This Row],[1. Identifiant interne d’exploitation agricole*]]),"",IF(ISERROR(MATCH(GroupMember[[#This Row],[1. Identifiant interne d’exploitation agricole*]],FarmUnit[1. Identifiant interne d’exploitation agricole*],0)),FALSE,TRUE))</f>
        <v>1</v>
      </c>
      <c r="AF928" s="9" t="str">
        <f t="shared" si="42"/>
        <v>OUATTARA DRISSA</v>
      </c>
      <c r="AG928" s="243" t="str">
        <f t="shared" si="43"/>
        <v>24/8/2021</v>
      </c>
      <c r="AH928" s="51">
        <f>COUNTIFS(Z:Z,Z928,AG:AG,AG928)</f>
        <v>3</v>
      </c>
      <c r="AI928" s="49">
        <f t="shared" si="44"/>
        <v>0</v>
      </c>
    </row>
    <row r="929" spans="1:35" ht="15" x14ac:dyDescent="0.2">
      <c r="A929" s="193" t="s">
        <v>3131</v>
      </c>
      <c r="B929" s="146" t="s">
        <v>668</v>
      </c>
      <c r="C929" s="193" t="s">
        <v>3131</v>
      </c>
      <c r="D929" s="175" t="s">
        <v>3130</v>
      </c>
      <c r="E929" s="146" t="s">
        <v>670</v>
      </c>
      <c r="F929" s="146" t="s">
        <v>671</v>
      </c>
      <c r="G929" s="146" t="s">
        <v>672</v>
      </c>
      <c r="H929" s="175">
        <v>3.82</v>
      </c>
      <c r="I929" s="146" t="s">
        <v>673</v>
      </c>
      <c r="J929" s="220">
        <v>1</v>
      </c>
      <c r="K929" s="150">
        <v>2021</v>
      </c>
      <c r="L929" s="221" t="s">
        <v>701</v>
      </c>
      <c r="M929" s="221" t="s">
        <v>3132</v>
      </c>
      <c r="N929" s="202">
        <v>565955266</v>
      </c>
      <c r="O929" s="223" t="s">
        <v>3133</v>
      </c>
      <c r="P929" s="219" t="s">
        <v>676</v>
      </c>
      <c r="Q929" s="279">
        <v>1985</v>
      </c>
      <c r="R929" s="155">
        <v>5</v>
      </c>
      <c r="S929" s="168"/>
      <c r="T929" s="168"/>
      <c r="U929" s="146"/>
      <c r="V929" s="146"/>
      <c r="W929" s="146"/>
      <c r="X929" s="156">
        <v>0</v>
      </c>
      <c r="Y929" s="156">
        <v>0</v>
      </c>
      <c r="Z929" s="157" t="s">
        <v>2703</v>
      </c>
      <c r="AA929" s="158">
        <v>2021</v>
      </c>
      <c r="AB929" s="158">
        <v>7</v>
      </c>
      <c r="AC929" s="158">
        <v>17</v>
      </c>
      <c r="AD929" s="122" t="b">
        <f>IF(ISBLANK(GroupMember[[#This Row],[1. Identifiant interne d’exploitation agricole*]]),"",IF(ISERROR(MATCH(GroupMember[[#This Row],[1. Identifiant interne d’exploitation agricole*]],CertifiedCrop[1. Identifiant interne d’exploitation agricole*],0)),FALSE,TRUE))</f>
        <v>1</v>
      </c>
      <c r="AE929" s="122" t="b">
        <f>IF(ISBLANK(GroupMember[[#This Row],[1. Identifiant interne d’exploitation agricole*]]),"",IF(ISERROR(MATCH(GroupMember[[#This Row],[1. Identifiant interne d’exploitation agricole*]],FarmUnit[1. Identifiant interne d’exploitation agricole*],0)),FALSE,TRUE))</f>
        <v>1</v>
      </c>
      <c r="AF929" s="9" t="str">
        <f t="shared" si="42"/>
        <v xml:space="preserve">OUATTARA ALASSANE    </v>
      </c>
      <c r="AG929" s="243" t="str">
        <f t="shared" si="43"/>
        <v>17/7/2021</v>
      </c>
      <c r="AH929" s="51">
        <f>COUNTIFS(Z:Z,Z929,AG:AG,AG929)</f>
        <v>4</v>
      </c>
      <c r="AI929" s="49">
        <f t="shared" si="44"/>
        <v>0</v>
      </c>
    </row>
    <row r="930" spans="1:35" ht="15" x14ac:dyDescent="0.2">
      <c r="A930" s="193" t="s">
        <v>3134</v>
      </c>
      <c r="B930" s="146" t="s">
        <v>668</v>
      </c>
      <c r="C930" s="193" t="s">
        <v>3134</v>
      </c>
      <c r="D930" s="175" t="s">
        <v>3130</v>
      </c>
      <c r="E930" s="146" t="s">
        <v>670</v>
      </c>
      <c r="F930" s="146" t="s">
        <v>671</v>
      </c>
      <c r="G930" s="146" t="s">
        <v>672</v>
      </c>
      <c r="H930" s="175">
        <v>7.64</v>
      </c>
      <c r="I930" s="146" t="s">
        <v>673</v>
      </c>
      <c r="J930" s="220">
        <v>2</v>
      </c>
      <c r="K930" s="150">
        <v>2021</v>
      </c>
      <c r="L930" s="221" t="s">
        <v>3135</v>
      </c>
      <c r="M930" s="221" t="s">
        <v>3136</v>
      </c>
      <c r="N930" s="202">
        <v>574408308</v>
      </c>
      <c r="O930" s="223"/>
      <c r="P930" s="219" t="s">
        <v>676</v>
      </c>
      <c r="Q930" s="302"/>
      <c r="R930" s="155">
        <v>7</v>
      </c>
      <c r="S930" s="168"/>
      <c r="T930" s="168"/>
      <c r="U930" s="146"/>
      <c r="V930" s="146"/>
      <c r="W930" s="146"/>
      <c r="X930" s="156">
        <v>0</v>
      </c>
      <c r="Y930" s="156">
        <v>0</v>
      </c>
      <c r="Z930" s="157" t="s">
        <v>2703</v>
      </c>
      <c r="AA930" s="158">
        <v>2021</v>
      </c>
      <c r="AB930" s="158">
        <v>8</v>
      </c>
      <c r="AC930" s="158">
        <v>27</v>
      </c>
      <c r="AD930" s="122" t="b">
        <f>IF(ISBLANK(GroupMember[[#This Row],[1. Identifiant interne d’exploitation agricole*]]),"",IF(ISERROR(MATCH(GroupMember[[#This Row],[1. Identifiant interne d’exploitation agricole*]],CertifiedCrop[1. Identifiant interne d’exploitation agricole*],0)),FALSE,TRUE))</f>
        <v>1</v>
      </c>
      <c r="AE930" s="122" t="b">
        <f>IF(ISBLANK(GroupMember[[#This Row],[1. Identifiant interne d’exploitation agricole*]]),"",IF(ISERROR(MATCH(GroupMember[[#This Row],[1. Identifiant interne d’exploitation agricole*]],FarmUnit[1. Identifiant interne d’exploitation agricole*],0)),FALSE,TRUE))</f>
        <v>1</v>
      </c>
      <c r="AF930" s="9" t="str">
        <f t="shared" si="42"/>
        <v xml:space="preserve">NOUFFE HANFINOTE   </v>
      </c>
      <c r="AG930" s="243" t="str">
        <f t="shared" si="43"/>
        <v>27/8/2021</v>
      </c>
      <c r="AH930" s="51">
        <f>COUNTIFS(Z:Z,Z930,AG:AG,AG930)</f>
        <v>4</v>
      </c>
      <c r="AI930" s="49">
        <f t="shared" si="44"/>
        <v>0</v>
      </c>
    </row>
    <row r="931" spans="1:35" ht="15" x14ac:dyDescent="0.2">
      <c r="A931" s="193" t="s">
        <v>3137</v>
      </c>
      <c r="B931" s="146" t="s">
        <v>668</v>
      </c>
      <c r="C931" s="193" t="s">
        <v>3137</v>
      </c>
      <c r="D931" s="175" t="s">
        <v>3130</v>
      </c>
      <c r="E931" s="146" t="s">
        <v>670</v>
      </c>
      <c r="F931" s="146" t="s">
        <v>671</v>
      </c>
      <c r="G931" s="146" t="s">
        <v>672</v>
      </c>
      <c r="H931" s="175">
        <v>3.77</v>
      </c>
      <c r="I931" s="146" t="s">
        <v>673</v>
      </c>
      <c r="J931" s="220">
        <v>1</v>
      </c>
      <c r="K931" s="150">
        <v>2021</v>
      </c>
      <c r="L931" s="221" t="s">
        <v>1774</v>
      </c>
      <c r="M931" s="221" t="s">
        <v>2332</v>
      </c>
      <c r="N931" s="202">
        <v>767429501</v>
      </c>
      <c r="O931" s="223"/>
      <c r="P931" s="219" t="s">
        <v>676</v>
      </c>
      <c r="Q931" s="150"/>
      <c r="R931" s="155">
        <v>5</v>
      </c>
      <c r="S931" s="168"/>
      <c r="T931" s="168"/>
      <c r="U931" s="146"/>
      <c r="V931" s="146"/>
      <c r="W931" s="146"/>
      <c r="X931" s="156">
        <v>0</v>
      </c>
      <c r="Y931" s="156">
        <v>0</v>
      </c>
      <c r="Z931" s="157" t="s">
        <v>2703</v>
      </c>
      <c r="AA931" s="158">
        <v>2021</v>
      </c>
      <c r="AB931" s="158">
        <v>8</v>
      </c>
      <c r="AC931" s="158">
        <v>26</v>
      </c>
      <c r="AD931" s="122" t="b">
        <f>IF(ISBLANK(GroupMember[[#This Row],[1. Identifiant interne d’exploitation agricole*]]),"",IF(ISERROR(MATCH(GroupMember[[#This Row],[1. Identifiant interne d’exploitation agricole*]],CertifiedCrop[1. Identifiant interne d’exploitation agricole*],0)),FALSE,TRUE))</f>
        <v>1</v>
      </c>
      <c r="AE931" s="122" t="b">
        <f>IF(ISBLANK(GroupMember[[#This Row],[1. Identifiant interne d’exploitation agricole*]]),"",IF(ISERROR(MATCH(GroupMember[[#This Row],[1. Identifiant interne d’exploitation agricole*]],FarmUnit[1. Identifiant interne d’exploitation agricole*],0)),FALSE,TRUE))</f>
        <v>1</v>
      </c>
      <c r="AF931" s="9" t="str">
        <f t="shared" si="42"/>
        <v>COULIBALY BAKARY</v>
      </c>
      <c r="AG931" s="243" t="str">
        <f t="shared" si="43"/>
        <v>26/8/2021</v>
      </c>
      <c r="AH931" s="51">
        <f>COUNTIFS(Z:Z,Z931,AG:AG,AG931)</f>
        <v>3</v>
      </c>
      <c r="AI931" s="49">
        <f t="shared" si="44"/>
        <v>0</v>
      </c>
    </row>
    <row r="932" spans="1:35" ht="15" x14ac:dyDescent="0.2">
      <c r="A932" s="193" t="s">
        <v>3138</v>
      </c>
      <c r="B932" s="146" t="s">
        <v>668</v>
      </c>
      <c r="C932" s="193" t="s">
        <v>3138</v>
      </c>
      <c r="D932" s="175" t="s">
        <v>3139</v>
      </c>
      <c r="E932" s="146" t="s">
        <v>670</v>
      </c>
      <c r="F932" s="146" t="s">
        <v>671</v>
      </c>
      <c r="G932" s="146" t="s">
        <v>672</v>
      </c>
      <c r="H932" s="175">
        <v>6.43</v>
      </c>
      <c r="I932" s="146" t="s">
        <v>673</v>
      </c>
      <c r="J932" s="220">
        <v>1</v>
      </c>
      <c r="K932" s="150">
        <v>2021</v>
      </c>
      <c r="L932" s="221" t="s">
        <v>3025</v>
      </c>
      <c r="M932" s="221" t="s">
        <v>2833</v>
      </c>
      <c r="N932" s="202"/>
      <c r="O932" s="223"/>
      <c r="P932" s="219" t="s">
        <v>676</v>
      </c>
      <c r="Q932" s="150"/>
      <c r="R932" s="155">
        <v>4</v>
      </c>
      <c r="S932" s="168"/>
      <c r="T932" s="168"/>
      <c r="U932" s="146"/>
      <c r="V932" s="146"/>
      <c r="W932" s="146"/>
      <c r="X932" s="156">
        <v>0</v>
      </c>
      <c r="Y932" s="156">
        <v>0</v>
      </c>
      <c r="Z932" s="157" t="s">
        <v>2703</v>
      </c>
      <c r="AA932" s="158">
        <v>2021</v>
      </c>
      <c r="AB932" s="158">
        <v>8</v>
      </c>
      <c r="AC932" s="158">
        <v>24</v>
      </c>
      <c r="AD932" s="122" t="b">
        <f>IF(ISBLANK(GroupMember[[#This Row],[1. Identifiant interne d’exploitation agricole*]]),"",IF(ISERROR(MATCH(GroupMember[[#This Row],[1. Identifiant interne d’exploitation agricole*]],CertifiedCrop[1. Identifiant interne d’exploitation agricole*],0)),FALSE,TRUE))</f>
        <v>1</v>
      </c>
      <c r="AE932" s="122" t="b">
        <f>IF(ISBLANK(GroupMember[[#This Row],[1. Identifiant interne d’exploitation agricole*]]),"",IF(ISERROR(MATCH(GroupMember[[#This Row],[1. Identifiant interne d’exploitation agricole*]],FarmUnit[1. Identifiant interne d’exploitation agricole*],0)),FALSE,TRUE))</f>
        <v>1</v>
      </c>
      <c r="AF932" s="9" t="str">
        <f t="shared" si="42"/>
        <v>KOUASSI  KOUADIO</v>
      </c>
      <c r="AG932" s="243" t="str">
        <f t="shared" si="43"/>
        <v>24/8/2021</v>
      </c>
      <c r="AH932" s="51">
        <f>COUNTIFS(Z:Z,Z932,AG:AG,AG932)</f>
        <v>3</v>
      </c>
      <c r="AI932" s="49">
        <f t="shared" si="44"/>
        <v>0</v>
      </c>
    </row>
    <row r="933" spans="1:35" ht="15" x14ac:dyDescent="0.2">
      <c r="A933" s="193" t="s">
        <v>3140</v>
      </c>
      <c r="B933" s="146" t="s">
        <v>668</v>
      </c>
      <c r="C933" s="193" t="s">
        <v>3140</v>
      </c>
      <c r="D933" s="175" t="s">
        <v>3139</v>
      </c>
      <c r="E933" s="146" t="s">
        <v>670</v>
      </c>
      <c r="F933" s="146" t="s">
        <v>671</v>
      </c>
      <c r="G933" s="146" t="s">
        <v>672</v>
      </c>
      <c r="H933" s="175">
        <v>2.86</v>
      </c>
      <c r="I933" s="146" t="s">
        <v>673</v>
      </c>
      <c r="J933" s="220">
        <v>1</v>
      </c>
      <c r="K933" s="150">
        <v>2021</v>
      </c>
      <c r="L933" s="221" t="s">
        <v>3025</v>
      </c>
      <c r="M933" s="221" t="s">
        <v>3141</v>
      </c>
      <c r="N933" s="202">
        <v>757019436</v>
      </c>
      <c r="O933" s="223"/>
      <c r="P933" s="219" t="s">
        <v>676</v>
      </c>
      <c r="Q933" s="150"/>
      <c r="R933" s="155">
        <v>6</v>
      </c>
      <c r="S933" s="168"/>
      <c r="T933" s="168"/>
      <c r="U933" s="146"/>
      <c r="V933" s="146"/>
      <c r="W933" s="146"/>
      <c r="X933" s="156">
        <v>0</v>
      </c>
      <c r="Y933" s="156">
        <v>0</v>
      </c>
      <c r="Z933" s="157" t="s">
        <v>2703</v>
      </c>
      <c r="AA933" s="158">
        <v>2021</v>
      </c>
      <c r="AB933" s="158">
        <v>7</v>
      </c>
      <c r="AC933" s="158">
        <v>19</v>
      </c>
      <c r="AD933" s="122" t="b">
        <f>IF(ISBLANK(GroupMember[[#This Row],[1. Identifiant interne d’exploitation agricole*]]),"",IF(ISERROR(MATCH(GroupMember[[#This Row],[1. Identifiant interne d’exploitation agricole*]],CertifiedCrop[1. Identifiant interne d’exploitation agricole*],0)),FALSE,TRUE))</f>
        <v>1</v>
      </c>
      <c r="AE933" s="122" t="b">
        <f>IF(ISBLANK(GroupMember[[#This Row],[1. Identifiant interne d’exploitation agricole*]]),"",IF(ISERROR(MATCH(GroupMember[[#This Row],[1. Identifiant interne d’exploitation agricole*]],FarmUnit[1. Identifiant interne d’exploitation agricole*],0)),FALSE,TRUE))</f>
        <v>1</v>
      </c>
      <c r="AF933" s="9" t="str">
        <f t="shared" si="42"/>
        <v>KOUASSI  KOUAME JOACHIM</v>
      </c>
      <c r="AG933" s="243" t="str">
        <f t="shared" si="43"/>
        <v>19/7/2021</v>
      </c>
      <c r="AH933" s="51">
        <f>COUNTIFS(Z:Z,Z933,AG:AG,AG933)</f>
        <v>4</v>
      </c>
      <c r="AI933" s="49">
        <f t="shared" si="44"/>
        <v>0</v>
      </c>
    </row>
    <row r="934" spans="1:35" ht="15" x14ac:dyDescent="0.2">
      <c r="A934" s="193" t="s">
        <v>3142</v>
      </c>
      <c r="B934" s="146" t="s">
        <v>668</v>
      </c>
      <c r="C934" s="193" t="s">
        <v>3142</v>
      </c>
      <c r="D934" s="175" t="s">
        <v>3139</v>
      </c>
      <c r="E934" s="146" t="s">
        <v>670</v>
      </c>
      <c r="F934" s="146" t="s">
        <v>671</v>
      </c>
      <c r="G934" s="146" t="s">
        <v>672</v>
      </c>
      <c r="H934" s="175">
        <v>6.08</v>
      </c>
      <c r="I934" s="146" t="s">
        <v>673</v>
      </c>
      <c r="J934" s="220">
        <v>1</v>
      </c>
      <c r="K934" s="150">
        <v>2021</v>
      </c>
      <c r="L934" s="221" t="s">
        <v>2396</v>
      </c>
      <c r="M934" s="221" t="s">
        <v>3143</v>
      </c>
      <c r="N934" s="202">
        <v>749882830</v>
      </c>
      <c r="O934" s="223"/>
      <c r="P934" s="219" t="s">
        <v>676</v>
      </c>
      <c r="Q934" s="150"/>
      <c r="R934" s="155">
        <v>5</v>
      </c>
      <c r="S934" s="168"/>
      <c r="T934" s="168"/>
      <c r="U934" s="146"/>
      <c r="V934" s="146"/>
      <c r="W934" s="146"/>
      <c r="X934" s="156">
        <v>0</v>
      </c>
      <c r="Y934" s="156">
        <v>0</v>
      </c>
      <c r="Z934" s="157" t="s">
        <v>2703</v>
      </c>
      <c r="AA934" s="158">
        <v>2021</v>
      </c>
      <c r="AB934" s="158">
        <v>7</v>
      </c>
      <c r="AC934" s="158">
        <v>9</v>
      </c>
      <c r="AD934" s="122" t="b">
        <f>IF(ISBLANK(GroupMember[[#This Row],[1. Identifiant interne d’exploitation agricole*]]),"",IF(ISERROR(MATCH(GroupMember[[#This Row],[1. Identifiant interne d’exploitation agricole*]],CertifiedCrop[1. Identifiant interne d’exploitation agricole*],0)),FALSE,TRUE))</f>
        <v>1</v>
      </c>
      <c r="AE934" s="122" t="b">
        <f>IF(ISBLANK(GroupMember[[#This Row],[1. Identifiant interne d’exploitation agricole*]]),"",IF(ISERROR(MATCH(GroupMember[[#This Row],[1. Identifiant interne d’exploitation agricole*]],FarmUnit[1. Identifiant interne d’exploitation agricole*],0)),FALSE,TRUE))</f>
        <v>1</v>
      </c>
      <c r="AF934" s="9" t="str">
        <f t="shared" si="42"/>
        <v>KOUAKOU KOUASSI CLAUDE</v>
      </c>
      <c r="AG934" s="243" t="str">
        <f t="shared" si="43"/>
        <v>9/7/2021</v>
      </c>
      <c r="AH934" s="51">
        <f>COUNTIFS(Z:Z,Z934,AG:AG,AG934)</f>
        <v>4</v>
      </c>
      <c r="AI934" s="49">
        <f t="shared" si="44"/>
        <v>0</v>
      </c>
    </row>
    <row r="935" spans="1:35" ht="15" x14ac:dyDescent="0.2">
      <c r="A935" s="193" t="s">
        <v>3144</v>
      </c>
      <c r="B935" s="146" t="s">
        <v>668</v>
      </c>
      <c r="C935" s="193" t="s">
        <v>3144</v>
      </c>
      <c r="D935" s="175" t="s">
        <v>2948</v>
      </c>
      <c r="E935" s="146" t="s">
        <v>670</v>
      </c>
      <c r="F935" s="146" t="s">
        <v>671</v>
      </c>
      <c r="G935" s="146" t="s">
        <v>672</v>
      </c>
      <c r="H935" s="175">
        <v>1.92</v>
      </c>
      <c r="I935" s="146" t="s">
        <v>673</v>
      </c>
      <c r="J935" s="220">
        <v>1</v>
      </c>
      <c r="K935" s="150">
        <v>2021</v>
      </c>
      <c r="L935" s="221" t="s">
        <v>1982</v>
      </c>
      <c r="M935" s="221" t="s">
        <v>3145</v>
      </c>
      <c r="N935" s="202">
        <v>576199809</v>
      </c>
      <c r="O935" s="223" t="s">
        <v>3146</v>
      </c>
      <c r="P935" s="219" t="s">
        <v>676</v>
      </c>
      <c r="Q935" s="150">
        <v>1977</v>
      </c>
      <c r="R935" s="171">
        <v>7</v>
      </c>
      <c r="S935" s="168"/>
      <c r="T935" s="168"/>
      <c r="U935" s="146"/>
      <c r="V935" s="146"/>
      <c r="W935" s="146"/>
      <c r="X935" s="156">
        <v>0</v>
      </c>
      <c r="Y935" s="156">
        <v>0</v>
      </c>
      <c r="Z935" s="157" t="s">
        <v>2703</v>
      </c>
      <c r="AA935" s="158">
        <v>2021</v>
      </c>
      <c r="AB935" s="158">
        <v>7</v>
      </c>
      <c r="AC935" s="158">
        <v>19</v>
      </c>
      <c r="AD935" s="122" t="b">
        <f>IF(ISBLANK(GroupMember[[#This Row],[1. Identifiant interne d’exploitation agricole*]]),"",IF(ISERROR(MATCH(GroupMember[[#This Row],[1. Identifiant interne d’exploitation agricole*]],CertifiedCrop[1. Identifiant interne d’exploitation agricole*],0)),FALSE,TRUE))</f>
        <v>1</v>
      </c>
      <c r="AE935" s="122" t="b">
        <f>IF(ISBLANK(GroupMember[[#This Row],[1. Identifiant interne d’exploitation agricole*]]),"",IF(ISERROR(MATCH(GroupMember[[#This Row],[1. Identifiant interne d’exploitation agricole*]],FarmUnit[1. Identifiant interne d’exploitation agricole*],0)),FALSE,TRUE))</f>
        <v>1</v>
      </c>
      <c r="AF935" s="9" t="str">
        <f t="shared" si="42"/>
        <v>LADJI SEKONGO</v>
      </c>
      <c r="AG935" s="243" t="str">
        <f t="shared" si="43"/>
        <v>19/7/2021</v>
      </c>
      <c r="AH935" s="51">
        <f>COUNTIFS(Z:Z,Z935,AG:AG,AG935)</f>
        <v>4</v>
      </c>
      <c r="AI935" s="49">
        <f t="shared" si="44"/>
        <v>0</v>
      </c>
    </row>
    <row r="936" spans="1:35" ht="15" x14ac:dyDescent="0.2">
      <c r="A936" s="193" t="s">
        <v>3147</v>
      </c>
      <c r="B936" s="146" t="s">
        <v>668</v>
      </c>
      <c r="C936" s="193" t="s">
        <v>3147</v>
      </c>
      <c r="D936" s="175" t="s">
        <v>2957</v>
      </c>
      <c r="E936" s="146" t="s">
        <v>670</v>
      </c>
      <c r="F936" s="146" t="s">
        <v>671</v>
      </c>
      <c r="G936" s="146" t="s">
        <v>672</v>
      </c>
      <c r="H936" s="175">
        <v>7.87</v>
      </c>
      <c r="I936" s="146" t="s">
        <v>673</v>
      </c>
      <c r="J936" s="220">
        <v>1</v>
      </c>
      <c r="K936" s="150">
        <v>2021</v>
      </c>
      <c r="L936" s="221" t="s">
        <v>701</v>
      </c>
      <c r="M936" s="221" t="s">
        <v>2767</v>
      </c>
      <c r="N936" s="202">
        <v>576457377</v>
      </c>
      <c r="O936" s="223"/>
      <c r="P936" s="219" t="s">
        <v>676</v>
      </c>
      <c r="Q936" s="299">
        <v>1985</v>
      </c>
      <c r="R936" s="155">
        <v>6</v>
      </c>
      <c r="S936" s="168"/>
      <c r="T936" s="168"/>
      <c r="U936" s="146"/>
      <c r="V936" s="146"/>
      <c r="W936" s="146"/>
      <c r="X936" s="156">
        <v>0</v>
      </c>
      <c r="Y936" s="156">
        <v>0</v>
      </c>
      <c r="Z936" s="157" t="s">
        <v>2703</v>
      </c>
      <c r="AA936" s="158">
        <v>2021</v>
      </c>
      <c r="AB936" s="158">
        <v>7</v>
      </c>
      <c r="AC936" s="158">
        <v>17</v>
      </c>
      <c r="AD936" s="122" t="b">
        <f>IF(ISBLANK(GroupMember[[#This Row],[1. Identifiant interne d’exploitation agricole*]]),"",IF(ISERROR(MATCH(GroupMember[[#This Row],[1. Identifiant interne d’exploitation agricole*]],CertifiedCrop[1. Identifiant interne d’exploitation agricole*],0)),FALSE,TRUE))</f>
        <v>1</v>
      </c>
      <c r="AE936" s="122" t="b">
        <f>IF(ISBLANK(GroupMember[[#This Row],[1. Identifiant interne d’exploitation agricole*]]),"",IF(ISERROR(MATCH(GroupMember[[#This Row],[1. Identifiant interne d’exploitation agricole*]],FarmUnit[1. Identifiant interne d’exploitation agricole*],0)),FALSE,TRUE))</f>
        <v>1</v>
      </c>
      <c r="AF936" s="9" t="str">
        <f t="shared" si="42"/>
        <v>OUATTARA BAKARI</v>
      </c>
      <c r="AG936" s="243" t="str">
        <f t="shared" si="43"/>
        <v>17/7/2021</v>
      </c>
      <c r="AH936" s="51">
        <f>COUNTIFS(Z:Z,Z936,AG:AG,AG936)</f>
        <v>4</v>
      </c>
      <c r="AI936" s="49">
        <f t="shared" si="44"/>
        <v>0</v>
      </c>
    </row>
    <row r="937" spans="1:35" ht="15" x14ac:dyDescent="0.2">
      <c r="A937" s="193" t="s">
        <v>3148</v>
      </c>
      <c r="B937" s="146" t="s">
        <v>668</v>
      </c>
      <c r="C937" s="193" t="s">
        <v>3148</v>
      </c>
      <c r="D937" s="175" t="s">
        <v>2957</v>
      </c>
      <c r="E937" s="146" t="s">
        <v>670</v>
      </c>
      <c r="F937" s="146" t="s">
        <v>671</v>
      </c>
      <c r="G937" s="146" t="s">
        <v>672</v>
      </c>
      <c r="H937" s="175">
        <v>6.77</v>
      </c>
      <c r="I937" s="146" t="s">
        <v>673</v>
      </c>
      <c r="J937" s="220">
        <v>2</v>
      </c>
      <c r="K937" s="150">
        <v>2021</v>
      </c>
      <c r="L937" s="221" t="s">
        <v>3025</v>
      </c>
      <c r="M937" s="221" t="s">
        <v>3149</v>
      </c>
      <c r="N937" s="202">
        <v>708506985</v>
      </c>
      <c r="O937" s="223" t="s">
        <v>3150</v>
      </c>
      <c r="P937" s="219" t="s">
        <v>676</v>
      </c>
      <c r="Q937" s="150">
        <v>1980</v>
      </c>
      <c r="R937" s="155">
        <v>7</v>
      </c>
      <c r="S937" s="168"/>
      <c r="T937" s="168"/>
      <c r="U937" s="146"/>
      <c r="V937" s="146"/>
      <c r="W937" s="146"/>
      <c r="X937" s="156">
        <v>0</v>
      </c>
      <c r="Y937" s="156">
        <v>0</v>
      </c>
      <c r="Z937" s="157" t="s">
        <v>2703</v>
      </c>
      <c r="AA937" s="174">
        <v>2021</v>
      </c>
      <c r="AB937" s="174">
        <v>7</v>
      </c>
      <c r="AC937" s="174">
        <v>26</v>
      </c>
      <c r="AD937" s="122" t="b">
        <f>IF(ISBLANK(GroupMember[[#This Row],[1. Identifiant interne d’exploitation agricole*]]),"",IF(ISERROR(MATCH(GroupMember[[#This Row],[1. Identifiant interne d’exploitation agricole*]],CertifiedCrop[1. Identifiant interne d’exploitation agricole*],0)),FALSE,TRUE))</f>
        <v>1</v>
      </c>
      <c r="AE937" s="122" t="b">
        <f>IF(ISBLANK(GroupMember[[#This Row],[1. Identifiant interne d’exploitation agricole*]]),"",IF(ISERROR(MATCH(GroupMember[[#This Row],[1. Identifiant interne d’exploitation agricole*]],FarmUnit[1. Identifiant interne d’exploitation agricole*],0)),FALSE,TRUE))</f>
        <v>1</v>
      </c>
      <c r="AF937" s="9" t="str">
        <f t="shared" si="42"/>
        <v xml:space="preserve">KOUASSI  KONAN DENIS    </v>
      </c>
      <c r="AG937" s="243" t="str">
        <f t="shared" si="43"/>
        <v>26/7/2021</v>
      </c>
      <c r="AH937" s="51">
        <f>COUNTIFS(Z:Z,Z937,AG:AG,AG937)</f>
        <v>4</v>
      </c>
      <c r="AI937" s="49">
        <f t="shared" si="44"/>
        <v>0</v>
      </c>
    </row>
    <row r="938" spans="1:35" ht="15" x14ac:dyDescent="0.2">
      <c r="A938" s="193" t="s">
        <v>3151</v>
      </c>
      <c r="B938" s="146" t="s">
        <v>668</v>
      </c>
      <c r="C938" s="193" t="s">
        <v>3151</v>
      </c>
      <c r="D938" s="175" t="s">
        <v>2957</v>
      </c>
      <c r="E938" s="146" t="s">
        <v>670</v>
      </c>
      <c r="F938" s="146" t="s">
        <v>671</v>
      </c>
      <c r="G938" s="146" t="s">
        <v>672</v>
      </c>
      <c r="H938" s="175">
        <v>1.49</v>
      </c>
      <c r="I938" s="146" t="s">
        <v>673</v>
      </c>
      <c r="J938" s="220">
        <v>1</v>
      </c>
      <c r="K938" s="150">
        <v>2021</v>
      </c>
      <c r="L938" s="221" t="s">
        <v>3025</v>
      </c>
      <c r="M938" s="221" t="s">
        <v>3152</v>
      </c>
      <c r="N938" s="202">
        <v>749670182</v>
      </c>
      <c r="O938" s="223" t="s">
        <v>3153</v>
      </c>
      <c r="P938" s="219" t="s">
        <v>676</v>
      </c>
      <c r="Q938" s="150">
        <v>1991</v>
      </c>
      <c r="R938" s="155">
        <v>4</v>
      </c>
      <c r="S938" s="168"/>
      <c r="T938" s="168"/>
      <c r="U938" s="146"/>
      <c r="V938" s="146"/>
      <c r="W938" s="146"/>
      <c r="X938" s="156">
        <v>0</v>
      </c>
      <c r="Y938" s="156">
        <v>0</v>
      </c>
      <c r="Z938" s="157" t="s">
        <v>2703</v>
      </c>
      <c r="AA938" s="174">
        <v>2021</v>
      </c>
      <c r="AB938" s="175">
        <v>9</v>
      </c>
      <c r="AC938" s="175">
        <v>8</v>
      </c>
      <c r="AD938" s="122" t="b">
        <f>IF(ISBLANK(GroupMember[[#This Row],[1. Identifiant interne d’exploitation agricole*]]),"",IF(ISERROR(MATCH(GroupMember[[#This Row],[1. Identifiant interne d’exploitation agricole*]],CertifiedCrop[1. Identifiant interne d’exploitation agricole*],0)),FALSE,TRUE))</f>
        <v>1</v>
      </c>
      <c r="AE938" s="122" t="b">
        <f>IF(ISBLANK(GroupMember[[#This Row],[1. Identifiant interne d’exploitation agricole*]]),"",IF(ISERROR(MATCH(GroupMember[[#This Row],[1. Identifiant interne d’exploitation agricole*]],FarmUnit[1. Identifiant interne d’exploitation agricole*],0)),FALSE,TRUE))</f>
        <v>1</v>
      </c>
      <c r="AF938" s="9" t="str">
        <f t="shared" si="42"/>
        <v>KOUASSI  GBANGBO HUBERT</v>
      </c>
      <c r="AG938" s="243" t="str">
        <f t="shared" si="43"/>
        <v>8/9/2021</v>
      </c>
      <c r="AH938" s="51">
        <f>COUNTIFS(Z:Z,Z938,AG:AG,AG938)</f>
        <v>5</v>
      </c>
      <c r="AI938" s="49">
        <f t="shared" si="44"/>
        <v>0</v>
      </c>
    </row>
    <row r="939" spans="1:35" ht="15" x14ac:dyDescent="0.2">
      <c r="A939" s="193" t="s">
        <v>3154</v>
      </c>
      <c r="B939" s="146" t="s">
        <v>668</v>
      </c>
      <c r="C939" s="193" t="s">
        <v>3154</v>
      </c>
      <c r="D939" s="175" t="s">
        <v>2957</v>
      </c>
      <c r="E939" s="146" t="s">
        <v>670</v>
      </c>
      <c r="F939" s="146" t="s">
        <v>671</v>
      </c>
      <c r="G939" s="146" t="s">
        <v>672</v>
      </c>
      <c r="H939" s="175">
        <v>3.12</v>
      </c>
      <c r="I939" s="146" t="s">
        <v>673</v>
      </c>
      <c r="J939" s="220">
        <v>1</v>
      </c>
      <c r="K939" s="150">
        <v>2021</v>
      </c>
      <c r="L939" s="221" t="s">
        <v>1502</v>
      </c>
      <c r="M939" s="221" t="s">
        <v>3155</v>
      </c>
      <c r="N939" s="202">
        <v>544470578</v>
      </c>
      <c r="O939" s="223" t="s">
        <v>3156</v>
      </c>
      <c r="P939" s="219" t="s">
        <v>676</v>
      </c>
      <c r="Q939" s="150">
        <v>1984</v>
      </c>
      <c r="R939" s="155">
        <v>8</v>
      </c>
      <c r="S939" s="168"/>
      <c r="T939" s="168"/>
      <c r="U939" s="146"/>
      <c r="V939" s="146"/>
      <c r="W939" s="146"/>
      <c r="X939" s="156">
        <v>0</v>
      </c>
      <c r="Y939" s="156">
        <v>0</v>
      </c>
      <c r="Z939" s="157" t="s">
        <v>2703</v>
      </c>
      <c r="AA939" s="174">
        <v>2021</v>
      </c>
      <c r="AB939" s="175">
        <v>9</v>
      </c>
      <c r="AC939" s="175">
        <v>18</v>
      </c>
      <c r="AD939" s="122" t="b">
        <f>IF(ISBLANK(GroupMember[[#This Row],[1. Identifiant interne d’exploitation agricole*]]),"",IF(ISERROR(MATCH(GroupMember[[#This Row],[1. Identifiant interne d’exploitation agricole*]],CertifiedCrop[1. Identifiant interne d’exploitation agricole*],0)),FALSE,TRUE))</f>
        <v>1</v>
      </c>
      <c r="AE939" s="122" t="b">
        <f>IF(ISBLANK(GroupMember[[#This Row],[1. Identifiant interne d’exploitation agricole*]]),"",IF(ISERROR(MATCH(GroupMember[[#This Row],[1. Identifiant interne d’exploitation agricole*]],FarmUnit[1. Identifiant interne d’exploitation agricole*],0)),FALSE,TRUE))</f>
        <v>1</v>
      </c>
      <c r="AF939" s="9" t="str">
        <f t="shared" si="42"/>
        <v xml:space="preserve">KOUAME N'GUESSAN </v>
      </c>
      <c r="AG939" s="243" t="str">
        <f t="shared" si="43"/>
        <v>18/9/2021</v>
      </c>
      <c r="AH939" s="51">
        <f>COUNTIFS(Z:Z,Z939,AG:AG,AG939)</f>
        <v>4</v>
      </c>
      <c r="AI939" s="49">
        <f t="shared" si="44"/>
        <v>0</v>
      </c>
    </row>
    <row r="940" spans="1:35" ht="15" x14ac:dyDescent="0.2">
      <c r="A940" s="193" t="s">
        <v>3157</v>
      </c>
      <c r="B940" s="146" t="s">
        <v>668</v>
      </c>
      <c r="C940" s="193" t="s">
        <v>3157</v>
      </c>
      <c r="D940" s="175" t="s">
        <v>2957</v>
      </c>
      <c r="E940" s="146" t="s">
        <v>670</v>
      </c>
      <c r="F940" s="146" t="s">
        <v>671</v>
      </c>
      <c r="G940" s="146" t="s">
        <v>672</v>
      </c>
      <c r="H940" s="175">
        <v>2.87</v>
      </c>
      <c r="I940" s="146" t="s">
        <v>673</v>
      </c>
      <c r="J940" s="220">
        <v>1</v>
      </c>
      <c r="K940" s="150">
        <v>2021</v>
      </c>
      <c r="L940" s="221" t="s">
        <v>1670</v>
      </c>
      <c r="M940" s="221" t="s">
        <v>1670</v>
      </c>
      <c r="N940" s="202">
        <v>748530379</v>
      </c>
      <c r="O940" s="223" t="s">
        <v>3158</v>
      </c>
      <c r="P940" s="219" t="s">
        <v>676</v>
      </c>
      <c r="Q940" s="150">
        <v>1976</v>
      </c>
      <c r="R940" s="155">
        <v>8</v>
      </c>
      <c r="S940" s="168"/>
      <c r="T940" s="168"/>
      <c r="U940" s="146"/>
      <c r="V940" s="146"/>
      <c r="W940" s="146"/>
      <c r="X940" s="156">
        <v>0</v>
      </c>
      <c r="Y940" s="156">
        <v>0</v>
      </c>
      <c r="Z940" s="157" t="s">
        <v>2703</v>
      </c>
      <c r="AA940" s="174">
        <v>2021</v>
      </c>
      <c r="AB940" s="175">
        <v>9</v>
      </c>
      <c r="AC940" s="175">
        <v>3</v>
      </c>
      <c r="AD940" s="122" t="b">
        <f>IF(ISBLANK(GroupMember[[#This Row],[1. Identifiant interne d’exploitation agricole*]]),"",IF(ISERROR(MATCH(GroupMember[[#This Row],[1. Identifiant interne d’exploitation agricole*]],CertifiedCrop[1. Identifiant interne d’exploitation agricole*],0)),FALSE,TRUE))</f>
        <v>1</v>
      </c>
      <c r="AE940" s="122" t="b">
        <f>IF(ISBLANK(GroupMember[[#This Row],[1. Identifiant interne d’exploitation agricole*]]),"",IF(ISERROR(MATCH(GroupMember[[#This Row],[1. Identifiant interne d’exploitation agricole*]],FarmUnit[1. Identifiant interne d’exploitation agricole*],0)),FALSE,TRUE))</f>
        <v>1</v>
      </c>
      <c r="AF940" s="9" t="str">
        <f t="shared" si="42"/>
        <v>YAO YAO</v>
      </c>
      <c r="AG940" s="243" t="str">
        <f t="shared" si="43"/>
        <v>3/9/2021</v>
      </c>
      <c r="AH940" s="51">
        <f>COUNTIFS(Z:Z,Z940,AG:AG,AG940)</f>
        <v>5</v>
      </c>
      <c r="AI940" s="49">
        <f t="shared" si="44"/>
        <v>0</v>
      </c>
    </row>
    <row r="941" spans="1:35" ht="15" x14ac:dyDescent="0.2">
      <c r="A941" s="193" t="s">
        <v>3159</v>
      </c>
      <c r="B941" s="146" t="s">
        <v>668</v>
      </c>
      <c r="C941" s="193" t="s">
        <v>3159</v>
      </c>
      <c r="D941" s="175" t="s">
        <v>2957</v>
      </c>
      <c r="E941" s="146" t="s">
        <v>670</v>
      </c>
      <c r="F941" s="146" t="s">
        <v>671</v>
      </c>
      <c r="G941" s="146" t="s">
        <v>672</v>
      </c>
      <c r="H941" s="175">
        <v>2.12</v>
      </c>
      <c r="I941" s="146" t="s">
        <v>673</v>
      </c>
      <c r="J941" s="220">
        <v>1</v>
      </c>
      <c r="K941" s="150">
        <v>2021</v>
      </c>
      <c r="L941" s="221" t="s">
        <v>2297</v>
      </c>
      <c r="M941" s="221" t="s">
        <v>3160</v>
      </c>
      <c r="N941" s="202">
        <v>757916015</v>
      </c>
      <c r="O941" s="223" t="s">
        <v>3161</v>
      </c>
      <c r="P941" s="219" t="s">
        <v>676</v>
      </c>
      <c r="Q941" s="150">
        <v>1983</v>
      </c>
      <c r="R941" s="155">
        <v>7</v>
      </c>
      <c r="S941" s="168"/>
      <c r="T941" s="168"/>
      <c r="U941" s="146"/>
      <c r="V941" s="146"/>
      <c r="W941" s="146"/>
      <c r="X941" s="156">
        <v>0</v>
      </c>
      <c r="Y941" s="156">
        <v>0</v>
      </c>
      <c r="Z941" s="157" t="s">
        <v>2703</v>
      </c>
      <c r="AA941" s="174">
        <v>2021</v>
      </c>
      <c r="AB941" s="175">
        <v>9</v>
      </c>
      <c r="AC941" s="175">
        <v>18</v>
      </c>
      <c r="AD941" s="122" t="b">
        <f>IF(ISBLANK(GroupMember[[#This Row],[1. Identifiant interne d’exploitation agricole*]]),"",IF(ISERROR(MATCH(GroupMember[[#This Row],[1. Identifiant interne d’exploitation agricole*]],CertifiedCrop[1. Identifiant interne d’exploitation agricole*],0)),FALSE,TRUE))</f>
        <v>1</v>
      </c>
      <c r="AE941" s="122" t="b">
        <f>IF(ISBLANK(GroupMember[[#This Row],[1. Identifiant interne d’exploitation agricole*]]),"",IF(ISERROR(MATCH(GroupMember[[#This Row],[1. Identifiant interne d’exploitation agricole*]],FarmUnit[1. Identifiant interne d’exploitation agricole*],0)),FALSE,TRUE))</f>
        <v>1</v>
      </c>
      <c r="AF941" s="9" t="str">
        <f t="shared" si="42"/>
        <v>KONAN KOUADIO BASILE</v>
      </c>
      <c r="AG941" s="243" t="str">
        <f t="shared" si="43"/>
        <v>18/9/2021</v>
      </c>
      <c r="AH941" s="51">
        <f>COUNTIFS(Z:Z,Z941,AG:AG,AG941)</f>
        <v>4</v>
      </c>
      <c r="AI941" s="49">
        <f t="shared" si="44"/>
        <v>0</v>
      </c>
    </row>
    <row r="942" spans="1:35" ht="15" x14ac:dyDescent="0.2">
      <c r="A942" s="193" t="s">
        <v>3162</v>
      </c>
      <c r="B942" s="146" t="s">
        <v>668</v>
      </c>
      <c r="C942" s="193" t="s">
        <v>3162</v>
      </c>
      <c r="D942" s="175" t="s">
        <v>2948</v>
      </c>
      <c r="E942" s="146" t="s">
        <v>670</v>
      </c>
      <c r="F942" s="146" t="s">
        <v>671</v>
      </c>
      <c r="G942" s="146" t="s">
        <v>672</v>
      </c>
      <c r="H942" s="175">
        <v>3.12</v>
      </c>
      <c r="I942" s="146" t="s">
        <v>673</v>
      </c>
      <c r="J942" s="220">
        <v>1</v>
      </c>
      <c r="K942" s="150">
        <v>2021</v>
      </c>
      <c r="L942" s="221" t="s">
        <v>765</v>
      </c>
      <c r="M942" s="221" t="s">
        <v>3163</v>
      </c>
      <c r="N942" s="202">
        <v>576375797</v>
      </c>
      <c r="O942" s="223"/>
      <c r="P942" s="219" t="s">
        <v>676</v>
      </c>
      <c r="Q942" s="299"/>
      <c r="R942" s="155">
        <v>5</v>
      </c>
      <c r="S942" s="168"/>
      <c r="T942" s="168"/>
      <c r="U942" s="146"/>
      <c r="V942" s="146"/>
      <c r="W942" s="146"/>
      <c r="X942" s="156">
        <v>0</v>
      </c>
      <c r="Y942" s="156">
        <v>0</v>
      </c>
      <c r="Z942" s="157" t="s">
        <v>2703</v>
      </c>
      <c r="AA942" s="174">
        <v>2021</v>
      </c>
      <c r="AB942" s="175">
        <v>9</v>
      </c>
      <c r="AC942" s="175">
        <v>8</v>
      </c>
      <c r="AD942" s="122" t="b">
        <f>IF(ISBLANK(GroupMember[[#This Row],[1. Identifiant interne d’exploitation agricole*]]),"",IF(ISERROR(MATCH(GroupMember[[#This Row],[1. Identifiant interne d’exploitation agricole*]],CertifiedCrop[1. Identifiant interne d’exploitation agricole*],0)),FALSE,TRUE))</f>
        <v>1</v>
      </c>
      <c r="AE942" s="122" t="b">
        <f>IF(ISBLANK(GroupMember[[#This Row],[1. Identifiant interne d’exploitation agricole*]]),"",IF(ISERROR(MATCH(GroupMember[[#This Row],[1. Identifiant interne d’exploitation agricole*]],FarmUnit[1. Identifiant interne d’exploitation agricole*],0)),FALSE,TRUE))</f>
        <v>1</v>
      </c>
      <c r="AF942" s="9" t="str">
        <f t="shared" si="42"/>
        <v>KONE LACINE</v>
      </c>
      <c r="AG942" s="243" t="str">
        <f t="shared" si="43"/>
        <v>8/9/2021</v>
      </c>
      <c r="AH942" s="51">
        <f>COUNTIFS(Z:Z,Z942,AG:AG,AG942)</f>
        <v>5</v>
      </c>
      <c r="AI942" s="49">
        <f t="shared" si="44"/>
        <v>0</v>
      </c>
    </row>
    <row r="943" spans="1:35" ht="15" x14ac:dyDescent="0.2">
      <c r="A943" s="193" t="s">
        <v>3164</v>
      </c>
      <c r="B943" s="146" t="s">
        <v>668</v>
      </c>
      <c r="C943" s="193" t="s">
        <v>3164</v>
      </c>
      <c r="D943" s="175" t="s">
        <v>3011</v>
      </c>
      <c r="E943" s="146" t="s">
        <v>670</v>
      </c>
      <c r="F943" s="146" t="s">
        <v>671</v>
      </c>
      <c r="G943" s="146" t="s">
        <v>672</v>
      </c>
      <c r="H943" s="175">
        <v>3.35</v>
      </c>
      <c r="I943" s="146" t="s">
        <v>673</v>
      </c>
      <c r="J943" s="220">
        <v>2</v>
      </c>
      <c r="K943" s="150">
        <v>2021</v>
      </c>
      <c r="L943" s="221" t="s">
        <v>3165</v>
      </c>
      <c r="M943" s="221" t="s">
        <v>3166</v>
      </c>
      <c r="N943" s="202">
        <v>574164984</v>
      </c>
      <c r="O943" s="223" t="s">
        <v>3167</v>
      </c>
      <c r="P943" s="219" t="s">
        <v>676</v>
      </c>
      <c r="Q943" s="150">
        <v>1989</v>
      </c>
      <c r="R943" s="155">
        <v>6</v>
      </c>
      <c r="S943" s="168"/>
      <c r="T943" s="168"/>
      <c r="U943" s="146"/>
      <c r="V943" s="146"/>
      <c r="W943" s="146"/>
      <c r="X943" s="156">
        <v>0</v>
      </c>
      <c r="Y943" s="156">
        <v>0</v>
      </c>
      <c r="Z943" s="157" t="s">
        <v>2703</v>
      </c>
      <c r="AA943" s="174">
        <v>2021</v>
      </c>
      <c r="AB943" s="175">
        <v>9</v>
      </c>
      <c r="AC943" s="175">
        <v>2</v>
      </c>
      <c r="AD943" s="122" t="b">
        <f>IF(ISBLANK(GroupMember[[#This Row],[1. Identifiant interne d’exploitation agricole*]]),"",IF(ISERROR(MATCH(GroupMember[[#This Row],[1. Identifiant interne d’exploitation agricole*]],CertifiedCrop[1. Identifiant interne d’exploitation agricole*],0)),FALSE,TRUE))</f>
        <v>1</v>
      </c>
      <c r="AE943" s="122" t="b">
        <f>IF(ISBLANK(GroupMember[[#This Row],[1. Identifiant interne d’exploitation agricole*]]),"",IF(ISERROR(MATCH(GroupMember[[#This Row],[1. Identifiant interne d’exploitation agricole*]],FarmUnit[1. Identifiant interne d’exploitation agricole*],0)),FALSE,TRUE))</f>
        <v>1</v>
      </c>
      <c r="AF943" s="9" t="str">
        <f t="shared" si="42"/>
        <v xml:space="preserve">BIH  JEAN MARC   </v>
      </c>
      <c r="AG943" s="243" t="str">
        <f t="shared" si="43"/>
        <v>2/9/2021</v>
      </c>
      <c r="AH943" s="51">
        <f>COUNTIFS(Z:Z,Z943,AG:AG,AG943)</f>
        <v>4</v>
      </c>
      <c r="AI943" s="49">
        <f t="shared" si="44"/>
        <v>0</v>
      </c>
    </row>
    <row r="944" spans="1:35" ht="15" x14ac:dyDescent="0.2">
      <c r="A944" s="193" t="s">
        <v>3168</v>
      </c>
      <c r="B944" s="146" t="s">
        <v>668</v>
      </c>
      <c r="C944" s="193" t="s">
        <v>3168</v>
      </c>
      <c r="D944" s="175" t="s">
        <v>3011</v>
      </c>
      <c r="E944" s="146" t="s">
        <v>670</v>
      </c>
      <c r="F944" s="146" t="s">
        <v>671</v>
      </c>
      <c r="G944" s="146" t="s">
        <v>672</v>
      </c>
      <c r="H944" s="175">
        <v>1.17</v>
      </c>
      <c r="I944" s="146" t="s">
        <v>673</v>
      </c>
      <c r="J944" s="220">
        <v>1</v>
      </c>
      <c r="K944" s="150">
        <v>2021</v>
      </c>
      <c r="L944" s="221" t="s">
        <v>1967</v>
      </c>
      <c r="M944" s="221" t="s">
        <v>3169</v>
      </c>
      <c r="N944" s="202">
        <v>584084315</v>
      </c>
      <c r="O944" s="223" t="s">
        <v>3170</v>
      </c>
      <c r="P944" s="219" t="s">
        <v>676</v>
      </c>
      <c r="Q944" s="150">
        <v>1987</v>
      </c>
      <c r="R944" s="155">
        <v>5</v>
      </c>
      <c r="S944" s="168"/>
      <c r="T944" s="168"/>
      <c r="U944" s="146"/>
      <c r="V944" s="146"/>
      <c r="W944" s="146"/>
      <c r="X944" s="156">
        <v>0</v>
      </c>
      <c r="Y944" s="156">
        <v>0</v>
      </c>
      <c r="Z944" s="157" t="s">
        <v>2703</v>
      </c>
      <c r="AA944" s="174">
        <v>2021</v>
      </c>
      <c r="AB944" s="175">
        <v>9</v>
      </c>
      <c r="AC944" s="175">
        <v>13</v>
      </c>
      <c r="AD944" s="122" t="b">
        <f>IF(ISBLANK(GroupMember[[#This Row],[1. Identifiant interne d’exploitation agricole*]]),"",IF(ISERROR(MATCH(GroupMember[[#This Row],[1. Identifiant interne d’exploitation agricole*]],CertifiedCrop[1. Identifiant interne d’exploitation agricole*],0)),FALSE,TRUE))</f>
        <v>1</v>
      </c>
      <c r="AE944" s="122" t="b">
        <f>IF(ISBLANK(GroupMember[[#This Row],[1. Identifiant interne d’exploitation agricole*]]),"",IF(ISERROR(MATCH(GroupMember[[#This Row],[1. Identifiant interne d’exploitation agricole*]],FarmUnit[1. Identifiant interne d’exploitation agricole*],0)),FALSE,TRUE))</f>
        <v>1</v>
      </c>
      <c r="AF944" s="9" t="str">
        <f t="shared" si="42"/>
        <v>OULAI WONLE PARFAIT</v>
      </c>
      <c r="AG944" s="243" t="str">
        <f t="shared" si="43"/>
        <v>13/9/2021</v>
      </c>
      <c r="AH944" s="51">
        <f>COUNTIFS(Z:Z,Z944,AG:AG,AG944)</f>
        <v>5</v>
      </c>
      <c r="AI944" s="49">
        <f t="shared" si="44"/>
        <v>0</v>
      </c>
    </row>
    <row r="945" spans="1:35" ht="15" x14ac:dyDescent="0.2">
      <c r="A945" s="193" t="s">
        <v>3171</v>
      </c>
      <c r="B945" s="146" t="s">
        <v>668</v>
      </c>
      <c r="C945" s="193" t="s">
        <v>3171</v>
      </c>
      <c r="D945" s="175" t="s">
        <v>3011</v>
      </c>
      <c r="E945" s="146" t="s">
        <v>670</v>
      </c>
      <c r="F945" s="146" t="s">
        <v>671</v>
      </c>
      <c r="G945" s="146" t="s">
        <v>672</v>
      </c>
      <c r="H945" s="175">
        <v>1.67</v>
      </c>
      <c r="I945" s="146" t="s">
        <v>673</v>
      </c>
      <c r="J945" s="220">
        <v>1</v>
      </c>
      <c r="K945" s="150">
        <v>2021</v>
      </c>
      <c r="L945" s="221" t="s">
        <v>1967</v>
      </c>
      <c r="M945" s="221" t="s">
        <v>3172</v>
      </c>
      <c r="N945" s="202">
        <v>506370597</v>
      </c>
      <c r="O945" s="223" t="s">
        <v>3173</v>
      </c>
      <c r="P945" s="219" t="s">
        <v>676</v>
      </c>
      <c r="Q945" s="150">
        <v>1972</v>
      </c>
      <c r="R945" s="155">
        <v>8</v>
      </c>
      <c r="S945" s="168"/>
      <c r="T945" s="168"/>
      <c r="U945" s="146"/>
      <c r="V945" s="146"/>
      <c r="W945" s="146"/>
      <c r="X945" s="156">
        <v>0</v>
      </c>
      <c r="Y945" s="156">
        <v>0</v>
      </c>
      <c r="Z945" s="157" t="s">
        <v>2703</v>
      </c>
      <c r="AA945" s="174">
        <v>2021</v>
      </c>
      <c r="AB945" s="175">
        <v>9</v>
      </c>
      <c r="AC945" s="175">
        <v>7</v>
      </c>
      <c r="AD945" s="122" t="b">
        <f>IF(ISBLANK(GroupMember[[#This Row],[1. Identifiant interne d’exploitation agricole*]]),"",IF(ISERROR(MATCH(GroupMember[[#This Row],[1. Identifiant interne d’exploitation agricole*]],CertifiedCrop[1. Identifiant interne d’exploitation agricole*],0)),FALSE,TRUE))</f>
        <v>1</v>
      </c>
      <c r="AE945" s="122" t="b">
        <f>IF(ISBLANK(GroupMember[[#This Row],[1. Identifiant interne d’exploitation agricole*]]),"",IF(ISERROR(MATCH(GroupMember[[#This Row],[1. Identifiant interne d’exploitation agricole*]],FarmUnit[1. Identifiant interne d’exploitation agricole*],0)),FALSE,TRUE))</f>
        <v>1</v>
      </c>
      <c r="AF945" s="9" t="str">
        <f t="shared" si="42"/>
        <v>OULAI DAN ALEXIS</v>
      </c>
      <c r="AG945" s="243" t="str">
        <f t="shared" si="43"/>
        <v>7/9/2021</v>
      </c>
      <c r="AH945" s="51">
        <f>COUNTIFS(Z:Z,Z945,AG:AG,AG945)</f>
        <v>4</v>
      </c>
      <c r="AI945" s="49">
        <f t="shared" si="44"/>
        <v>0</v>
      </c>
    </row>
    <row r="946" spans="1:35" ht="15" x14ac:dyDescent="0.2">
      <c r="A946" s="193" t="s">
        <v>3174</v>
      </c>
      <c r="B946" s="146" t="s">
        <v>668</v>
      </c>
      <c r="C946" s="193" t="s">
        <v>3174</v>
      </c>
      <c r="D946" s="175" t="s">
        <v>3011</v>
      </c>
      <c r="E946" s="146" t="s">
        <v>670</v>
      </c>
      <c r="F946" s="146" t="s">
        <v>671</v>
      </c>
      <c r="G946" s="146" t="s">
        <v>672</v>
      </c>
      <c r="H946" s="175">
        <v>1.61</v>
      </c>
      <c r="I946" s="146" t="s">
        <v>673</v>
      </c>
      <c r="J946" s="220">
        <v>2</v>
      </c>
      <c r="K946" s="150">
        <v>2021</v>
      </c>
      <c r="L946" s="221" t="s">
        <v>1967</v>
      </c>
      <c r="M946" s="221" t="s">
        <v>3175</v>
      </c>
      <c r="N946" s="202">
        <v>576413976</v>
      </c>
      <c r="O946" s="223"/>
      <c r="P946" s="219" t="s">
        <v>676</v>
      </c>
      <c r="Q946" s="299"/>
      <c r="R946" s="155">
        <v>11</v>
      </c>
      <c r="S946" s="168"/>
      <c r="T946" s="168"/>
      <c r="U946" s="146"/>
      <c r="V946" s="146"/>
      <c r="W946" s="146"/>
      <c r="X946" s="156">
        <v>0</v>
      </c>
      <c r="Y946" s="156">
        <v>0</v>
      </c>
      <c r="Z946" s="157" t="s">
        <v>2703</v>
      </c>
      <c r="AA946" s="174">
        <v>2021</v>
      </c>
      <c r="AB946" s="175">
        <v>9</v>
      </c>
      <c r="AC946" s="175">
        <v>13</v>
      </c>
      <c r="AD946" s="122" t="b">
        <f>IF(ISBLANK(GroupMember[[#This Row],[1. Identifiant interne d’exploitation agricole*]]),"",IF(ISERROR(MATCH(GroupMember[[#This Row],[1. Identifiant interne d’exploitation agricole*]],CertifiedCrop[1. Identifiant interne d’exploitation agricole*],0)),FALSE,TRUE))</f>
        <v>1</v>
      </c>
      <c r="AE946" s="122" t="b">
        <f>IF(ISBLANK(GroupMember[[#This Row],[1. Identifiant interne d’exploitation agricole*]]),"",IF(ISERROR(MATCH(GroupMember[[#This Row],[1. Identifiant interne d’exploitation agricole*]],FarmUnit[1. Identifiant interne d’exploitation agricole*],0)),FALSE,TRUE))</f>
        <v>1</v>
      </c>
      <c r="AF946" s="9" t="str">
        <f t="shared" si="42"/>
        <v xml:space="preserve">OULAI GNAN SERGE            </v>
      </c>
      <c r="AG946" s="243" t="str">
        <f t="shared" si="43"/>
        <v>13/9/2021</v>
      </c>
      <c r="AH946" s="51">
        <f>COUNTIFS(Z:Z,Z946,AG:AG,AG946)</f>
        <v>5</v>
      </c>
      <c r="AI946" s="49">
        <f t="shared" si="44"/>
        <v>0</v>
      </c>
    </row>
    <row r="947" spans="1:35" ht="15" x14ac:dyDescent="0.2">
      <c r="A947" s="193" t="s">
        <v>3176</v>
      </c>
      <c r="B947" s="146" t="s">
        <v>668</v>
      </c>
      <c r="C947" s="193" t="s">
        <v>3176</v>
      </c>
      <c r="D947" s="146" t="s">
        <v>2146</v>
      </c>
      <c r="E947" s="146" t="s">
        <v>670</v>
      </c>
      <c r="F947" s="146" t="s">
        <v>671</v>
      </c>
      <c r="G947" s="146" t="s">
        <v>672</v>
      </c>
      <c r="H947" s="225">
        <v>4.3899999999999997</v>
      </c>
      <c r="I947" s="146" t="s">
        <v>673</v>
      </c>
      <c r="J947" s="226">
        <v>1</v>
      </c>
      <c r="K947" s="150">
        <v>2021</v>
      </c>
      <c r="L947" s="146" t="s">
        <v>3177</v>
      </c>
      <c r="M947" s="146" t="s">
        <v>3178</v>
      </c>
      <c r="N947" s="164">
        <v>789474179</v>
      </c>
      <c r="O947" s="146"/>
      <c r="P947" s="219" t="s">
        <v>676</v>
      </c>
      <c r="Q947" s="150"/>
      <c r="R947" s="155">
        <v>8</v>
      </c>
      <c r="S947" s="168"/>
      <c r="T947" s="168"/>
      <c r="U947" s="146"/>
      <c r="V947" s="146"/>
      <c r="W947" s="146"/>
      <c r="X947" s="156">
        <v>0</v>
      </c>
      <c r="Y947" s="156">
        <v>0</v>
      </c>
      <c r="Z947" s="157" t="s">
        <v>2703</v>
      </c>
      <c r="AA947" s="174">
        <v>2021</v>
      </c>
      <c r="AB947" s="175">
        <v>9</v>
      </c>
      <c r="AC947" s="175">
        <v>18</v>
      </c>
      <c r="AD947" s="122" t="b">
        <f>IF(ISBLANK(GroupMember[[#This Row],[1. Identifiant interne d’exploitation agricole*]]),"",IF(ISERROR(MATCH(GroupMember[[#This Row],[1. Identifiant interne d’exploitation agricole*]],CertifiedCrop[1. Identifiant interne d’exploitation agricole*],0)),FALSE,TRUE))</f>
        <v>1</v>
      </c>
      <c r="AE947" s="122" t="b">
        <f>IF(ISBLANK(GroupMember[[#This Row],[1. Identifiant interne d’exploitation agricole*]]),"",IF(ISERROR(MATCH(GroupMember[[#This Row],[1. Identifiant interne d’exploitation agricole*]],FarmUnit[1. Identifiant interne d’exploitation agricole*],0)),FALSE,TRUE))</f>
        <v>1</v>
      </c>
      <c r="AF947" s="9" t="str">
        <f t="shared" ref="AF947:AF1000" si="45">IFERROR(CONCATENATE(L947," ",M947),"")</f>
        <v>BAKENO MATHIEU</v>
      </c>
      <c r="AG947" s="243" t="str">
        <f t="shared" ref="AG947:AG1000" si="46">CONCATENATE(AC947,"/",AB947,"/",AA947)</f>
        <v>18/9/2021</v>
      </c>
      <c r="AH947" s="51">
        <f>COUNTIFS(Z:Z,Z947,AG:AG,AG947)</f>
        <v>4</v>
      </c>
      <c r="AI947" s="49">
        <f t="shared" ref="AI947:AI1000" si="47">IF((X947+Y947/12)&lt;0,"",(X947+Y947/12))</f>
        <v>0</v>
      </c>
    </row>
    <row r="948" spans="1:35" ht="15" x14ac:dyDescent="0.2">
      <c r="A948" s="193" t="s">
        <v>3179</v>
      </c>
      <c r="B948" s="146" t="s">
        <v>668</v>
      </c>
      <c r="C948" s="193" t="s">
        <v>3179</v>
      </c>
      <c r="D948" s="146" t="s">
        <v>2146</v>
      </c>
      <c r="E948" s="146" t="s">
        <v>670</v>
      </c>
      <c r="F948" s="146" t="s">
        <v>671</v>
      </c>
      <c r="G948" s="146" t="s">
        <v>672</v>
      </c>
      <c r="H948" s="225">
        <v>2.21</v>
      </c>
      <c r="I948" s="146" t="s">
        <v>673</v>
      </c>
      <c r="J948" s="226">
        <v>1</v>
      </c>
      <c r="K948" s="150">
        <v>2021</v>
      </c>
      <c r="L948" s="163" t="s">
        <v>2246</v>
      </c>
      <c r="M948" s="163" t="s">
        <v>3180</v>
      </c>
      <c r="N948" s="164"/>
      <c r="O948" s="146"/>
      <c r="P948" s="219" t="s">
        <v>676</v>
      </c>
      <c r="Q948" s="150"/>
      <c r="R948" s="155">
        <v>6</v>
      </c>
      <c r="S948" s="168"/>
      <c r="T948" s="168"/>
      <c r="U948" s="146"/>
      <c r="V948" s="146"/>
      <c r="W948" s="146"/>
      <c r="X948" s="156">
        <v>0</v>
      </c>
      <c r="Y948" s="156">
        <v>0</v>
      </c>
      <c r="Z948" s="157" t="s">
        <v>2703</v>
      </c>
      <c r="AA948" s="174">
        <v>2021</v>
      </c>
      <c r="AB948" s="175">
        <v>9</v>
      </c>
      <c r="AC948" s="175">
        <v>8</v>
      </c>
      <c r="AD948" s="122" t="b">
        <f>IF(ISBLANK(GroupMember[[#This Row],[1. Identifiant interne d’exploitation agricole*]]),"",IF(ISERROR(MATCH(GroupMember[[#This Row],[1. Identifiant interne d’exploitation agricole*]],CertifiedCrop[1. Identifiant interne d’exploitation agricole*],0)),FALSE,TRUE))</f>
        <v>1</v>
      </c>
      <c r="AE948" s="122" t="b">
        <f>IF(ISBLANK(GroupMember[[#This Row],[1. Identifiant interne d’exploitation agricole*]]),"",IF(ISERROR(MATCH(GroupMember[[#This Row],[1. Identifiant interne d’exploitation agricole*]],FarmUnit[1. Identifiant interne d’exploitation agricole*],0)),FALSE,TRUE))</f>
        <v>1</v>
      </c>
      <c r="AF948" s="9" t="str">
        <f t="shared" si="45"/>
        <v>BAMOGO NASSAWED</v>
      </c>
      <c r="AG948" s="243" t="str">
        <f t="shared" si="46"/>
        <v>8/9/2021</v>
      </c>
      <c r="AH948" s="51">
        <f>COUNTIFS(Z:Z,Z948,AG:AG,AG948)</f>
        <v>5</v>
      </c>
      <c r="AI948" s="49">
        <f t="shared" si="47"/>
        <v>0</v>
      </c>
    </row>
    <row r="949" spans="1:35" ht="15" x14ac:dyDescent="0.2">
      <c r="A949" s="193" t="s">
        <v>3181</v>
      </c>
      <c r="B949" s="146" t="s">
        <v>668</v>
      </c>
      <c r="C949" s="193" t="s">
        <v>3181</v>
      </c>
      <c r="D949" s="146" t="s">
        <v>2146</v>
      </c>
      <c r="E949" s="146" t="s">
        <v>670</v>
      </c>
      <c r="F949" s="146" t="s">
        <v>671</v>
      </c>
      <c r="G949" s="146" t="s">
        <v>672</v>
      </c>
      <c r="H949" s="225">
        <v>1.74</v>
      </c>
      <c r="I949" s="146" t="s">
        <v>673</v>
      </c>
      <c r="J949" s="226">
        <v>1</v>
      </c>
      <c r="K949" s="150">
        <v>2021</v>
      </c>
      <c r="L949" s="163" t="s">
        <v>2246</v>
      </c>
      <c r="M949" s="163" t="s">
        <v>829</v>
      </c>
      <c r="N949" s="164">
        <v>757179170</v>
      </c>
      <c r="O949" s="146"/>
      <c r="P949" s="219" t="s">
        <v>676</v>
      </c>
      <c r="Q949" s="150"/>
      <c r="R949" s="155">
        <v>5</v>
      </c>
      <c r="S949" s="168"/>
      <c r="T949" s="168"/>
      <c r="U949" s="146"/>
      <c r="V949" s="146"/>
      <c r="W949" s="146"/>
      <c r="X949" s="156">
        <v>0</v>
      </c>
      <c r="Y949" s="156">
        <v>0</v>
      </c>
      <c r="Z949" s="157" t="s">
        <v>2703</v>
      </c>
      <c r="AA949" s="174">
        <v>2021</v>
      </c>
      <c r="AB949" s="175">
        <v>9</v>
      </c>
      <c r="AC949" s="175">
        <v>2</v>
      </c>
      <c r="AD949" s="122" t="b">
        <f>IF(ISBLANK(GroupMember[[#This Row],[1. Identifiant interne d’exploitation agricole*]]),"",IF(ISERROR(MATCH(GroupMember[[#This Row],[1. Identifiant interne d’exploitation agricole*]],CertifiedCrop[1. Identifiant interne d’exploitation agricole*],0)),FALSE,TRUE))</f>
        <v>1</v>
      </c>
      <c r="AE949" s="122" t="b">
        <f>IF(ISBLANK(GroupMember[[#This Row],[1. Identifiant interne d’exploitation agricole*]]),"",IF(ISERROR(MATCH(GroupMember[[#This Row],[1. Identifiant interne d’exploitation agricole*]],FarmUnit[1. Identifiant interne d’exploitation agricole*],0)),FALSE,TRUE))</f>
        <v>1</v>
      </c>
      <c r="AF949" s="9" t="str">
        <f t="shared" si="45"/>
        <v>BAMOGO ALI</v>
      </c>
      <c r="AG949" s="243" t="str">
        <f t="shared" si="46"/>
        <v>2/9/2021</v>
      </c>
      <c r="AH949" s="51">
        <f>COUNTIFS(Z:Z,Z949,AG:AG,AG949)</f>
        <v>4</v>
      </c>
      <c r="AI949" s="49">
        <f t="shared" si="47"/>
        <v>0</v>
      </c>
    </row>
    <row r="950" spans="1:35" ht="15" x14ac:dyDescent="0.2">
      <c r="A950" s="193" t="s">
        <v>3182</v>
      </c>
      <c r="B950" s="146" t="s">
        <v>668</v>
      </c>
      <c r="C950" s="193" t="s">
        <v>3182</v>
      </c>
      <c r="D950" s="146" t="s">
        <v>2146</v>
      </c>
      <c r="E950" s="146" t="s">
        <v>670</v>
      </c>
      <c r="F950" s="146" t="s">
        <v>671</v>
      </c>
      <c r="G950" s="146" t="s">
        <v>672</v>
      </c>
      <c r="H950" s="225">
        <v>1.92</v>
      </c>
      <c r="I950" s="146" t="s">
        <v>673</v>
      </c>
      <c r="J950" s="226">
        <v>1</v>
      </c>
      <c r="K950" s="150">
        <v>2021</v>
      </c>
      <c r="L950" s="163" t="s">
        <v>2246</v>
      </c>
      <c r="M950" s="163" t="s">
        <v>753</v>
      </c>
      <c r="N950" s="164">
        <v>778689845</v>
      </c>
      <c r="O950" s="146"/>
      <c r="P950" s="219" t="s">
        <v>676</v>
      </c>
      <c r="Q950" s="150">
        <v>1978</v>
      </c>
      <c r="R950" s="155">
        <v>8</v>
      </c>
      <c r="S950" s="168"/>
      <c r="T950" s="168"/>
      <c r="U950" s="146"/>
      <c r="V950" s="146"/>
      <c r="W950" s="146"/>
      <c r="X950" s="156">
        <v>0</v>
      </c>
      <c r="Y950" s="156">
        <v>0</v>
      </c>
      <c r="Z950" s="157" t="s">
        <v>2703</v>
      </c>
      <c r="AA950" s="174">
        <v>2021</v>
      </c>
      <c r="AB950" s="175">
        <v>9</v>
      </c>
      <c r="AC950" s="175">
        <v>18</v>
      </c>
      <c r="AD950" s="122" t="b">
        <f>IF(ISBLANK(GroupMember[[#This Row],[1. Identifiant interne d’exploitation agricole*]]),"",IF(ISERROR(MATCH(GroupMember[[#This Row],[1. Identifiant interne d’exploitation agricole*]],CertifiedCrop[1. Identifiant interne d’exploitation agricole*],0)),FALSE,TRUE))</f>
        <v>1</v>
      </c>
      <c r="AE950" s="122" t="b">
        <f>IF(ISBLANK(GroupMember[[#This Row],[1. Identifiant interne d’exploitation agricole*]]),"",IF(ISERROR(MATCH(GroupMember[[#This Row],[1. Identifiant interne d’exploitation agricole*]],FarmUnit[1. Identifiant interne d’exploitation agricole*],0)),FALSE,TRUE))</f>
        <v>1</v>
      </c>
      <c r="AF950" s="9" t="str">
        <f t="shared" si="45"/>
        <v>BAMOGO ADAMA</v>
      </c>
      <c r="AG950" s="243" t="str">
        <f t="shared" si="46"/>
        <v>18/9/2021</v>
      </c>
      <c r="AH950" s="51">
        <f>COUNTIFS(Z:Z,Z950,AG:AG,AG950)</f>
        <v>4</v>
      </c>
      <c r="AI950" s="49">
        <f t="shared" si="47"/>
        <v>0</v>
      </c>
    </row>
    <row r="951" spans="1:35" ht="15" x14ac:dyDescent="0.2">
      <c r="A951" s="193" t="s">
        <v>3183</v>
      </c>
      <c r="B951" s="146" t="s">
        <v>668</v>
      </c>
      <c r="C951" s="193" t="s">
        <v>3183</v>
      </c>
      <c r="D951" s="146" t="s">
        <v>2146</v>
      </c>
      <c r="E951" s="146" t="s">
        <v>670</v>
      </c>
      <c r="F951" s="146" t="s">
        <v>671</v>
      </c>
      <c r="G951" s="146" t="s">
        <v>672</v>
      </c>
      <c r="H951" s="156">
        <v>3</v>
      </c>
      <c r="I951" s="146" t="s">
        <v>673</v>
      </c>
      <c r="J951" s="226">
        <v>1</v>
      </c>
      <c r="K951" s="150">
        <v>2021</v>
      </c>
      <c r="L951" s="168" t="s">
        <v>2246</v>
      </c>
      <c r="M951" s="168" t="s">
        <v>2716</v>
      </c>
      <c r="N951" s="164"/>
      <c r="O951" s="146"/>
      <c r="P951" s="219" t="s">
        <v>676</v>
      </c>
      <c r="Q951" s="150"/>
      <c r="R951" s="155">
        <v>7</v>
      </c>
      <c r="S951" s="168"/>
      <c r="T951" s="168"/>
      <c r="U951" s="146"/>
      <c r="V951" s="146"/>
      <c r="W951" s="146"/>
      <c r="X951" s="156">
        <v>0</v>
      </c>
      <c r="Y951" s="156">
        <v>0</v>
      </c>
      <c r="Z951" s="157" t="s">
        <v>2703</v>
      </c>
      <c r="AA951" s="174">
        <v>2021</v>
      </c>
      <c r="AB951" s="175">
        <v>9</v>
      </c>
      <c r="AC951" s="175">
        <v>3</v>
      </c>
      <c r="AD951" s="122" t="b">
        <f>IF(ISBLANK(GroupMember[[#This Row],[1. Identifiant interne d’exploitation agricole*]]),"",IF(ISERROR(MATCH(GroupMember[[#This Row],[1. Identifiant interne d’exploitation agricole*]],CertifiedCrop[1. Identifiant interne d’exploitation agricole*],0)),FALSE,TRUE))</f>
        <v>1</v>
      </c>
      <c r="AE951" s="122" t="b">
        <f>IF(ISBLANK(GroupMember[[#This Row],[1. Identifiant interne d’exploitation agricole*]]),"",IF(ISERROR(MATCH(GroupMember[[#This Row],[1. Identifiant interne d’exploitation agricole*]],FarmUnit[1. Identifiant interne d’exploitation agricole*],0)),FALSE,TRUE))</f>
        <v>1</v>
      </c>
      <c r="AF951" s="9" t="str">
        <f t="shared" si="45"/>
        <v>BAMOGO SALIF</v>
      </c>
      <c r="AG951" s="243" t="str">
        <f t="shared" si="46"/>
        <v>3/9/2021</v>
      </c>
      <c r="AH951" s="51">
        <f>COUNTIFS(Z:Z,Z951,AG:AG,AG951)</f>
        <v>5</v>
      </c>
      <c r="AI951" s="49">
        <f t="shared" si="47"/>
        <v>0</v>
      </c>
    </row>
    <row r="952" spans="1:35" ht="15" x14ac:dyDescent="0.2">
      <c r="A952" s="193" t="s">
        <v>3184</v>
      </c>
      <c r="B952" s="146" t="s">
        <v>668</v>
      </c>
      <c r="C952" s="193" t="s">
        <v>3184</v>
      </c>
      <c r="D952" s="146" t="s">
        <v>2146</v>
      </c>
      <c r="E952" s="146" t="s">
        <v>670</v>
      </c>
      <c r="F952" s="146" t="s">
        <v>671</v>
      </c>
      <c r="G952" s="146" t="s">
        <v>672</v>
      </c>
      <c r="H952" s="227">
        <v>1.3</v>
      </c>
      <c r="I952" s="146" t="s">
        <v>673</v>
      </c>
      <c r="J952" s="226">
        <v>1</v>
      </c>
      <c r="K952" s="150">
        <v>2021</v>
      </c>
      <c r="L952" s="180" t="s">
        <v>3185</v>
      </c>
      <c r="M952" s="180" t="s">
        <v>3186</v>
      </c>
      <c r="N952" s="228">
        <v>769422373</v>
      </c>
      <c r="O952" s="180" t="s">
        <v>3187</v>
      </c>
      <c r="P952" s="229" t="s">
        <v>751</v>
      </c>
      <c r="Q952" s="150">
        <v>1985</v>
      </c>
      <c r="R952" s="155">
        <v>7</v>
      </c>
      <c r="S952" s="168"/>
      <c r="T952" s="168"/>
      <c r="U952" s="146"/>
      <c r="V952" s="146"/>
      <c r="W952" s="146"/>
      <c r="X952" s="156">
        <v>0</v>
      </c>
      <c r="Y952" s="156">
        <v>0</v>
      </c>
      <c r="Z952" s="157" t="s">
        <v>2703</v>
      </c>
      <c r="AA952" s="174">
        <v>2021</v>
      </c>
      <c r="AB952" s="175">
        <v>9</v>
      </c>
      <c r="AC952" s="175">
        <v>13</v>
      </c>
      <c r="AD952" s="122" t="b">
        <f>IF(ISBLANK(GroupMember[[#This Row],[1. Identifiant interne d’exploitation agricole*]]),"",IF(ISERROR(MATCH(GroupMember[[#This Row],[1. Identifiant interne d’exploitation agricole*]],CertifiedCrop[1. Identifiant interne d’exploitation agricole*],0)),FALSE,TRUE))</f>
        <v>1</v>
      </c>
      <c r="AE952" s="122" t="b">
        <f>IF(ISBLANK(GroupMember[[#This Row],[1. Identifiant interne d’exploitation agricole*]]),"",IF(ISERROR(MATCH(GroupMember[[#This Row],[1. Identifiant interne d’exploitation agricole*]],FarmUnit[1. Identifiant interne d’exploitation agricole*],0)),FALSE,TRUE))</f>
        <v>1</v>
      </c>
      <c r="AF952" s="9" t="str">
        <f t="shared" si="45"/>
        <v>BOUDA ANGELINE</v>
      </c>
      <c r="AG952" s="243" t="str">
        <f t="shared" si="46"/>
        <v>13/9/2021</v>
      </c>
      <c r="AH952" s="51">
        <f>COUNTIFS(Z:Z,Z952,AG:AG,AG952)</f>
        <v>5</v>
      </c>
      <c r="AI952" s="49">
        <f t="shared" si="47"/>
        <v>0</v>
      </c>
    </row>
    <row r="953" spans="1:35" ht="15" x14ac:dyDescent="0.2">
      <c r="A953" s="193" t="s">
        <v>3188</v>
      </c>
      <c r="B953" s="146" t="s">
        <v>668</v>
      </c>
      <c r="C953" s="193" t="s">
        <v>3188</v>
      </c>
      <c r="D953" s="146" t="s">
        <v>2146</v>
      </c>
      <c r="E953" s="146" t="s">
        <v>670</v>
      </c>
      <c r="F953" s="146" t="s">
        <v>671</v>
      </c>
      <c r="G953" s="146" t="s">
        <v>672</v>
      </c>
      <c r="H953" s="225">
        <v>1.091</v>
      </c>
      <c r="I953" s="146" t="s">
        <v>673</v>
      </c>
      <c r="J953" s="226">
        <v>1</v>
      </c>
      <c r="K953" s="150">
        <v>2021</v>
      </c>
      <c r="L953" s="146" t="s">
        <v>1774</v>
      </c>
      <c r="M953" s="146" t="s">
        <v>1376</v>
      </c>
      <c r="N953" s="164"/>
      <c r="O953" s="146"/>
      <c r="P953" s="219" t="s">
        <v>676</v>
      </c>
      <c r="Q953" s="299"/>
      <c r="R953" s="155">
        <v>5</v>
      </c>
      <c r="S953" s="168"/>
      <c r="T953" s="168"/>
      <c r="U953" s="146"/>
      <c r="V953" s="146"/>
      <c r="W953" s="146"/>
      <c r="X953" s="156">
        <v>0</v>
      </c>
      <c r="Y953" s="156">
        <v>0</v>
      </c>
      <c r="Z953" s="157" t="s">
        <v>2703</v>
      </c>
      <c r="AA953" s="174">
        <v>2021</v>
      </c>
      <c r="AB953" s="175">
        <v>9</v>
      </c>
      <c r="AC953" s="175">
        <v>17</v>
      </c>
      <c r="AD953" s="122" t="b">
        <f>IF(ISBLANK(GroupMember[[#This Row],[1. Identifiant interne d’exploitation agricole*]]),"",IF(ISERROR(MATCH(GroupMember[[#This Row],[1. Identifiant interne d’exploitation agricole*]],CertifiedCrop[1. Identifiant interne d’exploitation agricole*],0)),FALSE,TRUE))</f>
        <v>1</v>
      </c>
      <c r="AE953" s="122" t="b">
        <f>IF(ISBLANK(GroupMember[[#This Row],[1. Identifiant interne d’exploitation agricole*]]),"",IF(ISERROR(MATCH(GroupMember[[#This Row],[1. Identifiant interne d’exploitation agricole*]],FarmUnit[1. Identifiant interne d’exploitation agricole*],0)),FALSE,TRUE))</f>
        <v>1</v>
      </c>
      <c r="AF953" s="9" t="str">
        <f t="shared" si="45"/>
        <v>COULIBALY ISSA</v>
      </c>
      <c r="AG953" s="243" t="str">
        <f t="shared" si="46"/>
        <v>17/9/2021</v>
      </c>
      <c r="AH953" s="51">
        <f>COUNTIFS(Z:Z,Z953,AG:AG,AG953)</f>
        <v>5</v>
      </c>
      <c r="AI953" s="49">
        <f t="shared" si="47"/>
        <v>0</v>
      </c>
    </row>
    <row r="954" spans="1:35" ht="15" x14ac:dyDescent="0.2">
      <c r="A954" s="193" t="s">
        <v>3189</v>
      </c>
      <c r="B954" s="146" t="s">
        <v>668</v>
      </c>
      <c r="C954" s="193" t="s">
        <v>3189</v>
      </c>
      <c r="D954" s="146" t="s">
        <v>2146</v>
      </c>
      <c r="E954" s="146" t="s">
        <v>670</v>
      </c>
      <c r="F954" s="146" t="s">
        <v>671</v>
      </c>
      <c r="G954" s="146" t="s">
        <v>672</v>
      </c>
      <c r="H954" s="225">
        <v>2.77</v>
      </c>
      <c r="I954" s="146" t="s">
        <v>673</v>
      </c>
      <c r="J954" s="226">
        <v>1</v>
      </c>
      <c r="K954" s="150">
        <v>2021</v>
      </c>
      <c r="L954" s="146" t="s">
        <v>1774</v>
      </c>
      <c r="M954" s="146" t="s">
        <v>2896</v>
      </c>
      <c r="N954" s="164">
        <v>779168986</v>
      </c>
      <c r="O954" s="146" t="s">
        <v>3190</v>
      </c>
      <c r="P954" s="219" t="s">
        <v>676</v>
      </c>
      <c r="Q954" s="150">
        <v>1974</v>
      </c>
      <c r="R954" s="155">
        <v>6</v>
      </c>
      <c r="S954" s="168"/>
      <c r="T954" s="168"/>
      <c r="U954" s="146"/>
      <c r="V954" s="146"/>
      <c r="W954" s="146"/>
      <c r="X954" s="156">
        <v>0</v>
      </c>
      <c r="Y954" s="156">
        <v>0</v>
      </c>
      <c r="Z954" s="157" t="s">
        <v>2703</v>
      </c>
      <c r="AA954" s="174">
        <v>2021</v>
      </c>
      <c r="AB954" s="175">
        <v>9</v>
      </c>
      <c r="AC954" s="175">
        <v>2</v>
      </c>
      <c r="AD954" s="122" t="b">
        <f>IF(ISBLANK(GroupMember[[#This Row],[1. Identifiant interne d’exploitation agricole*]]),"",IF(ISERROR(MATCH(GroupMember[[#This Row],[1. Identifiant interne d’exploitation agricole*]],CertifiedCrop[1. Identifiant interne d’exploitation agricole*],0)),FALSE,TRUE))</f>
        <v>1</v>
      </c>
      <c r="AE954" s="122" t="b">
        <f>IF(ISBLANK(GroupMember[[#This Row],[1. Identifiant interne d’exploitation agricole*]]),"",IF(ISERROR(MATCH(GroupMember[[#This Row],[1. Identifiant interne d’exploitation agricole*]],FarmUnit[1. Identifiant interne d’exploitation agricole*],0)),FALSE,TRUE))</f>
        <v>1</v>
      </c>
      <c r="AF954" s="9" t="str">
        <f t="shared" si="45"/>
        <v>COULIBALY YACOUBA</v>
      </c>
      <c r="AG954" s="243" t="str">
        <f t="shared" si="46"/>
        <v>2/9/2021</v>
      </c>
      <c r="AH954" s="51">
        <f>COUNTIFS(Z:Z,Z954,AG:AG,AG954)</f>
        <v>4</v>
      </c>
      <c r="AI954" s="49">
        <f t="shared" si="47"/>
        <v>0</v>
      </c>
    </row>
    <row r="955" spans="1:35" ht="15" x14ac:dyDescent="0.2">
      <c r="A955" s="193" t="s">
        <v>3191</v>
      </c>
      <c r="B955" s="146" t="s">
        <v>668</v>
      </c>
      <c r="C955" s="193" t="s">
        <v>3191</v>
      </c>
      <c r="D955" s="146" t="s">
        <v>2146</v>
      </c>
      <c r="E955" s="146" t="s">
        <v>670</v>
      </c>
      <c r="F955" s="146" t="s">
        <v>671</v>
      </c>
      <c r="G955" s="146" t="s">
        <v>672</v>
      </c>
      <c r="H955" s="225">
        <v>0.77</v>
      </c>
      <c r="I955" s="146" t="s">
        <v>673</v>
      </c>
      <c r="J955" s="226">
        <v>1</v>
      </c>
      <c r="K955" s="150">
        <v>2021</v>
      </c>
      <c r="L955" s="146" t="s">
        <v>1774</v>
      </c>
      <c r="M955" s="146" t="s">
        <v>3192</v>
      </c>
      <c r="N955" s="164">
        <v>545093932</v>
      </c>
      <c r="O955" s="146"/>
      <c r="P955" s="219" t="s">
        <v>751</v>
      </c>
      <c r="Q955" s="299"/>
      <c r="R955" s="155">
        <v>4</v>
      </c>
      <c r="S955" s="168"/>
      <c r="T955" s="168"/>
      <c r="U955" s="146"/>
      <c r="V955" s="146"/>
      <c r="W955" s="146"/>
      <c r="X955" s="156">
        <v>0</v>
      </c>
      <c r="Y955" s="156">
        <v>0</v>
      </c>
      <c r="Z955" s="157" t="s">
        <v>2703</v>
      </c>
      <c r="AA955" s="174">
        <v>2021</v>
      </c>
      <c r="AB955" s="175">
        <v>9</v>
      </c>
      <c r="AC955" s="175">
        <v>13</v>
      </c>
      <c r="AD955" s="122" t="b">
        <f>IF(ISBLANK(GroupMember[[#This Row],[1. Identifiant interne d’exploitation agricole*]]),"",IF(ISERROR(MATCH(GroupMember[[#This Row],[1. Identifiant interne d’exploitation agricole*]],CertifiedCrop[1. Identifiant interne d’exploitation agricole*],0)),FALSE,TRUE))</f>
        <v>1</v>
      </c>
      <c r="AE955" s="122" t="b">
        <f>IF(ISBLANK(GroupMember[[#This Row],[1. Identifiant interne d’exploitation agricole*]]),"",IF(ISERROR(MATCH(GroupMember[[#This Row],[1. Identifiant interne d’exploitation agricole*]],FarmUnit[1. Identifiant interne d’exploitation agricole*],0)),FALSE,TRUE))</f>
        <v>1</v>
      </c>
      <c r="AF955" s="9" t="str">
        <f t="shared" si="45"/>
        <v>COULIBALY MARIAM</v>
      </c>
      <c r="AG955" s="243" t="str">
        <f t="shared" si="46"/>
        <v>13/9/2021</v>
      </c>
      <c r="AH955" s="51">
        <f>COUNTIFS(Z:Z,Z955,AG:AG,AG955)</f>
        <v>5</v>
      </c>
      <c r="AI955" s="49">
        <f t="shared" si="47"/>
        <v>0</v>
      </c>
    </row>
    <row r="956" spans="1:35" ht="15" x14ac:dyDescent="0.2">
      <c r="A956" s="193" t="s">
        <v>3193</v>
      </c>
      <c r="B956" s="146" t="s">
        <v>668</v>
      </c>
      <c r="C956" s="193" t="s">
        <v>3193</v>
      </c>
      <c r="D956" s="146" t="s">
        <v>2146</v>
      </c>
      <c r="E956" s="146" t="s">
        <v>670</v>
      </c>
      <c r="F956" s="146" t="s">
        <v>671</v>
      </c>
      <c r="G956" s="146" t="s">
        <v>672</v>
      </c>
      <c r="H956" s="225">
        <v>2.82</v>
      </c>
      <c r="I956" s="146" t="s">
        <v>673</v>
      </c>
      <c r="J956" s="226">
        <v>1</v>
      </c>
      <c r="K956" s="150">
        <v>2021</v>
      </c>
      <c r="L956" s="168" t="s">
        <v>1774</v>
      </c>
      <c r="M956" s="168" t="s">
        <v>2280</v>
      </c>
      <c r="N956" s="164">
        <v>778108775</v>
      </c>
      <c r="O956" s="146"/>
      <c r="P956" s="219" t="s">
        <v>676</v>
      </c>
      <c r="Q956" s="150"/>
      <c r="R956" s="155">
        <v>5</v>
      </c>
      <c r="S956" s="168"/>
      <c r="T956" s="168"/>
      <c r="U956" s="146"/>
      <c r="V956" s="146"/>
      <c r="W956" s="146"/>
      <c r="X956" s="156">
        <v>0</v>
      </c>
      <c r="Y956" s="156">
        <v>0</v>
      </c>
      <c r="Z956" s="157" t="s">
        <v>2703</v>
      </c>
      <c r="AA956" s="174">
        <v>2021</v>
      </c>
      <c r="AB956" s="175">
        <v>9</v>
      </c>
      <c r="AC956" s="175">
        <v>17</v>
      </c>
      <c r="AD956" s="122" t="b">
        <f>IF(ISBLANK(GroupMember[[#This Row],[1. Identifiant interne d’exploitation agricole*]]),"",IF(ISERROR(MATCH(GroupMember[[#This Row],[1. Identifiant interne d’exploitation agricole*]],CertifiedCrop[1. Identifiant interne d’exploitation agricole*],0)),FALSE,TRUE))</f>
        <v>1</v>
      </c>
      <c r="AE956" s="122" t="b">
        <f>IF(ISBLANK(GroupMember[[#This Row],[1. Identifiant interne d’exploitation agricole*]]),"",IF(ISERROR(MATCH(GroupMember[[#This Row],[1. Identifiant interne d’exploitation agricole*]],FarmUnit[1. Identifiant interne d’exploitation agricole*],0)),FALSE,TRUE))</f>
        <v>1</v>
      </c>
      <c r="AF956" s="9" t="str">
        <f t="shared" si="45"/>
        <v>COULIBALY MOUMOUNI</v>
      </c>
      <c r="AG956" s="243" t="str">
        <f t="shared" si="46"/>
        <v>17/9/2021</v>
      </c>
      <c r="AH956" s="51">
        <f>COUNTIFS(Z:Z,Z956,AG:AG,AG956)</f>
        <v>5</v>
      </c>
      <c r="AI956" s="49">
        <f t="shared" si="47"/>
        <v>0</v>
      </c>
    </row>
    <row r="957" spans="1:35" ht="15" x14ac:dyDescent="0.2">
      <c r="A957" s="193" t="s">
        <v>3194</v>
      </c>
      <c r="B957" s="146" t="s">
        <v>668</v>
      </c>
      <c r="C957" s="193" t="s">
        <v>3194</v>
      </c>
      <c r="D957" s="146" t="s">
        <v>2146</v>
      </c>
      <c r="E957" s="146" t="s">
        <v>670</v>
      </c>
      <c r="F957" s="146" t="s">
        <v>671</v>
      </c>
      <c r="G957" s="146" t="s">
        <v>672</v>
      </c>
      <c r="H957" s="225">
        <v>2.82</v>
      </c>
      <c r="I957" s="146" t="s">
        <v>673</v>
      </c>
      <c r="J957" s="226">
        <v>1</v>
      </c>
      <c r="K957" s="150">
        <v>2021</v>
      </c>
      <c r="L957" s="168" t="s">
        <v>1774</v>
      </c>
      <c r="M957" s="168" t="s">
        <v>3195</v>
      </c>
      <c r="N957" s="164">
        <v>584547899</v>
      </c>
      <c r="O957" s="146"/>
      <c r="P957" s="219" t="s">
        <v>676</v>
      </c>
      <c r="Q957" s="150"/>
      <c r="R957" s="155">
        <v>7</v>
      </c>
      <c r="S957" s="168"/>
      <c r="T957" s="168"/>
      <c r="U957" s="146"/>
      <c r="V957" s="146"/>
      <c r="W957" s="146"/>
      <c r="X957" s="156">
        <v>0</v>
      </c>
      <c r="Y957" s="156">
        <v>0</v>
      </c>
      <c r="Z957" s="157" t="s">
        <v>2703</v>
      </c>
      <c r="AA957" s="174">
        <v>2021</v>
      </c>
      <c r="AB957" s="175">
        <v>9</v>
      </c>
      <c r="AC957" s="175">
        <v>8</v>
      </c>
      <c r="AD957" s="122" t="b">
        <f>IF(ISBLANK(GroupMember[[#This Row],[1. Identifiant interne d’exploitation agricole*]]),"",IF(ISERROR(MATCH(GroupMember[[#This Row],[1. Identifiant interne d’exploitation agricole*]],CertifiedCrop[1. Identifiant interne d’exploitation agricole*],0)),FALSE,TRUE))</f>
        <v>1</v>
      </c>
      <c r="AE957" s="122" t="b">
        <f>IF(ISBLANK(GroupMember[[#This Row],[1. Identifiant interne d’exploitation agricole*]]),"",IF(ISERROR(MATCH(GroupMember[[#This Row],[1. Identifiant interne d’exploitation agricole*]],FarmUnit[1. Identifiant interne d’exploitation agricole*],0)),FALSE,TRUE))</f>
        <v>1</v>
      </c>
      <c r="AF957" s="9" t="str">
        <f t="shared" si="45"/>
        <v>COULIBALY ALAIN</v>
      </c>
      <c r="AG957" s="243" t="str">
        <f t="shared" si="46"/>
        <v>8/9/2021</v>
      </c>
      <c r="AH957" s="51">
        <f>COUNTIFS(Z:Z,Z957,AG:AG,AG957)</f>
        <v>5</v>
      </c>
      <c r="AI957" s="49">
        <f t="shared" si="47"/>
        <v>0</v>
      </c>
    </row>
    <row r="958" spans="1:35" ht="15" x14ac:dyDescent="0.2">
      <c r="A958" s="193" t="s">
        <v>3196</v>
      </c>
      <c r="B958" s="146" t="s">
        <v>668</v>
      </c>
      <c r="C958" s="193" t="s">
        <v>3196</v>
      </c>
      <c r="D958" s="146" t="s">
        <v>2146</v>
      </c>
      <c r="E958" s="146" t="s">
        <v>670</v>
      </c>
      <c r="F958" s="146" t="s">
        <v>671</v>
      </c>
      <c r="G958" s="146" t="s">
        <v>672</v>
      </c>
      <c r="H958" s="225">
        <v>3.65</v>
      </c>
      <c r="I958" s="146" t="s">
        <v>673</v>
      </c>
      <c r="J958" s="226">
        <v>1</v>
      </c>
      <c r="K958" s="150">
        <v>2021</v>
      </c>
      <c r="L958" s="163" t="s">
        <v>2302</v>
      </c>
      <c r="M958" s="163" t="s">
        <v>3197</v>
      </c>
      <c r="N958" s="164">
        <v>789099128</v>
      </c>
      <c r="O958" s="146"/>
      <c r="P958" s="219" t="s">
        <v>676</v>
      </c>
      <c r="Q958" s="150"/>
      <c r="R958" s="155">
        <v>6</v>
      </c>
      <c r="S958" s="168"/>
      <c r="T958" s="168"/>
      <c r="U958" s="146"/>
      <c r="V958" s="146"/>
      <c r="W958" s="146"/>
      <c r="X958" s="156">
        <v>0</v>
      </c>
      <c r="Y958" s="156">
        <v>0</v>
      </c>
      <c r="Z958" s="157" t="s">
        <v>2703</v>
      </c>
      <c r="AA958" s="174">
        <v>2021</v>
      </c>
      <c r="AB958" s="175">
        <v>9</v>
      </c>
      <c r="AC958" s="175">
        <v>2</v>
      </c>
      <c r="AD958" s="122" t="b">
        <f>IF(ISBLANK(GroupMember[[#This Row],[1. Identifiant interne d’exploitation agricole*]]),"",IF(ISERROR(MATCH(GroupMember[[#This Row],[1. Identifiant interne d’exploitation agricole*]],CertifiedCrop[1. Identifiant interne d’exploitation agricole*],0)),FALSE,TRUE))</f>
        <v>1</v>
      </c>
      <c r="AE958" s="122" t="b">
        <f>IF(ISBLANK(GroupMember[[#This Row],[1. Identifiant interne d’exploitation agricole*]]),"",IF(ISERROR(MATCH(GroupMember[[#This Row],[1. Identifiant interne d’exploitation agricole*]],FarmUnit[1. Identifiant interne d’exploitation agricole*],0)),FALSE,TRUE))</f>
        <v>1</v>
      </c>
      <c r="AF958" s="9" t="str">
        <f t="shared" si="45"/>
        <v>DAH VAINCEN</v>
      </c>
      <c r="AG958" s="243" t="str">
        <f t="shared" si="46"/>
        <v>2/9/2021</v>
      </c>
      <c r="AH958" s="51">
        <f>COUNTIFS(Z:Z,Z958,AG:AG,AG958)</f>
        <v>4</v>
      </c>
      <c r="AI958" s="49">
        <f t="shared" si="47"/>
        <v>0</v>
      </c>
    </row>
    <row r="959" spans="1:35" ht="15" x14ac:dyDescent="0.2">
      <c r="A959" s="193" t="s">
        <v>3198</v>
      </c>
      <c r="B959" s="146" t="s">
        <v>668</v>
      </c>
      <c r="C959" s="193" t="s">
        <v>3198</v>
      </c>
      <c r="D959" s="146" t="s">
        <v>2146</v>
      </c>
      <c r="E959" s="146" t="s">
        <v>670</v>
      </c>
      <c r="F959" s="146" t="s">
        <v>671</v>
      </c>
      <c r="G959" s="146" t="s">
        <v>672</v>
      </c>
      <c r="H959" s="225">
        <v>2.85</v>
      </c>
      <c r="I959" s="146" t="s">
        <v>673</v>
      </c>
      <c r="J959" s="226">
        <v>1</v>
      </c>
      <c r="K959" s="150">
        <v>2021</v>
      </c>
      <c r="L959" s="163" t="s">
        <v>2302</v>
      </c>
      <c r="M959" s="163" t="s">
        <v>3199</v>
      </c>
      <c r="N959" s="164">
        <v>575355791</v>
      </c>
      <c r="O959" s="146"/>
      <c r="P959" s="219" t="s">
        <v>676</v>
      </c>
      <c r="Q959" s="150">
        <v>1987</v>
      </c>
      <c r="R959" s="155">
        <v>5</v>
      </c>
      <c r="S959" s="168"/>
      <c r="T959" s="168"/>
      <c r="U959" s="146"/>
      <c r="V959" s="146"/>
      <c r="W959" s="146"/>
      <c r="X959" s="156">
        <v>0</v>
      </c>
      <c r="Y959" s="156">
        <v>0</v>
      </c>
      <c r="Z959" s="157" t="s">
        <v>2703</v>
      </c>
      <c r="AA959" s="174">
        <v>2021</v>
      </c>
      <c r="AB959" s="175">
        <v>9</v>
      </c>
      <c r="AC959" s="175">
        <v>16</v>
      </c>
      <c r="AD959" s="122" t="b">
        <f>IF(ISBLANK(GroupMember[[#This Row],[1. Identifiant interne d’exploitation agricole*]]),"",IF(ISERROR(MATCH(GroupMember[[#This Row],[1. Identifiant interne d’exploitation agricole*]],CertifiedCrop[1. Identifiant interne d’exploitation agricole*],0)),FALSE,TRUE))</f>
        <v>1</v>
      </c>
      <c r="AE959" s="122" t="b">
        <f>IF(ISBLANK(GroupMember[[#This Row],[1. Identifiant interne d’exploitation agricole*]]),"",IF(ISERROR(MATCH(GroupMember[[#This Row],[1. Identifiant interne d’exploitation agricole*]],FarmUnit[1. Identifiant interne d’exploitation agricole*],0)),FALSE,TRUE))</f>
        <v>1</v>
      </c>
      <c r="AF959" s="9" t="str">
        <f t="shared" si="45"/>
        <v>DAH FIDEL</v>
      </c>
      <c r="AG959" s="243" t="str">
        <f t="shared" si="46"/>
        <v>16/9/2021</v>
      </c>
      <c r="AH959" s="51">
        <f>COUNTIFS(Z:Z,Z959,AG:AG,AG959)</f>
        <v>5</v>
      </c>
      <c r="AI959" s="49">
        <f t="shared" si="47"/>
        <v>0</v>
      </c>
    </row>
    <row r="960" spans="1:35" ht="15" x14ac:dyDescent="0.2">
      <c r="A960" s="193" t="s">
        <v>3200</v>
      </c>
      <c r="B960" s="146" t="s">
        <v>668</v>
      </c>
      <c r="C960" s="193" t="s">
        <v>3200</v>
      </c>
      <c r="D960" s="146" t="s">
        <v>2146</v>
      </c>
      <c r="E960" s="146" t="s">
        <v>670</v>
      </c>
      <c r="F960" s="146" t="s">
        <v>671</v>
      </c>
      <c r="G960" s="146" t="s">
        <v>672</v>
      </c>
      <c r="H960" s="225">
        <v>1.92</v>
      </c>
      <c r="I960" s="146" t="s">
        <v>673</v>
      </c>
      <c r="J960" s="226">
        <v>1</v>
      </c>
      <c r="K960" s="150">
        <v>2021</v>
      </c>
      <c r="L960" s="168" t="s">
        <v>3201</v>
      </c>
      <c r="M960" s="168" t="s">
        <v>3202</v>
      </c>
      <c r="N960" s="164">
        <v>748156265</v>
      </c>
      <c r="O960" s="146"/>
      <c r="P960" s="219" t="s">
        <v>676</v>
      </c>
      <c r="Q960" s="150"/>
      <c r="R960" s="155">
        <v>4</v>
      </c>
      <c r="S960" s="168"/>
      <c r="T960" s="168"/>
      <c r="U960" s="146"/>
      <c r="V960" s="146"/>
      <c r="W960" s="146"/>
      <c r="X960" s="156">
        <v>0</v>
      </c>
      <c r="Y960" s="156">
        <v>0</v>
      </c>
      <c r="Z960" s="157" t="s">
        <v>2703</v>
      </c>
      <c r="AA960" s="174">
        <v>2021</v>
      </c>
      <c r="AB960" s="175">
        <v>9</v>
      </c>
      <c r="AC960" s="175">
        <v>17</v>
      </c>
      <c r="AD960" s="122" t="b">
        <f>IF(ISBLANK(GroupMember[[#This Row],[1. Identifiant interne d’exploitation agricole*]]),"",IF(ISERROR(MATCH(GroupMember[[#This Row],[1. Identifiant interne d’exploitation agricole*]],CertifiedCrop[1. Identifiant interne d’exploitation agricole*],0)),FALSE,TRUE))</f>
        <v>1</v>
      </c>
      <c r="AE960" s="122" t="b">
        <f>IF(ISBLANK(GroupMember[[#This Row],[1. Identifiant interne d’exploitation agricole*]]),"",IF(ISERROR(MATCH(GroupMember[[#This Row],[1. Identifiant interne d’exploitation agricole*]],FarmUnit[1. Identifiant interne d’exploitation agricole*],0)),FALSE,TRUE))</f>
        <v>1</v>
      </c>
      <c r="AF960" s="9" t="str">
        <f t="shared" si="45"/>
        <v>EGA KASSOUM</v>
      </c>
      <c r="AG960" s="243" t="str">
        <f t="shared" si="46"/>
        <v>17/9/2021</v>
      </c>
      <c r="AH960" s="51">
        <f>COUNTIFS(Z:Z,Z960,AG:AG,AG960)</f>
        <v>5</v>
      </c>
      <c r="AI960" s="49">
        <f t="shared" si="47"/>
        <v>0</v>
      </c>
    </row>
    <row r="961" spans="1:35" ht="15" x14ac:dyDescent="0.2">
      <c r="A961" s="193" t="s">
        <v>3203</v>
      </c>
      <c r="B961" s="146" t="s">
        <v>668</v>
      </c>
      <c r="C961" s="193" t="s">
        <v>3203</v>
      </c>
      <c r="D961" s="146" t="s">
        <v>2146</v>
      </c>
      <c r="E961" s="146" t="s">
        <v>670</v>
      </c>
      <c r="F961" s="146" t="s">
        <v>671</v>
      </c>
      <c r="G961" s="146" t="s">
        <v>672</v>
      </c>
      <c r="H961" s="225">
        <v>2.5</v>
      </c>
      <c r="I961" s="146" t="s">
        <v>673</v>
      </c>
      <c r="J961" s="226">
        <v>1</v>
      </c>
      <c r="K961" s="150">
        <v>2021</v>
      </c>
      <c r="L961" s="146" t="s">
        <v>3204</v>
      </c>
      <c r="M961" s="146" t="s">
        <v>3205</v>
      </c>
      <c r="N961" s="164">
        <v>545997916</v>
      </c>
      <c r="O961" s="146" t="s">
        <v>3206</v>
      </c>
      <c r="P961" s="219" t="s">
        <v>676</v>
      </c>
      <c r="Q961" s="150">
        <v>1990</v>
      </c>
      <c r="R961" s="155">
        <v>7</v>
      </c>
      <c r="S961" s="168"/>
      <c r="T961" s="168"/>
      <c r="U961" s="146"/>
      <c r="V961" s="146"/>
      <c r="W961" s="146"/>
      <c r="X961" s="156">
        <v>0</v>
      </c>
      <c r="Y961" s="156">
        <v>0</v>
      </c>
      <c r="Z961" s="157" t="s">
        <v>2703</v>
      </c>
      <c r="AA961" s="174">
        <v>2021</v>
      </c>
      <c r="AB961" s="175">
        <v>9</v>
      </c>
      <c r="AC961" s="175">
        <v>7</v>
      </c>
      <c r="AD961" s="122" t="b">
        <f>IF(ISBLANK(GroupMember[[#This Row],[1. Identifiant interne d’exploitation agricole*]]),"",IF(ISERROR(MATCH(GroupMember[[#This Row],[1. Identifiant interne d’exploitation agricole*]],CertifiedCrop[1. Identifiant interne d’exploitation agricole*],0)),FALSE,TRUE))</f>
        <v>1</v>
      </c>
      <c r="AE961" s="122" t="b">
        <f>IF(ISBLANK(GroupMember[[#This Row],[1. Identifiant interne d’exploitation agricole*]]),"",IF(ISERROR(MATCH(GroupMember[[#This Row],[1. Identifiant interne d’exploitation agricole*]],FarmUnit[1. Identifiant interne d’exploitation agricole*],0)),FALSE,TRUE))</f>
        <v>1</v>
      </c>
      <c r="AF961" s="9" t="str">
        <f t="shared" si="45"/>
        <v>GNENEAO KANHAN JOEL</v>
      </c>
      <c r="AG961" s="243" t="str">
        <f t="shared" si="46"/>
        <v>7/9/2021</v>
      </c>
      <c r="AH961" s="51">
        <f>COUNTIFS(Z:Z,Z961,AG:AG,AG961)</f>
        <v>4</v>
      </c>
      <c r="AI961" s="49">
        <f t="shared" si="47"/>
        <v>0</v>
      </c>
    </row>
    <row r="962" spans="1:35" ht="15" x14ac:dyDescent="0.2">
      <c r="A962" s="193" t="s">
        <v>3207</v>
      </c>
      <c r="B962" s="146" t="s">
        <v>668</v>
      </c>
      <c r="C962" s="193" t="s">
        <v>3207</v>
      </c>
      <c r="D962" s="146" t="s">
        <v>2146</v>
      </c>
      <c r="E962" s="146" t="s">
        <v>670</v>
      </c>
      <c r="F962" s="146" t="s">
        <v>671</v>
      </c>
      <c r="G962" s="146" t="s">
        <v>672</v>
      </c>
      <c r="H962" s="227">
        <v>5.29</v>
      </c>
      <c r="I962" s="146" t="s">
        <v>673</v>
      </c>
      <c r="J962" s="226">
        <v>2</v>
      </c>
      <c r="K962" s="150">
        <v>2021</v>
      </c>
      <c r="L962" s="230" t="s">
        <v>768</v>
      </c>
      <c r="M962" s="230" t="s">
        <v>3208</v>
      </c>
      <c r="N962" s="228">
        <v>574795144</v>
      </c>
      <c r="O962" s="180"/>
      <c r="P962" s="229" t="s">
        <v>676</v>
      </c>
      <c r="Q962" s="299"/>
      <c r="R962" s="155">
        <v>6</v>
      </c>
      <c r="S962" s="168"/>
      <c r="T962" s="168"/>
      <c r="U962" s="146"/>
      <c r="V962" s="146"/>
      <c r="W962" s="146"/>
      <c r="X962" s="156">
        <v>0</v>
      </c>
      <c r="Y962" s="156">
        <v>0</v>
      </c>
      <c r="Z962" s="157" t="s">
        <v>2703</v>
      </c>
      <c r="AA962" s="174">
        <v>2021</v>
      </c>
      <c r="AB962" s="175">
        <v>9</v>
      </c>
      <c r="AC962" s="175">
        <v>16</v>
      </c>
      <c r="AD962" s="122" t="b">
        <f>IF(ISBLANK(GroupMember[[#This Row],[1. Identifiant interne d’exploitation agricole*]]),"",IF(ISERROR(MATCH(GroupMember[[#This Row],[1. Identifiant interne d’exploitation agricole*]],CertifiedCrop[1. Identifiant interne d’exploitation agricole*],0)),FALSE,TRUE))</f>
        <v>1</v>
      </c>
      <c r="AE962" s="122" t="b">
        <f>IF(ISBLANK(GroupMember[[#This Row],[1. Identifiant interne d’exploitation agricole*]]),"",IF(ISERROR(MATCH(GroupMember[[#This Row],[1. Identifiant interne d’exploitation agricole*]],FarmUnit[1. Identifiant interne d’exploitation agricole*],0)),FALSE,TRUE))</f>
        <v>1</v>
      </c>
      <c r="AF962" s="9" t="str">
        <f t="shared" si="45"/>
        <v>GUEI ELOGE</v>
      </c>
      <c r="AG962" s="243" t="str">
        <f t="shared" si="46"/>
        <v>16/9/2021</v>
      </c>
      <c r="AH962" s="51">
        <f>COUNTIFS(Z:Z,Z962,AG:AG,AG962)</f>
        <v>5</v>
      </c>
      <c r="AI962" s="49">
        <f t="shared" si="47"/>
        <v>0</v>
      </c>
    </row>
    <row r="963" spans="1:35" ht="15" x14ac:dyDescent="0.2">
      <c r="A963" s="193" t="s">
        <v>3209</v>
      </c>
      <c r="B963" s="146" t="s">
        <v>668</v>
      </c>
      <c r="C963" s="193" t="s">
        <v>3209</v>
      </c>
      <c r="D963" s="146" t="s">
        <v>2146</v>
      </c>
      <c r="E963" s="146" t="s">
        <v>670</v>
      </c>
      <c r="F963" s="146" t="s">
        <v>671</v>
      </c>
      <c r="G963" s="146" t="s">
        <v>672</v>
      </c>
      <c r="H963" s="225">
        <v>2.31</v>
      </c>
      <c r="I963" s="146" t="s">
        <v>673</v>
      </c>
      <c r="J963" s="226">
        <v>1</v>
      </c>
      <c r="K963" s="150">
        <v>2021</v>
      </c>
      <c r="L963" s="168" t="s">
        <v>1958</v>
      </c>
      <c r="M963" s="168" t="s">
        <v>2351</v>
      </c>
      <c r="N963" s="164">
        <v>748068483</v>
      </c>
      <c r="O963" s="146"/>
      <c r="P963" s="219" t="s">
        <v>676</v>
      </c>
      <c r="Q963" s="150"/>
      <c r="R963" s="155">
        <v>5</v>
      </c>
      <c r="S963" s="168"/>
      <c r="T963" s="168"/>
      <c r="U963" s="146"/>
      <c r="V963" s="146"/>
      <c r="W963" s="146"/>
      <c r="X963" s="156">
        <v>0</v>
      </c>
      <c r="Y963" s="156">
        <v>0</v>
      </c>
      <c r="Z963" s="157" t="s">
        <v>2703</v>
      </c>
      <c r="AA963" s="174">
        <v>2021</v>
      </c>
      <c r="AB963" s="175">
        <v>9</v>
      </c>
      <c r="AC963" s="175">
        <v>13</v>
      </c>
      <c r="AD963" s="122" t="b">
        <f>IF(ISBLANK(GroupMember[[#This Row],[1. Identifiant interne d’exploitation agricole*]]),"",IF(ISERROR(MATCH(GroupMember[[#This Row],[1. Identifiant interne d’exploitation agricole*]],CertifiedCrop[1. Identifiant interne d’exploitation agricole*],0)),FALSE,TRUE))</f>
        <v>1</v>
      </c>
      <c r="AE963" s="122" t="b">
        <f>IF(ISBLANK(GroupMember[[#This Row],[1. Identifiant interne d’exploitation agricole*]]),"",IF(ISERROR(MATCH(GroupMember[[#This Row],[1. Identifiant interne d’exploitation agricole*]],FarmUnit[1. Identifiant interne d’exploitation agricole*],0)),FALSE,TRUE))</f>
        <v>1</v>
      </c>
      <c r="AF963" s="9" t="str">
        <f t="shared" si="45"/>
        <v>GUIRO ISSIAKA</v>
      </c>
      <c r="AG963" s="243" t="str">
        <f t="shared" si="46"/>
        <v>13/9/2021</v>
      </c>
      <c r="AH963" s="51">
        <f>COUNTIFS(Z:Z,Z963,AG:AG,AG963)</f>
        <v>5</v>
      </c>
      <c r="AI963" s="49">
        <f t="shared" si="47"/>
        <v>0</v>
      </c>
    </row>
    <row r="964" spans="1:35" ht="15" x14ac:dyDescent="0.2">
      <c r="A964" s="193" t="s">
        <v>3210</v>
      </c>
      <c r="B964" s="146" t="s">
        <v>668</v>
      </c>
      <c r="C964" s="193" t="s">
        <v>3210</v>
      </c>
      <c r="D964" s="146" t="s">
        <v>2146</v>
      </c>
      <c r="E964" s="146" t="s">
        <v>670</v>
      </c>
      <c r="F964" s="146" t="s">
        <v>671</v>
      </c>
      <c r="G964" s="146" t="s">
        <v>672</v>
      </c>
      <c r="H964" s="225">
        <v>1.74</v>
      </c>
      <c r="I964" s="146" t="s">
        <v>673</v>
      </c>
      <c r="J964" s="226">
        <v>1</v>
      </c>
      <c r="K964" s="150">
        <v>2021</v>
      </c>
      <c r="L964" s="146" t="s">
        <v>2040</v>
      </c>
      <c r="M964" s="146" t="s">
        <v>2787</v>
      </c>
      <c r="N964" s="164">
        <v>758177021</v>
      </c>
      <c r="O964" s="146"/>
      <c r="P964" s="219" t="s">
        <v>676</v>
      </c>
      <c r="Q964" s="150"/>
      <c r="R964" s="155">
        <v>8</v>
      </c>
      <c r="S964" s="168"/>
      <c r="T964" s="168"/>
      <c r="U964" s="146"/>
      <c r="V964" s="146"/>
      <c r="W964" s="146"/>
      <c r="X964" s="156">
        <v>0</v>
      </c>
      <c r="Y964" s="156">
        <v>0</v>
      </c>
      <c r="Z964" s="157" t="s">
        <v>2703</v>
      </c>
      <c r="AA964" s="174">
        <v>2021</v>
      </c>
      <c r="AB964" s="175">
        <v>9</v>
      </c>
      <c r="AC964" s="175">
        <v>6</v>
      </c>
      <c r="AD964" s="122" t="b">
        <f>IF(ISBLANK(GroupMember[[#This Row],[1. Identifiant interne d’exploitation agricole*]]),"",IF(ISERROR(MATCH(GroupMember[[#This Row],[1. Identifiant interne d’exploitation agricole*]],CertifiedCrop[1. Identifiant interne d’exploitation agricole*],0)),FALSE,TRUE))</f>
        <v>1</v>
      </c>
      <c r="AE964" s="122" t="b">
        <f>IF(ISBLANK(GroupMember[[#This Row],[1. Identifiant interne d’exploitation agricole*]]),"",IF(ISERROR(MATCH(GroupMember[[#This Row],[1. Identifiant interne d’exploitation agricole*]],FarmUnit[1. Identifiant interne d’exploitation agricole*],0)),FALSE,TRUE))</f>
        <v>1</v>
      </c>
      <c r="AF964" s="9" t="str">
        <f t="shared" si="45"/>
        <v>ILBOUDO ABOULAYE</v>
      </c>
      <c r="AG964" s="243" t="str">
        <f t="shared" si="46"/>
        <v>6/9/2021</v>
      </c>
      <c r="AH964" s="51">
        <f>COUNTIFS(Z:Z,Z964,AG:AG,AG964)</f>
        <v>4</v>
      </c>
      <c r="AI964" s="49">
        <f t="shared" si="47"/>
        <v>0</v>
      </c>
    </row>
    <row r="965" spans="1:35" ht="15" x14ac:dyDescent="0.2">
      <c r="A965" s="193" t="s">
        <v>3211</v>
      </c>
      <c r="B965" s="146" t="s">
        <v>668</v>
      </c>
      <c r="C965" s="193" t="s">
        <v>3211</v>
      </c>
      <c r="D965" s="146" t="s">
        <v>2146</v>
      </c>
      <c r="E965" s="146" t="s">
        <v>670</v>
      </c>
      <c r="F965" s="146" t="s">
        <v>671</v>
      </c>
      <c r="G965" s="146" t="s">
        <v>672</v>
      </c>
      <c r="H965" s="225">
        <v>0.78</v>
      </c>
      <c r="I965" s="146" t="s">
        <v>673</v>
      </c>
      <c r="J965" s="226">
        <v>1</v>
      </c>
      <c r="K965" s="150">
        <v>2021</v>
      </c>
      <c r="L965" s="163" t="s">
        <v>2089</v>
      </c>
      <c r="M965" s="163" t="s">
        <v>3212</v>
      </c>
      <c r="N965" s="164">
        <v>779821623</v>
      </c>
      <c r="O965" s="146" t="s">
        <v>3213</v>
      </c>
      <c r="P965" s="219" t="s">
        <v>676</v>
      </c>
      <c r="Q965" s="150">
        <v>1977</v>
      </c>
      <c r="R965" s="155">
        <v>6</v>
      </c>
      <c r="S965" s="168"/>
      <c r="T965" s="168"/>
      <c r="U965" s="146"/>
      <c r="V965" s="146"/>
      <c r="W965" s="146"/>
      <c r="X965" s="156">
        <v>0</v>
      </c>
      <c r="Y965" s="156">
        <v>0</v>
      </c>
      <c r="Z965" s="157" t="s">
        <v>2703</v>
      </c>
      <c r="AA965" s="174">
        <v>2021</v>
      </c>
      <c r="AB965" s="175">
        <v>9</v>
      </c>
      <c r="AC965" s="175">
        <v>11</v>
      </c>
      <c r="AD965" s="122" t="b">
        <f>IF(ISBLANK(GroupMember[[#This Row],[1. Identifiant interne d’exploitation agricole*]]),"",IF(ISERROR(MATCH(GroupMember[[#This Row],[1. Identifiant interne d’exploitation agricole*]],CertifiedCrop[1. Identifiant interne d’exploitation agricole*],0)),FALSE,TRUE))</f>
        <v>1</v>
      </c>
      <c r="AE965" s="122" t="b">
        <f>IF(ISBLANK(GroupMember[[#This Row],[1. Identifiant interne d’exploitation agricole*]]),"",IF(ISERROR(MATCH(GroupMember[[#This Row],[1. Identifiant interne d’exploitation agricole*]],FarmUnit[1. Identifiant interne d’exploitation agricole*],0)),FALSE,TRUE))</f>
        <v>1</v>
      </c>
      <c r="AF965" s="9" t="str">
        <f t="shared" si="45"/>
        <v>KEUHOUA TOYAKOUE PHILIPE</v>
      </c>
      <c r="AG965" s="243" t="str">
        <f t="shared" si="46"/>
        <v>11/9/2021</v>
      </c>
      <c r="AH965" s="51">
        <f>COUNTIFS(Z:Z,Z965,AG:AG,AG965)</f>
        <v>5</v>
      </c>
      <c r="AI965" s="49">
        <f t="shared" si="47"/>
        <v>0</v>
      </c>
    </row>
    <row r="966" spans="1:35" ht="15" x14ac:dyDescent="0.2">
      <c r="A966" s="193" t="s">
        <v>3214</v>
      </c>
      <c r="B966" s="146" t="s">
        <v>668</v>
      </c>
      <c r="C966" s="193" t="s">
        <v>3214</v>
      </c>
      <c r="D966" s="146" t="s">
        <v>2146</v>
      </c>
      <c r="E966" s="146" t="s">
        <v>670</v>
      </c>
      <c r="F966" s="146" t="s">
        <v>671</v>
      </c>
      <c r="G966" s="146" t="s">
        <v>672</v>
      </c>
      <c r="H966" s="225">
        <v>5.29</v>
      </c>
      <c r="I966" s="146" t="s">
        <v>673</v>
      </c>
      <c r="J966" s="226">
        <v>1</v>
      </c>
      <c r="K966" s="150">
        <v>2021</v>
      </c>
      <c r="L966" s="146" t="s">
        <v>3215</v>
      </c>
      <c r="M966" s="146" t="s">
        <v>3216</v>
      </c>
      <c r="N966" s="164">
        <v>748511331</v>
      </c>
      <c r="O966" s="146" t="s">
        <v>3217</v>
      </c>
      <c r="P966" s="219" t="s">
        <v>676</v>
      </c>
      <c r="Q966" s="150">
        <v>1980</v>
      </c>
      <c r="R966" s="155">
        <v>7</v>
      </c>
      <c r="S966" s="168"/>
      <c r="T966" s="168"/>
      <c r="U966" s="146"/>
      <c r="V966" s="146"/>
      <c r="W966" s="146"/>
      <c r="X966" s="156">
        <v>0</v>
      </c>
      <c r="Y966" s="156">
        <v>0</v>
      </c>
      <c r="Z966" s="157" t="s">
        <v>2703</v>
      </c>
      <c r="AA966" s="174">
        <v>2021</v>
      </c>
      <c r="AB966" s="175">
        <v>9</v>
      </c>
      <c r="AC966" s="175">
        <v>7</v>
      </c>
      <c r="AD966" s="122" t="b">
        <f>IF(ISBLANK(GroupMember[[#This Row],[1. Identifiant interne d’exploitation agricole*]]),"",IF(ISERROR(MATCH(GroupMember[[#This Row],[1. Identifiant interne d’exploitation agricole*]],CertifiedCrop[1. Identifiant interne d’exploitation agricole*],0)),FALSE,TRUE))</f>
        <v>1</v>
      </c>
      <c r="AE966" s="122" t="b">
        <f>IF(ISBLANK(GroupMember[[#This Row],[1. Identifiant interne d’exploitation agricole*]]),"",IF(ISERROR(MATCH(GroupMember[[#This Row],[1. Identifiant interne d’exploitation agricole*]],FarmUnit[1. Identifiant interne d’exploitation agricole*],0)),FALSE,TRUE))</f>
        <v>1</v>
      </c>
      <c r="AF966" s="9" t="str">
        <f t="shared" si="45"/>
        <v>KODJO TIOYE</v>
      </c>
      <c r="AG966" s="243" t="str">
        <f t="shared" si="46"/>
        <v>7/9/2021</v>
      </c>
      <c r="AH966" s="51">
        <f>COUNTIFS(Z:Z,Z966,AG:AG,AG966)</f>
        <v>4</v>
      </c>
      <c r="AI966" s="49">
        <f t="shared" si="47"/>
        <v>0</v>
      </c>
    </row>
    <row r="967" spans="1:35" ht="15" x14ac:dyDescent="0.2">
      <c r="A967" s="193" t="s">
        <v>3218</v>
      </c>
      <c r="B967" s="146" t="s">
        <v>668</v>
      </c>
      <c r="C967" s="193" t="s">
        <v>3218</v>
      </c>
      <c r="D967" s="146" t="s">
        <v>2146</v>
      </c>
      <c r="E967" s="146" t="s">
        <v>670</v>
      </c>
      <c r="F967" s="146" t="s">
        <v>671</v>
      </c>
      <c r="G967" s="146" t="s">
        <v>672</v>
      </c>
      <c r="H967" s="225">
        <v>2.98</v>
      </c>
      <c r="I967" s="146" t="s">
        <v>673</v>
      </c>
      <c r="J967" s="226">
        <v>1</v>
      </c>
      <c r="K967" s="150">
        <v>2021</v>
      </c>
      <c r="L967" s="146" t="s">
        <v>3219</v>
      </c>
      <c r="M967" s="146" t="s">
        <v>3220</v>
      </c>
      <c r="N967" s="164">
        <v>757468355</v>
      </c>
      <c r="O967" s="146" t="s">
        <v>3221</v>
      </c>
      <c r="P967" s="219" t="s">
        <v>676</v>
      </c>
      <c r="Q967" s="150">
        <v>1976</v>
      </c>
      <c r="R967" s="155">
        <v>6</v>
      </c>
      <c r="S967" s="168"/>
      <c r="T967" s="168"/>
      <c r="U967" s="146"/>
      <c r="V967" s="146"/>
      <c r="W967" s="146"/>
      <c r="X967" s="156">
        <v>0</v>
      </c>
      <c r="Y967" s="156">
        <v>0</v>
      </c>
      <c r="Z967" s="157" t="s">
        <v>2703</v>
      </c>
      <c r="AA967" s="174">
        <v>2021</v>
      </c>
      <c r="AB967" s="175">
        <v>9</v>
      </c>
      <c r="AC967" s="175">
        <v>9</v>
      </c>
      <c r="AD967" s="122" t="b">
        <f>IF(ISBLANK(GroupMember[[#This Row],[1. Identifiant interne d’exploitation agricole*]]),"",IF(ISERROR(MATCH(GroupMember[[#This Row],[1. Identifiant interne d’exploitation agricole*]],CertifiedCrop[1. Identifiant interne d’exploitation agricole*],0)),FALSE,TRUE))</f>
        <v>1</v>
      </c>
      <c r="AE967" s="122" t="b">
        <f>IF(ISBLANK(GroupMember[[#This Row],[1. Identifiant interne d’exploitation agricole*]]),"",IF(ISERROR(MATCH(GroupMember[[#This Row],[1. Identifiant interne d’exploitation agricole*]],FarmUnit[1. Identifiant interne d’exploitation agricole*],0)),FALSE,TRUE))</f>
        <v>1</v>
      </c>
      <c r="AF967" s="9" t="str">
        <f t="shared" si="45"/>
        <v>KONDO AIME CESAR</v>
      </c>
      <c r="AG967" s="243" t="str">
        <f t="shared" si="46"/>
        <v>9/9/2021</v>
      </c>
      <c r="AH967" s="51">
        <f>COUNTIFS(Z:Z,Z967,AG:AG,AG967)</f>
        <v>4</v>
      </c>
      <c r="AI967" s="49">
        <f t="shared" si="47"/>
        <v>0</v>
      </c>
    </row>
    <row r="968" spans="1:35" ht="15" x14ac:dyDescent="0.2">
      <c r="A968" s="193" t="s">
        <v>3222</v>
      </c>
      <c r="B968" s="146" t="s">
        <v>668</v>
      </c>
      <c r="C968" s="193" t="s">
        <v>3222</v>
      </c>
      <c r="D968" s="146" t="s">
        <v>2146</v>
      </c>
      <c r="E968" s="146" t="s">
        <v>670</v>
      </c>
      <c r="F968" s="146" t="s">
        <v>671</v>
      </c>
      <c r="G968" s="146" t="s">
        <v>672</v>
      </c>
      <c r="H968" s="225">
        <v>2.89</v>
      </c>
      <c r="I968" s="146" t="s">
        <v>673</v>
      </c>
      <c r="J968" s="226">
        <v>1</v>
      </c>
      <c r="K968" s="150">
        <v>2021</v>
      </c>
      <c r="L968" s="168" t="s">
        <v>765</v>
      </c>
      <c r="M968" s="168" t="s">
        <v>1624</v>
      </c>
      <c r="N968" s="231">
        <v>584001518</v>
      </c>
      <c r="O968" s="146"/>
      <c r="P968" s="219" t="s">
        <v>676</v>
      </c>
      <c r="Q968" s="299"/>
      <c r="R968" s="155">
        <v>9</v>
      </c>
      <c r="S968" s="168"/>
      <c r="T968" s="168"/>
      <c r="U968" s="146"/>
      <c r="V968" s="146"/>
      <c r="W968" s="146"/>
      <c r="X968" s="156">
        <v>0</v>
      </c>
      <c r="Y968" s="156">
        <v>0</v>
      </c>
      <c r="Z968" s="157" t="s">
        <v>2703</v>
      </c>
      <c r="AA968" s="174">
        <v>2021</v>
      </c>
      <c r="AB968" s="175">
        <v>9</v>
      </c>
      <c r="AC968" s="175">
        <v>17</v>
      </c>
      <c r="AD968" s="122" t="b">
        <f>IF(ISBLANK(GroupMember[[#This Row],[1. Identifiant interne d’exploitation agricole*]]),"",IF(ISERROR(MATCH(GroupMember[[#This Row],[1. Identifiant interne d’exploitation agricole*]],CertifiedCrop[1. Identifiant interne d’exploitation agricole*],0)),FALSE,TRUE))</f>
        <v>1</v>
      </c>
      <c r="AE968" s="122" t="b">
        <f>IF(ISBLANK(GroupMember[[#This Row],[1. Identifiant interne d’exploitation agricole*]]),"",IF(ISERROR(MATCH(GroupMember[[#This Row],[1. Identifiant interne d’exploitation agricole*]],FarmUnit[1. Identifiant interne d’exploitation agricole*],0)),FALSE,TRUE))</f>
        <v>1</v>
      </c>
      <c r="AF968" s="9" t="str">
        <f t="shared" si="45"/>
        <v>KONE SOULEYMANE</v>
      </c>
      <c r="AG968" s="243" t="str">
        <f t="shared" si="46"/>
        <v>17/9/2021</v>
      </c>
      <c r="AH968" s="51">
        <f>COUNTIFS(Z:Z,Z968,AG:AG,AG968)</f>
        <v>5</v>
      </c>
      <c r="AI968" s="49">
        <f t="shared" si="47"/>
        <v>0</v>
      </c>
    </row>
    <row r="969" spans="1:35" ht="15" x14ac:dyDescent="0.2">
      <c r="A969" s="193" t="s">
        <v>3223</v>
      </c>
      <c r="B969" s="146" t="s">
        <v>668</v>
      </c>
      <c r="C969" s="193" t="s">
        <v>3223</v>
      </c>
      <c r="D969" s="146" t="s">
        <v>2146</v>
      </c>
      <c r="E969" s="146" t="s">
        <v>670</v>
      </c>
      <c r="F969" s="146" t="s">
        <v>671</v>
      </c>
      <c r="G969" s="146" t="s">
        <v>672</v>
      </c>
      <c r="H969" s="225">
        <v>0.68</v>
      </c>
      <c r="I969" s="146" t="s">
        <v>673</v>
      </c>
      <c r="J969" s="226">
        <v>1</v>
      </c>
      <c r="K969" s="150">
        <v>2021</v>
      </c>
      <c r="L969" s="163" t="s">
        <v>3224</v>
      </c>
      <c r="M969" s="163" t="s">
        <v>3225</v>
      </c>
      <c r="N969" s="164"/>
      <c r="O969" s="146"/>
      <c r="P969" s="219" t="s">
        <v>676</v>
      </c>
      <c r="Q969" s="150"/>
      <c r="R969" s="155">
        <v>8</v>
      </c>
      <c r="S969" s="168"/>
      <c r="T969" s="168"/>
      <c r="U969" s="146"/>
      <c r="V969" s="146"/>
      <c r="W969" s="146"/>
      <c r="X969" s="156">
        <v>0</v>
      </c>
      <c r="Y969" s="156">
        <v>0</v>
      </c>
      <c r="Z969" s="157" t="s">
        <v>2703</v>
      </c>
      <c r="AA969" s="174">
        <v>2021</v>
      </c>
      <c r="AB969" s="175">
        <v>9</v>
      </c>
      <c r="AC969" s="175">
        <v>3</v>
      </c>
      <c r="AD969" s="122" t="b">
        <f>IF(ISBLANK(GroupMember[[#This Row],[1. Identifiant interne d’exploitation agricole*]]),"",IF(ISERROR(MATCH(GroupMember[[#This Row],[1. Identifiant interne d’exploitation agricole*]],CertifiedCrop[1. Identifiant interne d’exploitation agricole*],0)),FALSE,TRUE))</f>
        <v>1</v>
      </c>
      <c r="AE969" s="122" t="b">
        <f>IF(ISBLANK(GroupMember[[#This Row],[1. Identifiant interne d’exploitation agricole*]]),"",IF(ISERROR(MATCH(GroupMember[[#This Row],[1. Identifiant interne d’exploitation agricole*]],FarmUnit[1. Identifiant interne d’exploitation agricole*],0)),FALSE,TRUE))</f>
        <v>1</v>
      </c>
      <c r="AF969" s="9" t="str">
        <f t="shared" si="45"/>
        <v>KPAN  JOEL</v>
      </c>
      <c r="AG969" s="243" t="str">
        <f t="shared" si="46"/>
        <v>3/9/2021</v>
      </c>
      <c r="AH969" s="51">
        <f>COUNTIFS(Z:Z,Z969,AG:AG,AG969)</f>
        <v>5</v>
      </c>
      <c r="AI969" s="49">
        <f t="shared" si="47"/>
        <v>0</v>
      </c>
    </row>
    <row r="970" spans="1:35" ht="15" x14ac:dyDescent="0.2">
      <c r="A970" s="193" t="s">
        <v>3226</v>
      </c>
      <c r="B970" s="146" t="s">
        <v>668</v>
      </c>
      <c r="C970" s="193" t="s">
        <v>3226</v>
      </c>
      <c r="D970" s="146" t="s">
        <v>2146</v>
      </c>
      <c r="E970" s="146" t="s">
        <v>670</v>
      </c>
      <c r="F970" s="146" t="s">
        <v>671</v>
      </c>
      <c r="G970" s="146" t="s">
        <v>672</v>
      </c>
      <c r="H970" s="227">
        <v>8.76</v>
      </c>
      <c r="I970" s="146" t="s">
        <v>673</v>
      </c>
      <c r="J970" s="226">
        <v>2</v>
      </c>
      <c r="K970" s="150">
        <v>2021</v>
      </c>
      <c r="L970" s="230" t="s">
        <v>2385</v>
      </c>
      <c r="M970" s="230" t="s">
        <v>753</v>
      </c>
      <c r="N970" s="228">
        <v>709218176</v>
      </c>
      <c r="O970" s="180" t="s">
        <v>3227</v>
      </c>
      <c r="P970" s="229" t="s">
        <v>676</v>
      </c>
      <c r="Q970" s="150">
        <v>1981</v>
      </c>
      <c r="R970" s="155">
        <v>7</v>
      </c>
      <c r="S970" s="168"/>
      <c r="T970" s="168"/>
      <c r="U970" s="146"/>
      <c r="V970" s="146"/>
      <c r="W970" s="146"/>
      <c r="X970" s="156">
        <v>0</v>
      </c>
      <c r="Y970" s="156">
        <v>0</v>
      </c>
      <c r="Z970" s="157" t="s">
        <v>2703</v>
      </c>
      <c r="AA970" s="174">
        <v>2021</v>
      </c>
      <c r="AB970" s="175">
        <v>9</v>
      </c>
      <c r="AC970" s="175">
        <v>17</v>
      </c>
      <c r="AD970" s="122" t="b">
        <f>IF(ISBLANK(GroupMember[[#This Row],[1. Identifiant interne d’exploitation agricole*]]),"",IF(ISERROR(MATCH(GroupMember[[#This Row],[1. Identifiant interne d’exploitation agricole*]],CertifiedCrop[1. Identifiant interne d’exploitation agricole*],0)),FALSE,TRUE))</f>
        <v>1</v>
      </c>
      <c r="AE970" s="122" t="b">
        <f>IF(ISBLANK(GroupMember[[#This Row],[1. Identifiant interne d’exploitation agricole*]]),"",IF(ISERROR(MATCH(GroupMember[[#This Row],[1. Identifiant interne d’exploitation agricole*]],FarmUnit[1. Identifiant interne d’exploitation agricole*],0)),FALSE,TRUE))</f>
        <v>1</v>
      </c>
      <c r="AF970" s="9" t="str">
        <f t="shared" si="45"/>
        <v>NABI ADAMA</v>
      </c>
      <c r="AG970" s="243" t="str">
        <f t="shared" si="46"/>
        <v>17/9/2021</v>
      </c>
      <c r="AH970" s="51">
        <f>COUNTIFS(Z:Z,Z970,AG:AG,AG970)</f>
        <v>5</v>
      </c>
      <c r="AI970" s="49">
        <f t="shared" si="47"/>
        <v>0</v>
      </c>
    </row>
    <row r="971" spans="1:35" ht="15" x14ac:dyDescent="0.2">
      <c r="A971" s="193" t="s">
        <v>3228</v>
      </c>
      <c r="B971" s="146" t="s">
        <v>668</v>
      </c>
      <c r="C971" s="193" t="s">
        <v>3228</v>
      </c>
      <c r="D971" s="146" t="s">
        <v>2146</v>
      </c>
      <c r="E971" s="146" t="s">
        <v>670</v>
      </c>
      <c r="F971" s="146" t="s">
        <v>671</v>
      </c>
      <c r="G971" s="146" t="s">
        <v>672</v>
      </c>
      <c r="H971" s="227">
        <v>3.2</v>
      </c>
      <c r="I971" s="146" t="s">
        <v>673</v>
      </c>
      <c r="J971" s="226">
        <v>2</v>
      </c>
      <c r="K971" s="150">
        <v>2021</v>
      </c>
      <c r="L971" s="230" t="s">
        <v>3229</v>
      </c>
      <c r="M971" s="230" t="s">
        <v>3230</v>
      </c>
      <c r="N971" s="232">
        <v>759481979</v>
      </c>
      <c r="O971" s="233" t="s">
        <v>3231</v>
      </c>
      <c r="P971" s="229" t="s">
        <v>676</v>
      </c>
      <c r="Q971" s="150">
        <v>1973</v>
      </c>
      <c r="R971" s="155">
        <v>4</v>
      </c>
      <c r="S971" s="168"/>
      <c r="T971" s="168"/>
      <c r="U971" s="146"/>
      <c r="V971" s="146"/>
      <c r="W971" s="146"/>
      <c r="X971" s="156">
        <v>0</v>
      </c>
      <c r="Y971" s="156">
        <v>0</v>
      </c>
      <c r="Z971" s="157" t="s">
        <v>2703</v>
      </c>
      <c r="AA971" s="174">
        <v>2021</v>
      </c>
      <c r="AB971" s="175">
        <v>9</v>
      </c>
      <c r="AC971" s="175">
        <v>6</v>
      </c>
      <c r="AD971" s="122" t="b">
        <f>IF(ISBLANK(GroupMember[[#This Row],[1. Identifiant interne d’exploitation agricole*]]),"",IF(ISERROR(MATCH(GroupMember[[#This Row],[1. Identifiant interne d’exploitation agricole*]],CertifiedCrop[1. Identifiant interne d’exploitation agricole*],0)),FALSE,TRUE))</f>
        <v>1</v>
      </c>
      <c r="AE971" s="122" t="b">
        <f>IF(ISBLANK(GroupMember[[#This Row],[1. Identifiant interne d’exploitation agricole*]]),"",IF(ISERROR(MATCH(GroupMember[[#This Row],[1. Identifiant interne d’exploitation agricole*]],FarmUnit[1. Identifiant interne d’exploitation agricole*],0)),FALSE,TRUE))</f>
        <v>1</v>
      </c>
      <c r="AF971" s="9" t="str">
        <f t="shared" si="45"/>
        <v>OUAKELE ANDERSON</v>
      </c>
      <c r="AG971" s="243" t="str">
        <f t="shared" si="46"/>
        <v>6/9/2021</v>
      </c>
      <c r="AH971" s="51">
        <f>COUNTIFS(Z:Z,Z971,AG:AG,AG971)</f>
        <v>4</v>
      </c>
      <c r="AI971" s="49">
        <f t="shared" si="47"/>
        <v>0</v>
      </c>
    </row>
    <row r="972" spans="1:35" ht="15" x14ac:dyDescent="0.2">
      <c r="A972" s="193" t="s">
        <v>3232</v>
      </c>
      <c r="B972" s="146" t="s">
        <v>668</v>
      </c>
      <c r="C972" s="193" t="s">
        <v>3232</v>
      </c>
      <c r="D972" s="146" t="s">
        <v>2146</v>
      </c>
      <c r="E972" s="146" t="s">
        <v>670</v>
      </c>
      <c r="F972" s="146" t="s">
        <v>671</v>
      </c>
      <c r="G972" s="146" t="s">
        <v>672</v>
      </c>
      <c r="H972" s="234">
        <v>2.66</v>
      </c>
      <c r="I972" s="146" t="s">
        <v>673</v>
      </c>
      <c r="J972" s="226">
        <v>1</v>
      </c>
      <c r="K972" s="150">
        <v>2021</v>
      </c>
      <c r="L972" s="235" t="s">
        <v>707</v>
      </c>
      <c r="M972" s="235" t="s">
        <v>2787</v>
      </c>
      <c r="N972" s="236">
        <v>546929930</v>
      </c>
      <c r="O972" s="146"/>
      <c r="P972" s="237" t="s">
        <v>676</v>
      </c>
      <c r="Q972" s="299"/>
      <c r="R972" s="155">
        <v>5</v>
      </c>
      <c r="S972" s="168"/>
      <c r="T972" s="168"/>
      <c r="U972" s="146"/>
      <c r="V972" s="146"/>
      <c r="W972" s="146"/>
      <c r="X972" s="156">
        <v>0</v>
      </c>
      <c r="Y972" s="156">
        <v>0</v>
      </c>
      <c r="Z972" s="157" t="s">
        <v>2703</v>
      </c>
      <c r="AA972" s="174">
        <v>2021</v>
      </c>
      <c r="AB972" s="175">
        <v>9</v>
      </c>
      <c r="AC972" s="175">
        <v>16</v>
      </c>
      <c r="AD972" s="122" t="b">
        <f>IF(ISBLANK(GroupMember[[#This Row],[1. Identifiant interne d’exploitation agricole*]]),"",IF(ISERROR(MATCH(GroupMember[[#This Row],[1. Identifiant interne d’exploitation agricole*]],CertifiedCrop[1. Identifiant interne d’exploitation agricole*],0)),FALSE,TRUE))</f>
        <v>1</v>
      </c>
      <c r="AE972" s="122" t="b">
        <f>IF(ISBLANK(GroupMember[[#This Row],[1. Identifiant interne d’exploitation agricole*]]),"",IF(ISERROR(MATCH(GroupMember[[#This Row],[1. Identifiant interne d’exploitation agricole*]],FarmUnit[1. Identifiant interne d’exploitation agricole*],0)),FALSE,TRUE))</f>
        <v>1</v>
      </c>
      <c r="AF972" s="9" t="str">
        <f t="shared" si="45"/>
        <v>OUEDRAOGO ABOULAYE</v>
      </c>
      <c r="AG972" s="243" t="str">
        <f t="shared" si="46"/>
        <v>16/9/2021</v>
      </c>
      <c r="AH972" s="51">
        <f>COUNTIFS(Z:Z,Z972,AG:AG,AG972)</f>
        <v>5</v>
      </c>
      <c r="AI972" s="49">
        <f t="shared" si="47"/>
        <v>0</v>
      </c>
    </row>
    <row r="973" spans="1:35" ht="15" x14ac:dyDescent="0.2">
      <c r="A973" s="193" t="s">
        <v>3233</v>
      </c>
      <c r="B973" s="146" t="s">
        <v>668</v>
      </c>
      <c r="C973" s="193" t="s">
        <v>3233</v>
      </c>
      <c r="D973" s="146" t="s">
        <v>2146</v>
      </c>
      <c r="E973" s="146" t="s">
        <v>670</v>
      </c>
      <c r="F973" s="146" t="s">
        <v>671</v>
      </c>
      <c r="G973" s="146" t="s">
        <v>672</v>
      </c>
      <c r="H973" s="225">
        <v>6.2</v>
      </c>
      <c r="I973" s="146" t="s">
        <v>673</v>
      </c>
      <c r="J973" s="226">
        <v>1</v>
      </c>
      <c r="K973" s="150">
        <v>2021</v>
      </c>
      <c r="L973" s="146" t="s">
        <v>707</v>
      </c>
      <c r="M973" s="146" t="s">
        <v>3234</v>
      </c>
      <c r="N973" s="164">
        <v>748136740</v>
      </c>
      <c r="O973" s="146" t="s">
        <v>3235</v>
      </c>
      <c r="P973" s="219" t="s">
        <v>676</v>
      </c>
      <c r="Q973" s="150">
        <v>1983</v>
      </c>
      <c r="R973" s="155">
        <v>7</v>
      </c>
      <c r="S973" s="168"/>
      <c r="T973" s="168"/>
      <c r="U973" s="146"/>
      <c r="V973" s="146"/>
      <c r="W973" s="146"/>
      <c r="X973" s="156">
        <v>0</v>
      </c>
      <c r="Y973" s="156">
        <v>0</v>
      </c>
      <c r="Z973" s="157" t="s">
        <v>2703</v>
      </c>
      <c r="AA973" s="174">
        <v>2021</v>
      </c>
      <c r="AB973" s="175">
        <v>9</v>
      </c>
      <c r="AC973" s="175">
        <v>7</v>
      </c>
      <c r="AD973" s="122" t="b">
        <f>IF(ISBLANK(GroupMember[[#This Row],[1. Identifiant interne d’exploitation agricole*]]),"",IF(ISERROR(MATCH(GroupMember[[#This Row],[1. Identifiant interne d’exploitation agricole*]],CertifiedCrop[1. Identifiant interne d’exploitation agricole*],0)),FALSE,TRUE))</f>
        <v>1</v>
      </c>
      <c r="AE973" s="122" t="b">
        <f>IF(ISBLANK(GroupMember[[#This Row],[1. Identifiant interne d’exploitation agricole*]]),"",IF(ISERROR(MATCH(GroupMember[[#This Row],[1. Identifiant interne d’exploitation agricole*]],FarmUnit[1. Identifiant interne d’exploitation agricole*],0)),FALSE,TRUE))</f>
        <v>1</v>
      </c>
      <c r="AF973" s="9" t="str">
        <f t="shared" si="45"/>
        <v>OUEDRAOGO DONAL ISSAKA</v>
      </c>
      <c r="AG973" s="243" t="str">
        <f t="shared" si="46"/>
        <v>7/9/2021</v>
      </c>
      <c r="AH973" s="51">
        <f>COUNTIFS(Z:Z,Z973,AG:AG,AG973)</f>
        <v>4</v>
      </c>
      <c r="AI973" s="49">
        <f t="shared" si="47"/>
        <v>0</v>
      </c>
    </row>
    <row r="974" spans="1:35" ht="15" x14ac:dyDescent="0.2">
      <c r="A974" s="193" t="s">
        <v>3236</v>
      </c>
      <c r="B974" s="146" t="s">
        <v>668</v>
      </c>
      <c r="C974" s="193" t="s">
        <v>3236</v>
      </c>
      <c r="D974" s="146" t="s">
        <v>2146</v>
      </c>
      <c r="E974" s="146" t="s">
        <v>670</v>
      </c>
      <c r="F974" s="146" t="s">
        <v>671</v>
      </c>
      <c r="G974" s="146" t="s">
        <v>672</v>
      </c>
      <c r="H974" s="225">
        <v>2.87</v>
      </c>
      <c r="I974" s="146" t="s">
        <v>673</v>
      </c>
      <c r="J974" s="226">
        <v>1</v>
      </c>
      <c r="K974" s="150">
        <v>2021</v>
      </c>
      <c r="L974" s="163" t="s">
        <v>707</v>
      </c>
      <c r="M974" s="238" t="s">
        <v>2771</v>
      </c>
      <c r="N974" s="239"/>
      <c r="O974" s="146"/>
      <c r="P974" s="219" t="s">
        <v>676</v>
      </c>
      <c r="Q974" s="299">
        <v>1983</v>
      </c>
      <c r="R974" s="155">
        <v>45</v>
      </c>
      <c r="S974" s="168"/>
      <c r="T974" s="168"/>
      <c r="U974" s="146"/>
      <c r="V974" s="146"/>
      <c r="W974" s="146"/>
      <c r="X974" s="156">
        <v>0</v>
      </c>
      <c r="Y974" s="156">
        <v>0</v>
      </c>
      <c r="Z974" s="157" t="s">
        <v>2703</v>
      </c>
      <c r="AA974" s="174">
        <v>2021</v>
      </c>
      <c r="AB974" s="175">
        <v>9</v>
      </c>
      <c r="AC974" s="175">
        <v>11</v>
      </c>
      <c r="AD974" s="122" t="b">
        <f>IF(ISBLANK(GroupMember[[#This Row],[1. Identifiant interne d’exploitation agricole*]]),"",IF(ISERROR(MATCH(GroupMember[[#This Row],[1. Identifiant interne d’exploitation agricole*]],CertifiedCrop[1. Identifiant interne d’exploitation agricole*],0)),FALSE,TRUE))</f>
        <v>1</v>
      </c>
      <c r="AE974" s="122" t="b">
        <f>IF(ISBLANK(GroupMember[[#This Row],[1. Identifiant interne d’exploitation agricole*]]),"",IF(ISERROR(MATCH(GroupMember[[#This Row],[1. Identifiant interne d’exploitation agricole*]],FarmUnit[1. Identifiant interne d’exploitation agricole*],0)),FALSE,TRUE))</f>
        <v>1</v>
      </c>
      <c r="AF974" s="9" t="str">
        <f t="shared" si="45"/>
        <v>OUEDRAOGO SIBRIL</v>
      </c>
      <c r="AG974" s="243" t="str">
        <f t="shared" si="46"/>
        <v>11/9/2021</v>
      </c>
      <c r="AH974" s="51">
        <f>COUNTIFS(Z:Z,Z974,AG:AG,AG974)</f>
        <v>5</v>
      </c>
      <c r="AI974" s="49">
        <f t="shared" si="47"/>
        <v>0</v>
      </c>
    </row>
    <row r="975" spans="1:35" ht="15" x14ac:dyDescent="0.2">
      <c r="A975" s="193" t="s">
        <v>3237</v>
      </c>
      <c r="B975" s="146" t="s">
        <v>668</v>
      </c>
      <c r="C975" s="193" t="s">
        <v>3237</v>
      </c>
      <c r="D975" s="146" t="s">
        <v>2146</v>
      </c>
      <c r="E975" s="146" t="s">
        <v>670</v>
      </c>
      <c r="F975" s="146" t="s">
        <v>671</v>
      </c>
      <c r="G975" s="146" t="s">
        <v>672</v>
      </c>
      <c r="H975" s="225">
        <v>1.82</v>
      </c>
      <c r="I975" s="146" t="s">
        <v>673</v>
      </c>
      <c r="J975" s="226">
        <v>1</v>
      </c>
      <c r="K975" s="150">
        <v>2021</v>
      </c>
      <c r="L975" s="163" t="s">
        <v>707</v>
      </c>
      <c r="M975" s="163" t="s">
        <v>3238</v>
      </c>
      <c r="N975" s="164">
        <v>767663993</v>
      </c>
      <c r="O975" s="146"/>
      <c r="P975" s="219" t="s">
        <v>676</v>
      </c>
      <c r="Q975" s="150"/>
      <c r="R975" s="155">
        <v>8</v>
      </c>
      <c r="S975" s="168"/>
      <c r="T975" s="168"/>
      <c r="U975" s="146"/>
      <c r="V975" s="146"/>
      <c r="W975" s="146"/>
      <c r="X975" s="156">
        <v>0</v>
      </c>
      <c r="Y975" s="156">
        <v>0</v>
      </c>
      <c r="Z975" s="157" t="s">
        <v>2703</v>
      </c>
      <c r="AA975" s="174">
        <v>2021</v>
      </c>
      <c r="AB975" s="175">
        <v>9</v>
      </c>
      <c r="AC975" s="175">
        <v>14</v>
      </c>
      <c r="AD975" s="122" t="b">
        <f>IF(ISBLANK(GroupMember[[#This Row],[1. Identifiant interne d’exploitation agricole*]]),"",IF(ISERROR(MATCH(GroupMember[[#This Row],[1. Identifiant interne d’exploitation agricole*]],CertifiedCrop[1. Identifiant interne d’exploitation agricole*],0)),FALSE,TRUE))</f>
        <v>1</v>
      </c>
      <c r="AE975" s="122" t="b">
        <f>IF(ISBLANK(GroupMember[[#This Row],[1. Identifiant interne d’exploitation agricole*]]),"",IF(ISERROR(MATCH(GroupMember[[#This Row],[1. Identifiant interne d’exploitation agricole*]],FarmUnit[1. Identifiant interne d’exploitation agricole*],0)),FALSE,TRUE))</f>
        <v>1</v>
      </c>
      <c r="AF975" s="9" t="str">
        <f t="shared" si="45"/>
        <v>OUEDRAOGO YEMDAOGO</v>
      </c>
      <c r="AG975" s="243" t="str">
        <f t="shared" si="46"/>
        <v>14/9/2021</v>
      </c>
      <c r="AH975" s="51">
        <f>COUNTIFS(Z:Z,Z975,AG:AG,AG975)</f>
        <v>3</v>
      </c>
      <c r="AI975" s="49">
        <f t="shared" si="47"/>
        <v>0</v>
      </c>
    </row>
    <row r="976" spans="1:35" ht="15" x14ac:dyDescent="0.2">
      <c r="A976" s="193" t="s">
        <v>3239</v>
      </c>
      <c r="B976" s="146" t="s">
        <v>668</v>
      </c>
      <c r="C976" s="193" t="s">
        <v>3239</v>
      </c>
      <c r="D976" s="146" t="s">
        <v>2146</v>
      </c>
      <c r="E976" s="146" t="s">
        <v>670</v>
      </c>
      <c r="F976" s="146" t="s">
        <v>671</v>
      </c>
      <c r="G976" s="146" t="s">
        <v>672</v>
      </c>
      <c r="H976" s="225">
        <v>3.49</v>
      </c>
      <c r="I976" s="146" t="s">
        <v>673</v>
      </c>
      <c r="J976" s="226">
        <v>1</v>
      </c>
      <c r="K976" s="150">
        <v>2021</v>
      </c>
      <c r="L976" s="168" t="s">
        <v>707</v>
      </c>
      <c r="M976" s="168" t="s">
        <v>3240</v>
      </c>
      <c r="N976" s="164">
        <v>757579515</v>
      </c>
      <c r="O976" s="146"/>
      <c r="P976" s="219" t="s">
        <v>676</v>
      </c>
      <c r="Q976" s="150"/>
      <c r="R976" s="155">
        <v>6</v>
      </c>
      <c r="S976" s="168"/>
      <c r="T976" s="168"/>
      <c r="U976" s="146"/>
      <c r="V976" s="146"/>
      <c r="W976" s="146"/>
      <c r="X976" s="156">
        <v>0</v>
      </c>
      <c r="Y976" s="156">
        <v>0</v>
      </c>
      <c r="Z976" s="157" t="s">
        <v>2703</v>
      </c>
      <c r="AA976" s="174">
        <v>2021</v>
      </c>
      <c r="AB976" s="175">
        <v>9</v>
      </c>
      <c r="AC976" s="175">
        <v>3</v>
      </c>
      <c r="AD976" s="122" t="b">
        <f>IF(ISBLANK(GroupMember[[#This Row],[1. Identifiant interne d’exploitation agricole*]]),"",IF(ISERROR(MATCH(GroupMember[[#This Row],[1. Identifiant interne d’exploitation agricole*]],CertifiedCrop[1. Identifiant interne d’exploitation agricole*],0)),FALSE,TRUE))</f>
        <v>1</v>
      </c>
      <c r="AE976" s="122" t="b">
        <f>IF(ISBLANK(GroupMember[[#This Row],[1. Identifiant interne d’exploitation agricole*]]),"",IF(ISERROR(MATCH(GroupMember[[#This Row],[1. Identifiant interne d’exploitation agricole*]],FarmUnit[1. Identifiant interne d’exploitation agricole*],0)),FALSE,TRUE))</f>
        <v>1</v>
      </c>
      <c r="AF976" s="9" t="str">
        <f t="shared" si="45"/>
        <v>OUEDRAOGO ASOUMANNI</v>
      </c>
      <c r="AG976" s="243" t="str">
        <f t="shared" si="46"/>
        <v>3/9/2021</v>
      </c>
      <c r="AH976" s="51">
        <f>COUNTIFS(Z:Z,Z976,AG:AG,AG976)</f>
        <v>5</v>
      </c>
      <c r="AI976" s="49">
        <f t="shared" si="47"/>
        <v>0</v>
      </c>
    </row>
    <row r="977" spans="1:35" ht="15" x14ac:dyDescent="0.2">
      <c r="A977" s="193" t="s">
        <v>3241</v>
      </c>
      <c r="B977" s="146" t="s">
        <v>668</v>
      </c>
      <c r="C977" s="193" t="s">
        <v>3241</v>
      </c>
      <c r="D977" s="146" t="s">
        <v>2146</v>
      </c>
      <c r="E977" s="146" t="s">
        <v>670</v>
      </c>
      <c r="F977" s="146" t="s">
        <v>671</v>
      </c>
      <c r="G977" s="146" t="s">
        <v>672</v>
      </c>
      <c r="H977" s="225">
        <v>2.44</v>
      </c>
      <c r="I977" s="146" t="s">
        <v>673</v>
      </c>
      <c r="J977" s="226">
        <v>1</v>
      </c>
      <c r="K977" s="150">
        <v>2021</v>
      </c>
      <c r="L977" s="168" t="s">
        <v>1967</v>
      </c>
      <c r="M977" s="168" t="s">
        <v>3242</v>
      </c>
      <c r="N977" s="164">
        <v>787666090</v>
      </c>
      <c r="O977" s="146" t="s">
        <v>3243</v>
      </c>
      <c r="P977" s="219" t="s">
        <v>676</v>
      </c>
      <c r="Q977" s="150">
        <v>1976</v>
      </c>
      <c r="R977" s="155">
        <v>5</v>
      </c>
      <c r="S977" s="168"/>
      <c r="T977" s="168"/>
      <c r="U977" s="146"/>
      <c r="V977" s="146"/>
      <c r="W977" s="146"/>
      <c r="X977" s="156">
        <v>0</v>
      </c>
      <c r="Y977" s="156">
        <v>0</v>
      </c>
      <c r="Z977" s="157" t="s">
        <v>2703</v>
      </c>
      <c r="AA977" s="174">
        <v>2021</v>
      </c>
      <c r="AB977" s="175">
        <v>9</v>
      </c>
      <c r="AC977" s="175">
        <v>9</v>
      </c>
      <c r="AD977" s="122" t="b">
        <f>IF(ISBLANK(GroupMember[[#This Row],[1. Identifiant interne d’exploitation agricole*]]),"",IF(ISERROR(MATCH(GroupMember[[#This Row],[1. Identifiant interne d’exploitation agricole*]],CertifiedCrop[1. Identifiant interne d’exploitation agricole*],0)),FALSE,TRUE))</f>
        <v>1</v>
      </c>
      <c r="AE977" s="122" t="b">
        <f>IF(ISBLANK(GroupMember[[#This Row],[1. Identifiant interne d’exploitation agricole*]]),"",IF(ISERROR(MATCH(GroupMember[[#This Row],[1. Identifiant interne d’exploitation agricole*]],FarmUnit[1. Identifiant interne d’exploitation agricole*],0)),FALSE,TRUE))</f>
        <v>1</v>
      </c>
      <c r="AF977" s="9" t="str">
        <f t="shared" si="45"/>
        <v>OULAI DJEHOUE</v>
      </c>
      <c r="AG977" s="243" t="str">
        <f t="shared" si="46"/>
        <v>9/9/2021</v>
      </c>
      <c r="AH977" s="51">
        <f>COUNTIFS(Z:Z,Z977,AG:AG,AG977)</f>
        <v>4</v>
      </c>
      <c r="AI977" s="49">
        <f t="shared" si="47"/>
        <v>0</v>
      </c>
    </row>
    <row r="978" spans="1:35" ht="15" x14ac:dyDescent="0.2">
      <c r="A978" s="193" t="s">
        <v>3244</v>
      </c>
      <c r="B978" s="146" t="s">
        <v>668</v>
      </c>
      <c r="C978" s="193" t="s">
        <v>3244</v>
      </c>
      <c r="D978" s="146" t="s">
        <v>2146</v>
      </c>
      <c r="E978" s="146" t="s">
        <v>670</v>
      </c>
      <c r="F978" s="146" t="s">
        <v>671</v>
      </c>
      <c r="G978" s="146" t="s">
        <v>672</v>
      </c>
      <c r="H978" s="225">
        <v>7.59</v>
      </c>
      <c r="I978" s="146" t="s">
        <v>673</v>
      </c>
      <c r="J978" s="226">
        <v>1</v>
      </c>
      <c r="K978" s="150">
        <v>2021</v>
      </c>
      <c r="L978" s="163" t="s">
        <v>3245</v>
      </c>
      <c r="M978" s="163" t="s">
        <v>3246</v>
      </c>
      <c r="N978" s="164">
        <v>767681853</v>
      </c>
      <c r="O978" s="146" t="s">
        <v>3247</v>
      </c>
      <c r="P978" s="219" t="s">
        <v>676</v>
      </c>
      <c r="Q978" s="150">
        <v>1988</v>
      </c>
      <c r="R978" s="155">
        <v>4</v>
      </c>
      <c r="S978" s="168"/>
      <c r="T978" s="168"/>
      <c r="U978" s="146"/>
      <c r="V978" s="146"/>
      <c r="W978" s="146"/>
      <c r="X978" s="156">
        <v>0</v>
      </c>
      <c r="Y978" s="156">
        <v>0</v>
      </c>
      <c r="Z978" s="157" t="s">
        <v>2703</v>
      </c>
      <c r="AA978" s="174">
        <v>2021</v>
      </c>
      <c r="AB978" s="175">
        <v>9</v>
      </c>
      <c r="AC978" s="175">
        <v>11</v>
      </c>
      <c r="AD978" s="122" t="b">
        <f>IF(ISBLANK(GroupMember[[#This Row],[1. Identifiant interne d’exploitation agricole*]]),"",IF(ISERROR(MATCH(GroupMember[[#This Row],[1. Identifiant interne d’exploitation agricole*]],CertifiedCrop[1. Identifiant interne d’exploitation agricole*],0)),FALSE,TRUE))</f>
        <v>1</v>
      </c>
      <c r="AE978" s="122" t="b">
        <f>IF(ISBLANK(GroupMember[[#This Row],[1. Identifiant interne d’exploitation agricole*]]),"",IF(ISERROR(MATCH(GroupMember[[#This Row],[1. Identifiant interne d’exploitation agricole*]],FarmUnit[1. Identifiant interne d’exploitation agricole*],0)),FALSE,TRUE))</f>
        <v>1</v>
      </c>
      <c r="AF978" s="9" t="str">
        <f t="shared" si="45"/>
        <v>SALOU KOUKA</v>
      </c>
      <c r="AG978" s="243" t="str">
        <f t="shared" si="46"/>
        <v>11/9/2021</v>
      </c>
      <c r="AH978" s="51">
        <f>COUNTIFS(Z:Z,Z978,AG:AG,AG978)</f>
        <v>5</v>
      </c>
      <c r="AI978" s="49">
        <f t="shared" si="47"/>
        <v>0</v>
      </c>
    </row>
    <row r="979" spans="1:35" ht="15" x14ac:dyDescent="0.2">
      <c r="A979" s="193" t="s">
        <v>3248</v>
      </c>
      <c r="B979" s="146" t="s">
        <v>668</v>
      </c>
      <c r="C979" s="193" t="s">
        <v>3248</v>
      </c>
      <c r="D979" s="146" t="s">
        <v>2146</v>
      </c>
      <c r="E979" s="146" t="s">
        <v>670</v>
      </c>
      <c r="F979" s="146" t="s">
        <v>671</v>
      </c>
      <c r="G979" s="146" t="s">
        <v>672</v>
      </c>
      <c r="H979" s="225">
        <v>1.8</v>
      </c>
      <c r="I979" s="146" t="s">
        <v>673</v>
      </c>
      <c r="J979" s="226">
        <v>1</v>
      </c>
      <c r="K979" s="150">
        <v>2021</v>
      </c>
      <c r="L979" s="146" t="s">
        <v>939</v>
      </c>
      <c r="M979" s="146" t="s">
        <v>3249</v>
      </c>
      <c r="N979" s="164">
        <v>779124950</v>
      </c>
      <c r="O979" s="146"/>
      <c r="P979" s="219" t="s">
        <v>676</v>
      </c>
      <c r="Q979" s="299"/>
      <c r="R979" s="155">
        <v>7</v>
      </c>
      <c r="S979" s="168"/>
      <c r="T979" s="168"/>
      <c r="U979" s="146"/>
      <c r="V979" s="146"/>
      <c r="W979" s="146"/>
      <c r="X979" s="156">
        <v>0</v>
      </c>
      <c r="Y979" s="156">
        <v>0</v>
      </c>
      <c r="Z979" s="157" t="s">
        <v>2703</v>
      </c>
      <c r="AA979" s="174">
        <v>2021</v>
      </c>
      <c r="AB979" s="175">
        <v>9</v>
      </c>
      <c r="AC979" s="175">
        <v>4</v>
      </c>
      <c r="AD979" s="122" t="b">
        <f>IF(ISBLANK(GroupMember[[#This Row],[1. Identifiant interne d’exploitation agricole*]]),"",IF(ISERROR(MATCH(GroupMember[[#This Row],[1. Identifiant interne d’exploitation agricole*]],CertifiedCrop[1. Identifiant interne d’exploitation agricole*],0)),FALSE,TRUE))</f>
        <v>1</v>
      </c>
      <c r="AE979" s="122" t="b">
        <f>IF(ISBLANK(GroupMember[[#This Row],[1. Identifiant interne d’exploitation agricole*]]),"",IF(ISERROR(MATCH(GroupMember[[#This Row],[1. Identifiant interne d’exploitation agricole*]],FarmUnit[1. Identifiant interne d’exploitation agricole*],0)),FALSE,TRUE))</f>
        <v>1</v>
      </c>
      <c r="AF979" s="9" t="str">
        <f t="shared" si="45"/>
        <v>SANOGO AROUNA</v>
      </c>
      <c r="AG979" s="243" t="str">
        <f t="shared" si="46"/>
        <v>4/9/2021</v>
      </c>
      <c r="AH979" s="51">
        <f>COUNTIFS(Z:Z,Z979,AG:AG,AG979)</f>
        <v>5</v>
      </c>
      <c r="AI979" s="49">
        <f t="shared" si="47"/>
        <v>0</v>
      </c>
    </row>
    <row r="980" spans="1:35" ht="15" x14ac:dyDescent="0.2">
      <c r="A980" s="193" t="s">
        <v>3250</v>
      </c>
      <c r="B980" s="146" t="s">
        <v>668</v>
      </c>
      <c r="C980" s="193" t="s">
        <v>3250</v>
      </c>
      <c r="D980" s="146" t="s">
        <v>2146</v>
      </c>
      <c r="E980" s="146" t="s">
        <v>670</v>
      </c>
      <c r="F980" s="146" t="s">
        <v>671</v>
      </c>
      <c r="G980" s="146" t="s">
        <v>672</v>
      </c>
      <c r="H980" s="225">
        <v>1.62</v>
      </c>
      <c r="I980" s="146" t="s">
        <v>673</v>
      </c>
      <c r="J980" s="226">
        <v>1</v>
      </c>
      <c r="K980" s="150">
        <v>2021</v>
      </c>
      <c r="L980" s="146" t="s">
        <v>3251</v>
      </c>
      <c r="M980" s="146" t="s">
        <v>2730</v>
      </c>
      <c r="N980" s="164">
        <v>565257302</v>
      </c>
      <c r="O980" s="146" t="s">
        <v>3252</v>
      </c>
      <c r="P980" s="219" t="s">
        <v>676</v>
      </c>
      <c r="Q980" s="150">
        <v>1990</v>
      </c>
      <c r="R980" s="155">
        <v>4</v>
      </c>
      <c r="S980" s="168"/>
      <c r="T980" s="168"/>
      <c r="U980" s="146"/>
      <c r="V980" s="146"/>
      <c r="W980" s="146"/>
      <c r="X980" s="156">
        <v>0</v>
      </c>
      <c r="Y980" s="156">
        <v>0</v>
      </c>
      <c r="Z980" s="157" t="s">
        <v>2703</v>
      </c>
      <c r="AA980" s="174">
        <v>2021</v>
      </c>
      <c r="AB980" s="175">
        <v>9</v>
      </c>
      <c r="AC980" s="175">
        <v>14</v>
      </c>
      <c r="AD980" s="122" t="b">
        <f>IF(ISBLANK(GroupMember[[#This Row],[1. Identifiant interne d’exploitation agricole*]]),"",IF(ISERROR(MATCH(GroupMember[[#This Row],[1. Identifiant interne d’exploitation agricole*]],CertifiedCrop[1. Identifiant interne d’exploitation agricole*],0)),FALSE,TRUE))</f>
        <v>1</v>
      </c>
      <c r="AE980" s="122" t="b">
        <f>IF(ISBLANK(GroupMember[[#This Row],[1. Identifiant interne d’exploitation agricole*]]),"",IF(ISERROR(MATCH(GroupMember[[#This Row],[1. Identifiant interne d’exploitation agricole*]],FarmUnit[1. Identifiant interne d’exploitation agricole*],0)),FALSE,TRUE))</f>
        <v>1</v>
      </c>
      <c r="AF980" s="9" t="str">
        <f t="shared" si="45"/>
        <v>SAWADOGO  AMIDOU</v>
      </c>
      <c r="AG980" s="243" t="str">
        <f t="shared" si="46"/>
        <v>14/9/2021</v>
      </c>
      <c r="AH980" s="51">
        <f>COUNTIFS(Z:Z,Z980,AG:AG,AG980)</f>
        <v>3</v>
      </c>
      <c r="AI980" s="49">
        <f t="shared" si="47"/>
        <v>0</v>
      </c>
    </row>
    <row r="981" spans="1:35" ht="15" x14ac:dyDescent="0.2">
      <c r="A981" s="193" t="s">
        <v>3253</v>
      </c>
      <c r="B981" s="146" t="s">
        <v>668</v>
      </c>
      <c r="C981" s="193" t="s">
        <v>3253</v>
      </c>
      <c r="D981" s="146" t="s">
        <v>2146</v>
      </c>
      <c r="E981" s="146" t="s">
        <v>670</v>
      </c>
      <c r="F981" s="146" t="s">
        <v>671</v>
      </c>
      <c r="G981" s="146" t="s">
        <v>672</v>
      </c>
      <c r="H981" s="225">
        <v>2.67</v>
      </c>
      <c r="I981" s="146" t="s">
        <v>673</v>
      </c>
      <c r="J981" s="226">
        <v>1</v>
      </c>
      <c r="K981" s="150">
        <v>2021</v>
      </c>
      <c r="L981" s="163" t="s">
        <v>3251</v>
      </c>
      <c r="M981" s="163" t="s">
        <v>3254</v>
      </c>
      <c r="N981" s="164"/>
      <c r="O981" s="146"/>
      <c r="P981" s="219" t="s">
        <v>676</v>
      </c>
      <c r="Q981" s="299">
        <v>1972</v>
      </c>
      <c r="R981" s="155">
        <v>5</v>
      </c>
      <c r="S981" s="168"/>
      <c r="T981" s="168"/>
      <c r="U981" s="146"/>
      <c r="V981" s="146"/>
      <c r="W981" s="146"/>
      <c r="X981" s="156">
        <v>0</v>
      </c>
      <c r="Y981" s="156">
        <v>0</v>
      </c>
      <c r="Z981" s="157" t="s">
        <v>2703</v>
      </c>
      <c r="AA981" s="174">
        <v>2021</v>
      </c>
      <c r="AB981" s="175">
        <v>9</v>
      </c>
      <c r="AC981" s="175">
        <v>8</v>
      </c>
      <c r="AD981" s="122" t="b">
        <f>IF(ISBLANK(GroupMember[[#This Row],[1. Identifiant interne d’exploitation agricole*]]),"",IF(ISERROR(MATCH(GroupMember[[#This Row],[1. Identifiant interne d’exploitation agricole*]],CertifiedCrop[1. Identifiant interne d’exploitation agricole*],0)),FALSE,TRUE))</f>
        <v>1</v>
      </c>
      <c r="AE981" s="122" t="b">
        <f>IF(ISBLANK(GroupMember[[#This Row],[1. Identifiant interne d’exploitation agricole*]]),"",IF(ISERROR(MATCH(GroupMember[[#This Row],[1. Identifiant interne d’exploitation agricole*]],FarmUnit[1. Identifiant interne d’exploitation agricole*],0)),FALSE,TRUE))</f>
        <v>1</v>
      </c>
      <c r="AF981" s="9" t="str">
        <f t="shared" si="45"/>
        <v>SAWADOGO  LAURENT</v>
      </c>
      <c r="AG981" s="243" t="str">
        <f t="shared" si="46"/>
        <v>8/9/2021</v>
      </c>
      <c r="AH981" s="51">
        <f>COUNTIFS(Z:Z,Z981,AG:AG,AG981)</f>
        <v>5</v>
      </c>
      <c r="AI981" s="49">
        <f t="shared" si="47"/>
        <v>0</v>
      </c>
    </row>
    <row r="982" spans="1:35" ht="15" x14ac:dyDescent="0.2">
      <c r="A982" s="205" t="s">
        <v>3255</v>
      </c>
      <c r="B982" s="180" t="s">
        <v>668</v>
      </c>
      <c r="C982" s="205" t="s">
        <v>3255</v>
      </c>
      <c r="D982" s="180" t="s">
        <v>2146</v>
      </c>
      <c r="E982" s="180" t="s">
        <v>670</v>
      </c>
      <c r="F982" s="180" t="s">
        <v>671</v>
      </c>
      <c r="G982" s="180" t="s">
        <v>672</v>
      </c>
      <c r="H982" s="227">
        <v>6.26</v>
      </c>
      <c r="I982" s="180" t="s">
        <v>673</v>
      </c>
      <c r="J982" s="240">
        <v>3</v>
      </c>
      <c r="K982" s="179">
        <v>2021</v>
      </c>
      <c r="L982" s="230" t="s">
        <v>3251</v>
      </c>
      <c r="M982" s="230" t="s">
        <v>753</v>
      </c>
      <c r="N982" s="228"/>
      <c r="O982" s="180"/>
      <c r="P982" s="229" t="s">
        <v>676</v>
      </c>
      <c r="Q982" s="150"/>
      <c r="R982" s="155">
        <v>8</v>
      </c>
      <c r="S982" s="185"/>
      <c r="T982" s="185"/>
      <c r="U982" s="180"/>
      <c r="V982" s="180"/>
      <c r="W982" s="180"/>
      <c r="X982" s="156">
        <v>0</v>
      </c>
      <c r="Y982" s="156">
        <v>0</v>
      </c>
      <c r="Z982" s="157" t="s">
        <v>2703</v>
      </c>
      <c r="AA982" s="174">
        <v>2021</v>
      </c>
      <c r="AB982" s="188">
        <v>9</v>
      </c>
      <c r="AC982" s="188">
        <v>15</v>
      </c>
      <c r="AD982" s="122" t="b">
        <f>IF(ISBLANK(GroupMember[[#This Row],[1. Identifiant interne d’exploitation agricole*]]),"",IF(ISERROR(MATCH(GroupMember[[#This Row],[1. Identifiant interne d’exploitation agricole*]],CertifiedCrop[1. Identifiant interne d’exploitation agricole*],0)),FALSE,TRUE))</f>
        <v>1</v>
      </c>
      <c r="AE982" s="122" t="b">
        <f>IF(ISBLANK(GroupMember[[#This Row],[1. Identifiant interne d’exploitation agricole*]]),"",IF(ISERROR(MATCH(GroupMember[[#This Row],[1. Identifiant interne d’exploitation agricole*]],FarmUnit[1. Identifiant interne d’exploitation agricole*],0)),FALSE,TRUE))</f>
        <v>1</v>
      </c>
      <c r="AF982" s="9" t="str">
        <f t="shared" si="45"/>
        <v>SAWADOGO  ADAMA</v>
      </c>
      <c r="AG982" s="243" t="str">
        <f t="shared" si="46"/>
        <v>15/9/2021</v>
      </c>
      <c r="AH982" s="51">
        <f>COUNTIFS(Z:Z,Z982,AG:AG,AG982)</f>
        <v>5</v>
      </c>
      <c r="AI982" s="49">
        <f t="shared" si="47"/>
        <v>0</v>
      </c>
    </row>
    <row r="983" spans="1:35" ht="15" x14ac:dyDescent="0.2">
      <c r="A983" s="205" t="s">
        <v>3256</v>
      </c>
      <c r="B983" s="146" t="s">
        <v>668</v>
      </c>
      <c r="C983" s="205" t="s">
        <v>3256</v>
      </c>
      <c r="D983" s="146" t="s">
        <v>2146</v>
      </c>
      <c r="E983" s="146" t="s">
        <v>670</v>
      </c>
      <c r="F983" s="146" t="s">
        <v>671</v>
      </c>
      <c r="G983" s="146" t="s">
        <v>672</v>
      </c>
      <c r="H983" s="225">
        <v>2.75</v>
      </c>
      <c r="I983" s="146" t="s">
        <v>673</v>
      </c>
      <c r="J983" s="226">
        <v>1</v>
      </c>
      <c r="K983" s="150">
        <v>2021</v>
      </c>
      <c r="L983" s="163" t="s">
        <v>3251</v>
      </c>
      <c r="M983" s="163" t="s">
        <v>3257</v>
      </c>
      <c r="N983" s="164">
        <v>748102036</v>
      </c>
      <c r="O983" s="146"/>
      <c r="P983" s="219" t="s">
        <v>676</v>
      </c>
      <c r="Q983" s="150"/>
      <c r="R983" s="155">
        <v>6</v>
      </c>
      <c r="S983" s="168"/>
      <c r="T983" s="168"/>
      <c r="U983" s="146"/>
      <c r="V983" s="146"/>
      <c r="W983" s="146"/>
      <c r="X983" s="156">
        <v>0</v>
      </c>
      <c r="Y983" s="156">
        <v>0</v>
      </c>
      <c r="Z983" s="157" t="s">
        <v>2703</v>
      </c>
      <c r="AA983" s="174">
        <v>2021</v>
      </c>
      <c r="AB983" s="175">
        <v>9</v>
      </c>
      <c r="AC983" s="175">
        <v>3</v>
      </c>
      <c r="AD983" s="122" t="b">
        <f>IF(ISBLANK(GroupMember[[#This Row],[1. Identifiant interne d’exploitation agricole*]]),"",IF(ISERROR(MATCH(GroupMember[[#This Row],[1. Identifiant interne d’exploitation agricole*]],CertifiedCrop[1. Identifiant interne d’exploitation agricole*],0)),FALSE,TRUE))</f>
        <v>1</v>
      </c>
      <c r="AE983" s="122" t="b">
        <f>IF(ISBLANK(GroupMember[[#This Row],[1. Identifiant interne d’exploitation agricole*]]),"",IF(ISERROR(MATCH(GroupMember[[#This Row],[1. Identifiant interne d’exploitation agricole*]],FarmUnit[1. Identifiant interne d’exploitation agricole*],0)),FALSE,TRUE))</f>
        <v>1</v>
      </c>
      <c r="AF983" s="9" t="str">
        <f t="shared" si="45"/>
        <v>SAWADOGO  RAHIM</v>
      </c>
      <c r="AG983" s="243" t="str">
        <f t="shared" si="46"/>
        <v>3/9/2021</v>
      </c>
      <c r="AH983" s="51">
        <f>COUNTIFS(Z:Z,Z983,AG:AG,AG983)</f>
        <v>5</v>
      </c>
      <c r="AI983" s="49">
        <f t="shared" si="47"/>
        <v>0</v>
      </c>
    </row>
    <row r="984" spans="1:35" ht="15" x14ac:dyDescent="0.2">
      <c r="A984" s="205" t="s">
        <v>3258</v>
      </c>
      <c r="B984" s="146" t="s">
        <v>668</v>
      </c>
      <c r="C984" s="205" t="s">
        <v>3258</v>
      </c>
      <c r="D984" s="146" t="s">
        <v>2146</v>
      </c>
      <c r="E984" s="146" t="s">
        <v>670</v>
      </c>
      <c r="F984" s="146" t="s">
        <v>671</v>
      </c>
      <c r="G984" s="146" t="s">
        <v>672</v>
      </c>
      <c r="H984" s="241">
        <v>3.5</v>
      </c>
      <c r="I984" s="146" t="s">
        <v>673</v>
      </c>
      <c r="J984" s="226">
        <v>1</v>
      </c>
      <c r="K984" s="150">
        <v>2021</v>
      </c>
      <c r="L984" s="168" t="s">
        <v>3251</v>
      </c>
      <c r="M984" s="168" t="s">
        <v>2583</v>
      </c>
      <c r="N984" s="164">
        <v>151171621</v>
      </c>
      <c r="O984" s="146"/>
      <c r="P984" s="219" t="s">
        <v>676</v>
      </c>
      <c r="Q984" s="150"/>
      <c r="R984" s="171">
        <v>5</v>
      </c>
      <c r="S984" s="168"/>
      <c r="T984" s="168"/>
      <c r="U984" s="146"/>
      <c r="V984" s="146"/>
      <c r="W984" s="146"/>
      <c r="X984" s="156">
        <v>0</v>
      </c>
      <c r="Y984" s="156">
        <v>0</v>
      </c>
      <c r="Z984" s="157" t="s">
        <v>2703</v>
      </c>
      <c r="AA984" s="174">
        <v>2021</v>
      </c>
      <c r="AB984" s="175">
        <v>9</v>
      </c>
      <c r="AC984" s="175">
        <v>16</v>
      </c>
      <c r="AD984" s="122" t="b">
        <f>IF(ISBLANK(GroupMember[[#This Row],[1. Identifiant interne d’exploitation agricole*]]),"",IF(ISERROR(MATCH(GroupMember[[#This Row],[1. Identifiant interne d’exploitation agricole*]],CertifiedCrop[1. Identifiant interne d’exploitation agricole*],0)),FALSE,TRUE))</f>
        <v>1</v>
      </c>
      <c r="AE984" s="122" t="b">
        <f>IF(ISBLANK(GroupMember[[#This Row],[1. Identifiant interne d’exploitation agricole*]]),"",IF(ISERROR(MATCH(GroupMember[[#This Row],[1. Identifiant interne d’exploitation agricole*]],FarmUnit[1. Identifiant interne d’exploitation agricole*],0)),FALSE,TRUE))</f>
        <v>1</v>
      </c>
      <c r="AF984" s="9" t="str">
        <f t="shared" si="45"/>
        <v>SAWADOGO  BOUKARY</v>
      </c>
      <c r="AG984" s="243" t="str">
        <f t="shared" si="46"/>
        <v>16/9/2021</v>
      </c>
      <c r="AH984" s="51">
        <f>COUNTIFS(Z:Z,Z984,AG:AG,AG984)</f>
        <v>5</v>
      </c>
      <c r="AI984" s="49">
        <f t="shared" si="47"/>
        <v>0</v>
      </c>
    </row>
    <row r="985" spans="1:35" ht="15" x14ac:dyDescent="0.2">
      <c r="A985" s="205" t="s">
        <v>3259</v>
      </c>
      <c r="B985" s="146" t="s">
        <v>668</v>
      </c>
      <c r="C985" s="205" t="s">
        <v>3259</v>
      </c>
      <c r="D985" s="146" t="s">
        <v>2146</v>
      </c>
      <c r="E985" s="146" t="s">
        <v>670</v>
      </c>
      <c r="F985" s="146" t="s">
        <v>671</v>
      </c>
      <c r="G985" s="146" t="s">
        <v>672</v>
      </c>
      <c r="H985" s="225">
        <v>3.81</v>
      </c>
      <c r="I985" s="146" t="s">
        <v>673</v>
      </c>
      <c r="J985" s="226">
        <v>1</v>
      </c>
      <c r="K985" s="150">
        <v>2021</v>
      </c>
      <c r="L985" s="168" t="s">
        <v>3251</v>
      </c>
      <c r="M985" s="168" t="s">
        <v>702</v>
      </c>
      <c r="N985" s="164">
        <v>585353373</v>
      </c>
      <c r="O985" s="146"/>
      <c r="P985" s="219" t="s">
        <v>676</v>
      </c>
      <c r="Q985" s="150"/>
      <c r="R985" s="155">
        <v>8</v>
      </c>
      <c r="S985" s="168"/>
      <c r="T985" s="168"/>
      <c r="U985" s="146"/>
      <c r="V985" s="146"/>
      <c r="W985" s="146"/>
      <c r="X985" s="156">
        <v>0</v>
      </c>
      <c r="Y985" s="156">
        <v>0</v>
      </c>
      <c r="Z985" s="157" t="s">
        <v>2703</v>
      </c>
      <c r="AA985" s="174">
        <v>2021</v>
      </c>
      <c r="AB985" s="175">
        <v>9</v>
      </c>
      <c r="AC985" s="175">
        <v>6</v>
      </c>
      <c r="AD985" s="122" t="b">
        <f>IF(ISBLANK(GroupMember[[#This Row],[1. Identifiant interne d’exploitation agricole*]]),"",IF(ISERROR(MATCH(GroupMember[[#This Row],[1. Identifiant interne d’exploitation agricole*]],CertifiedCrop[1. Identifiant interne d’exploitation agricole*],0)),FALSE,TRUE))</f>
        <v>1</v>
      </c>
      <c r="AE985" s="122" t="b">
        <f>IF(ISBLANK(GroupMember[[#This Row],[1. Identifiant interne d’exploitation agricole*]]),"",IF(ISERROR(MATCH(GroupMember[[#This Row],[1. Identifiant interne d’exploitation agricole*]],FarmUnit[1. Identifiant interne d’exploitation agricole*],0)),FALSE,TRUE))</f>
        <v>1</v>
      </c>
      <c r="AF985" s="9" t="str">
        <f t="shared" si="45"/>
        <v>SAWADOGO  AMADOU</v>
      </c>
      <c r="AG985" s="243" t="str">
        <f t="shared" si="46"/>
        <v>6/9/2021</v>
      </c>
      <c r="AH985" s="51">
        <f>COUNTIFS(Z:Z,Z985,AG:AG,AG985)</f>
        <v>4</v>
      </c>
      <c r="AI985" s="49">
        <f t="shared" si="47"/>
        <v>0</v>
      </c>
    </row>
    <row r="986" spans="1:35" ht="15" x14ac:dyDescent="0.2">
      <c r="A986" s="205" t="s">
        <v>3260</v>
      </c>
      <c r="B986" s="146" t="s">
        <v>668</v>
      </c>
      <c r="C986" s="205" t="s">
        <v>3260</v>
      </c>
      <c r="D986" s="146" t="s">
        <v>2146</v>
      </c>
      <c r="E986" s="146" t="s">
        <v>670</v>
      </c>
      <c r="F986" s="146" t="s">
        <v>671</v>
      </c>
      <c r="G986" s="146" t="s">
        <v>672</v>
      </c>
      <c r="H986" s="225">
        <v>2.48</v>
      </c>
      <c r="I986" s="146" t="s">
        <v>673</v>
      </c>
      <c r="J986" s="226">
        <v>1</v>
      </c>
      <c r="K986" s="150">
        <v>2021</v>
      </c>
      <c r="L986" s="168" t="s">
        <v>3251</v>
      </c>
      <c r="M986" s="168" t="s">
        <v>2787</v>
      </c>
      <c r="N986" s="164"/>
      <c r="O986" s="146"/>
      <c r="P986" s="219" t="s">
        <v>676</v>
      </c>
      <c r="Q986" s="150">
        <v>1977</v>
      </c>
      <c r="R986" s="155">
        <v>7</v>
      </c>
      <c r="S986" s="168"/>
      <c r="T986" s="168"/>
      <c r="U986" s="146"/>
      <c r="V986" s="146"/>
      <c r="W986" s="146"/>
      <c r="X986" s="156">
        <v>0</v>
      </c>
      <c r="Y986" s="156">
        <v>0</v>
      </c>
      <c r="Z986" s="157" t="s">
        <v>2703</v>
      </c>
      <c r="AA986" s="174">
        <v>2021</v>
      </c>
      <c r="AB986" s="175">
        <v>9</v>
      </c>
      <c r="AC986" s="175">
        <v>4</v>
      </c>
      <c r="AD986" s="122" t="b">
        <f>IF(ISBLANK(GroupMember[[#This Row],[1. Identifiant interne d’exploitation agricole*]]),"",IF(ISERROR(MATCH(GroupMember[[#This Row],[1. Identifiant interne d’exploitation agricole*]],CertifiedCrop[1. Identifiant interne d’exploitation agricole*],0)),FALSE,TRUE))</f>
        <v>1</v>
      </c>
      <c r="AE986" s="122" t="b">
        <f>IF(ISBLANK(GroupMember[[#This Row],[1. Identifiant interne d’exploitation agricole*]]),"",IF(ISERROR(MATCH(GroupMember[[#This Row],[1. Identifiant interne d’exploitation agricole*]],FarmUnit[1. Identifiant interne d’exploitation agricole*],0)),FALSE,TRUE))</f>
        <v>1</v>
      </c>
      <c r="AF986" s="9" t="str">
        <f t="shared" si="45"/>
        <v>SAWADOGO  ABOULAYE</v>
      </c>
      <c r="AG986" s="243" t="str">
        <f t="shared" si="46"/>
        <v>4/9/2021</v>
      </c>
      <c r="AH986" s="51">
        <f>COUNTIFS(Z:Z,Z986,AG:AG,AG986)</f>
        <v>5</v>
      </c>
      <c r="AI986" s="49">
        <f t="shared" si="47"/>
        <v>0</v>
      </c>
    </row>
    <row r="987" spans="1:35" ht="15" x14ac:dyDescent="0.2">
      <c r="A987" s="205" t="s">
        <v>3261</v>
      </c>
      <c r="B987" s="146" t="s">
        <v>668</v>
      </c>
      <c r="C987" s="205" t="s">
        <v>3261</v>
      </c>
      <c r="D987" s="146" t="s">
        <v>2146</v>
      </c>
      <c r="E987" s="146" t="s">
        <v>670</v>
      </c>
      <c r="F987" s="146" t="s">
        <v>671</v>
      </c>
      <c r="G987" s="146" t="s">
        <v>672</v>
      </c>
      <c r="H987" s="225">
        <v>2.67</v>
      </c>
      <c r="I987" s="146" t="s">
        <v>673</v>
      </c>
      <c r="J987" s="226">
        <v>1</v>
      </c>
      <c r="K987" s="150">
        <v>2021</v>
      </c>
      <c r="L987" s="168" t="s">
        <v>3251</v>
      </c>
      <c r="M987" s="168" t="s">
        <v>3249</v>
      </c>
      <c r="N987" s="164"/>
      <c r="O987" s="146"/>
      <c r="P987" s="219" t="s">
        <v>676</v>
      </c>
      <c r="Q987" s="150"/>
      <c r="R987" s="155">
        <v>5</v>
      </c>
      <c r="S987" s="168"/>
      <c r="T987" s="168"/>
      <c r="U987" s="146"/>
      <c r="V987" s="146"/>
      <c r="W987" s="146"/>
      <c r="X987" s="156">
        <v>0</v>
      </c>
      <c r="Y987" s="156">
        <v>0</v>
      </c>
      <c r="Z987" s="157" t="s">
        <v>2703</v>
      </c>
      <c r="AA987" s="174">
        <v>2021</v>
      </c>
      <c r="AB987" s="175">
        <v>9</v>
      </c>
      <c r="AC987" s="175">
        <v>15</v>
      </c>
      <c r="AD987" s="122" t="b">
        <f>IF(ISBLANK(GroupMember[[#This Row],[1. Identifiant interne d’exploitation agricole*]]),"",IF(ISERROR(MATCH(GroupMember[[#This Row],[1. Identifiant interne d’exploitation agricole*]],CertifiedCrop[1. Identifiant interne d’exploitation agricole*],0)),FALSE,TRUE))</f>
        <v>1</v>
      </c>
      <c r="AE987" s="122" t="b">
        <f>IF(ISBLANK(GroupMember[[#This Row],[1. Identifiant interne d’exploitation agricole*]]),"",IF(ISERROR(MATCH(GroupMember[[#This Row],[1. Identifiant interne d’exploitation agricole*]],FarmUnit[1. Identifiant interne d’exploitation agricole*],0)),FALSE,TRUE))</f>
        <v>1</v>
      </c>
      <c r="AF987" s="9" t="str">
        <f t="shared" si="45"/>
        <v>SAWADOGO  AROUNA</v>
      </c>
      <c r="AG987" s="243" t="str">
        <f t="shared" si="46"/>
        <v>15/9/2021</v>
      </c>
      <c r="AH987" s="51">
        <f>COUNTIFS(Z:Z,Z987,AG:AG,AG987)</f>
        <v>5</v>
      </c>
      <c r="AI987" s="49">
        <f t="shared" si="47"/>
        <v>0</v>
      </c>
    </row>
    <row r="988" spans="1:35" ht="15" x14ac:dyDescent="0.2">
      <c r="A988" s="205" t="s">
        <v>3262</v>
      </c>
      <c r="B988" s="146" t="s">
        <v>668</v>
      </c>
      <c r="C988" s="205" t="s">
        <v>3262</v>
      </c>
      <c r="D988" s="146" t="s">
        <v>2146</v>
      </c>
      <c r="E988" s="146" t="s">
        <v>670</v>
      </c>
      <c r="F988" s="146" t="s">
        <v>671</v>
      </c>
      <c r="G988" s="146" t="s">
        <v>672</v>
      </c>
      <c r="H988" s="225">
        <v>2.59</v>
      </c>
      <c r="I988" s="146" t="s">
        <v>673</v>
      </c>
      <c r="J988" s="226">
        <v>1</v>
      </c>
      <c r="K988" s="150">
        <v>2021</v>
      </c>
      <c r="L988" s="168" t="s">
        <v>3251</v>
      </c>
      <c r="M988" s="168" t="s">
        <v>3263</v>
      </c>
      <c r="N988" s="164">
        <v>767590168</v>
      </c>
      <c r="O988" s="146"/>
      <c r="P988" s="219" t="s">
        <v>751</v>
      </c>
      <c r="Q988" s="150"/>
      <c r="R988" s="155">
        <v>4</v>
      </c>
      <c r="S988" s="168"/>
      <c r="T988" s="168"/>
      <c r="U988" s="146"/>
      <c r="V988" s="146"/>
      <c r="W988" s="146"/>
      <c r="X988" s="156">
        <v>0</v>
      </c>
      <c r="Y988" s="156">
        <v>0</v>
      </c>
      <c r="Z988" s="157" t="s">
        <v>2703</v>
      </c>
      <c r="AA988" s="174">
        <v>2021</v>
      </c>
      <c r="AB988" s="175">
        <v>9</v>
      </c>
      <c r="AC988" s="175">
        <v>4</v>
      </c>
      <c r="AD988" s="122" t="b">
        <f>IF(ISBLANK(GroupMember[[#This Row],[1. Identifiant interne d’exploitation agricole*]]),"",IF(ISERROR(MATCH(GroupMember[[#This Row],[1. Identifiant interne d’exploitation agricole*]],CertifiedCrop[1. Identifiant interne d’exploitation agricole*],0)),FALSE,TRUE))</f>
        <v>1</v>
      </c>
      <c r="AE988" s="122" t="b">
        <f>IF(ISBLANK(GroupMember[[#This Row],[1. Identifiant interne d’exploitation agricole*]]),"",IF(ISERROR(MATCH(GroupMember[[#This Row],[1. Identifiant interne d’exploitation agricole*]],FarmUnit[1. Identifiant interne d’exploitation agricole*],0)),FALSE,TRUE))</f>
        <v>1</v>
      </c>
      <c r="AF988" s="9" t="str">
        <f t="shared" si="45"/>
        <v>SAWADOGO  THERESE</v>
      </c>
      <c r="AG988" s="243" t="str">
        <f t="shared" si="46"/>
        <v>4/9/2021</v>
      </c>
      <c r="AH988" s="51">
        <f>COUNTIFS(Z:Z,Z988,AG:AG,AG988)</f>
        <v>5</v>
      </c>
      <c r="AI988" s="49">
        <f t="shared" si="47"/>
        <v>0</v>
      </c>
    </row>
    <row r="989" spans="1:35" ht="15" x14ac:dyDescent="0.2">
      <c r="A989" s="205" t="s">
        <v>3264</v>
      </c>
      <c r="B989" s="146" t="s">
        <v>668</v>
      </c>
      <c r="C989" s="205" t="s">
        <v>3264</v>
      </c>
      <c r="D989" s="146" t="s">
        <v>2146</v>
      </c>
      <c r="E989" s="146" t="s">
        <v>670</v>
      </c>
      <c r="F989" s="146" t="s">
        <v>671</v>
      </c>
      <c r="G989" s="146" t="s">
        <v>672</v>
      </c>
      <c r="H989" s="225">
        <v>1.4</v>
      </c>
      <c r="I989" s="146" t="s">
        <v>673</v>
      </c>
      <c r="J989" s="226">
        <v>1</v>
      </c>
      <c r="K989" s="150">
        <v>2021</v>
      </c>
      <c r="L989" s="168" t="s">
        <v>3251</v>
      </c>
      <c r="M989" s="168" t="s">
        <v>3265</v>
      </c>
      <c r="N989" s="164">
        <v>747265323</v>
      </c>
      <c r="O989" s="146" t="s">
        <v>3266</v>
      </c>
      <c r="P989" s="219" t="s">
        <v>676</v>
      </c>
      <c r="Q989" s="150">
        <v>1987</v>
      </c>
      <c r="R989" s="155">
        <v>7</v>
      </c>
      <c r="S989" s="168"/>
      <c r="T989" s="168"/>
      <c r="U989" s="146"/>
      <c r="V989" s="146"/>
      <c r="W989" s="146"/>
      <c r="X989" s="156">
        <v>0</v>
      </c>
      <c r="Y989" s="156">
        <v>0</v>
      </c>
      <c r="Z989" s="157" t="s">
        <v>2703</v>
      </c>
      <c r="AA989" s="174">
        <v>2021</v>
      </c>
      <c r="AB989" s="175">
        <v>9</v>
      </c>
      <c r="AC989" s="175">
        <v>11</v>
      </c>
      <c r="AD989" s="122" t="b">
        <f>IF(ISBLANK(GroupMember[[#This Row],[1. Identifiant interne d’exploitation agricole*]]),"",IF(ISERROR(MATCH(GroupMember[[#This Row],[1. Identifiant interne d’exploitation agricole*]],CertifiedCrop[1. Identifiant interne d’exploitation agricole*],0)),FALSE,TRUE))</f>
        <v>1</v>
      </c>
      <c r="AE989" s="122" t="b">
        <f>IF(ISBLANK(GroupMember[[#This Row],[1. Identifiant interne d’exploitation agricole*]]),"",IF(ISERROR(MATCH(GroupMember[[#This Row],[1. Identifiant interne d’exploitation agricole*]],FarmUnit[1. Identifiant interne d’exploitation agricole*],0)),FALSE,TRUE))</f>
        <v>1</v>
      </c>
      <c r="AF989" s="9" t="str">
        <f t="shared" si="45"/>
        <v>SAWADOGO  EASE</v>
      </c>
      <c r="AG989" s="243" t="str">
        <f t="shared" si="46"/>
        <v>11/9/2021</v>
      </c>
      <c r="AH989" s="51">
        <f>COUNTIFS(Z:Z,Z989,AG:AG,AG989)</f>
        <v>5</v>
      </c>
      <c r="AI989" s="49">
        <f t="shared" si="47"/>
        <v>0</v>
      </c>
    </row>
    <row r="990" spans="1:35" ht="15" x14ac:dyDescent="0.2">
      <c r="A990" s="205" t="s">
        <v>3267</v>
      </c>
      <c r="B990" s="146" t="s">
        <v>668</v>
      </c>
      <c r="C990" s="205" t="s">
        <v>3267</v>
      </c>
      <c r="D990" s="146" t="s">
        <v>2146</v>
      </c>
      <c r="E990" s="146" t="s">
        <v>670</v>
      </c>
      <c r="F990" s="146" t="s">
        <v>671</v>
      </c>
      <c r="G990" s="146" t="s">
        <v>672</v>
      </c>
      <c r="H990" s="225">
        <v>0.98</v>
      </c>
      <c r="I990" s="146" t="s">
        <v>673</v>
      </c>
      <c r="J990" s="226">
        <v>1</v>
      </c>
      <c r="K990" s="150">
        <v>2021</v>
      </c>
      <c r="L990" s="146" t="s">
        <v>3268</v>
      </c>
      <c r="M990" s="146" t="s">
        <v>3269</v>
      </c>
      <c r="N990" s="164">
        <v>747636226</v>
      </c>
      <c r="O990" s="146"/>
      <c r="P990" s="219" t="s">
        <v>676</v>
      </c>
      <c r="Q990" s="299"/>
      <c r="R990" s="155">
        <v>5</v>
      </c>
      <c r="S990" s="168"/>
      <c r="T990" s="168"/>
      <c r="U990" s="146"/>
      <c r="V990" s="146"/>
      <c r="W990" s="146"/>
      <c r="X990" s="156">
        <v>0</v>
      </c>
      <c r="Y990" s="156">
        <v>0</v>
      </c>
      <c r="Z990" s="157" t="s">
        <v>2703</v>
      </c>
      <c r="AA990" s="174">
        <v>2021</v>
      </c>
      <c r="AB990" s="175">
        <v>9</v>
      </c>
      <c r="AC990" s="175">
        <v>15</v>
      </c>
      <c r="AD990" s="122" t="b">
        <f>IF(ISBLANK(GroupMember[[#This Row],[1. Identifiant interne d’exploitation agricole*]]),"",IF(ISERROR(MATCH(GroupMember[[#This Row],[1. Identifiant interne d’exploitation agricole*]],CertifiedCrop[1. Identifiant interne d’exploitation agricole*],0)),FALSE,TRUE))</f>
        <v>1</v>
      </c>
      <c r="AE990" s="122" t="b">
        <f>IF(ISBLANK(GroupMember[[#This Row],[1. Identifiant interne d’exploitation agricole*]]),"",IF(ISERROR(MATCH(GroupMember[[#This Row],[1. Identifiant interne d’exploitation agricole*]],FarmUnit[1. Identifiant interne d’exploitation agricole*],0)),FALSE,TRUE))</f>
        <v>1</v>
      </c>
      <c r="AF990" s="9" t="str">
        <f t="shared" si="45"/>
        <v>TIENDREBEOGO ABEL</v>
      </c>
      <c r="AG990" s="243" t="str">
        <f t="shared" si="46"/>
        <v>15/9/2021</v>
      </c>
      <c r="AH990" s="51">
        <f>COUNTIFS(Z:Z,Z990,AG:AG,AG990)</f>
        <v>5</v>
      </c>
      <c r="AI990" s="49">
        <f t="shared" si="47"/>
        <v>0</v>
      </c>
    </row>
    <row r="991" spans="1:35" ht="15" x14ac:dyDescent="0.2">
      <c r="A991" s="205" t="s">
        <v>3270</v>
      </c>
      <c r="B991" s="146" t="s">
        <v>668</v>
      </c>
      <c r="C991" s="205" t="s">
        <v>3270</v>
      </c>
      <c r="D991" s="146" t="s">
        <v>2146</v>
      </c>
      <c r="E991" s="146" t="s">
        <v>670</v>
      </c>
      <c r="F991" s="146" t="s">
        <v>671</v>
      </c>
      <c r="G991" s="146" t="s">
        <v>672</v>
      </c>
      <c r="H991" s="225">
        <v>0.66</v>
      </c>
      <c r="I991" s="146" t="s">
        <v>673</v>
      </c>
      <c r="J991" s="226">
        <v>1</v>
      </c>
      <c r="K991" s="150">
        <v>2021</v>
      </c>
      <c r="L991" s="146" t="s">
        <v>3271</v>
      </c>
      <c r="M991" s="146" t="s">
        <v>3272</v>
      </c>
      <c r="N991" s="164">
        <v>789151534</v>
      </c>
      <c r="O991" s="146"/>
      <c r="P991" s="219" t="s">
        <v>676</v>
      </c>
      <c r="Q991" s="150"/>
      <c r="R991" s="155">
        <v>6</v>
      </c>
      <c r="S991" s="168"/>
      <c r="T991" s="168"/>
      <c r="U991" s="146"/>
      <c r="V991" s="146"/>
      <c r="W991" s="146"/>
      <c r="X991" s="156">
        <v>0</v>
      </c>
      <c r="Y991" s="156">
        <v>0</v>
      </c>
      <c r="Z991" s="157" t="s">
        <v>2703</v>
      </c>
      <c r="AA991" s="174">
        <v>2021</v>
      </c>
      <c r="AB991" s="175">
        <v>9</v>
      </c>
      <c r="AC991" s="175">
        <v>9</v>
      </c>
      <c r="AD991" s="122" t="b">
        <f>IF(ISBLANK(GroupMember[[#This Row],[1. Identifiant interne d’exploitation agricole*]]),"",IF(ISERROR(MATCH(GroupMember[[#This Row],[1. Identifiant interne d’exploitation agricole*]],CertifiedCrop[1. Identifiant interne d’exploitation agricole*],0)),FALSE,TRUE))</f>
        <v>1</v>
      </c>
      <c r="AE991" s="122" t="b">
        <f>IF(ISBLANK(GroupMember[[#This Row],[1. Identifiant interne d’exploitation agricole*]]),"",IF(ISERROR(MATCH(GroupMember[[#This Row],[1. Identifiant interne d’exploitation agricole*]],FarmUnit[1. Identifiant interne d’exploitation agricole*],0)),FALSE,TRUE))</f>
        <v>1</v>
      </c>
      <c r="AF991" s="9" t="str">
        <f t="shared" si="45"/>
        <v>TOYOU ALPHONSE</v>
      </c>
      <c r="AG991" s="243" t="str">
        <f t="shared" si="46"/>
        <v>9/9/2021</v>
      </c>
      <c r="AH991" s="51">
        <f>COUNTIFS(Z:Z,Z991,AG:AG,AG991)</f>
        <v>4</v>
      </c>
      <c r="AI991" s="49">
        <f t="shared" si="47"/>
        <v>0</v>
      </c>
    </row>
    <row r="992" spans="1:35" ht="15" x14ac:dyDescent="0.2">
      <c r="A992" s="205" t="s">
        <v>3273</v>
      </c>
      <c r="B992" s="146" t="s">
        <v>668</v>
      </c>
      <c r="C992" s="205" t="s">
        <v>3273</v>
      </c>
      <c r="D992" s="146" t="s">
        <v>2146</v>
      </c>
      <c r="E992" s="146" t="s">
        <v>670</v>
      </c>
      <c r="F992" s="146" t="s">
        <v>671</v>
      </c>
      <c r="G992" s="146" t="s">
        <v>672</v>
      </c>
      <c r="H992" s="225">
        <v>1.95</v>
      </c>
      <c r="I992" s="146" t="s">
        <v>673</v>
      </c>
      <c r="J992" s="226">
        <v>1</v>
      </c>
      <c r="K992" s="150">
        <v>2021</v>
      </c>
      <c r="L992" s="168" t="s">
        <v>3274</v>
      </c>
      <c r="M992" s="168" t="s">
        <v>2093</v>
      </c>
      <c r="N992" s="164">
        <v>777706659</v>
      </c>
      <c r="O992" s="146" t="s">
        <v>3322</v>
      </c>
      <c r="P992" s="219" t="s">
        <v>676</v>
      </c>
      <c r="Q992" s="150">
        <v>1973</v>
      </c>
      <c r="R992" s="155">
        <v>5</v>
      </c>
      <c r="S992" s="168"/>
      <c r="T992" s="168"/>
      <c r="U992" s="146"/>
      <c r="V992" s="146"/>
      <c r="W992" s="146"/>
      <c r="X992" s="156">
        <v>0</v>
      </c>
      <c r="Y992" s="156">
        <v>0</v>
      </c>
      <c r="Z992" s="157" t="s">
        <v>2703</v>
      </c>
      <c r="AA992" s="174">
        <v>2021</v>
      </c>
      <c r="AB992" s="175">
        <v>9</v>
      </c>
      <c r="AC992" s="175">
        <v>16</v>
      </c>
      <c r="AD992" s="122" t="b">
        <f>IF(ISBLANK(GroupMember[[#This Row],[1. Identifiant interne d’exploitation agricole*]]),"",IF(ISERROR(MATCH(GroupMember[[#This Row],[1. Identifiant interne d’exploitation agricole*]],CertifiedCrop[1. Identifiant interne d’exploitation agricole*],0)),FALSE,TRUE))</f>
        <v>1</v>
      </c>
      <c r="AE992" s="122" t="b">
        <f>IF(ISBLANK(GroupMember[[#This Row],[1. Identifiant interne d’exploitation agricole*]]),"",IF(ISERROR(MATCH(GroupMember[[#This Row],[1. Identifiant interne d’exploitation agricole*]],FarmUnit[1. Identifiant interne d’exploitation agricole*],0)),FALSE,TRUE))</f>
        <v>1</v>
      </c>
      <c r="AF992" s="9" t="str">
        <f t="shared" si="45"/>
        <v>YAMEOGO ERNEST</v>
      </c>
      <c r="AG992" s="243" t="str">
        <f t="shared" si="46"/>
        <v>16/9/2021</v>
      </c>
      <c r="AH992" s="51">
        <f>COUNTIFS(Z:Z,Z992,AG:AG,AG992)</f>
        <v>5</v>
      </c>
      <c r="AI992" s="49">
        <f t="shared" si="47"/>
        <v>0</v>
      </c>
    </row>
    <row r="993" spans="1:35" ht="15" x14ac:dyDescent="0.2">
      <c r="A993" s="205" t="s">
        <v>3275</v>
      </c>
      <c r="B993" s="146" t="s">
        <v>668</v>
      </c>
      <c r="C993" s="205" t="s">
        <v>3275</v>
      </c>
      <c r="D993" s="146" t="s">
        <v>2146</v>
      </c>
      <c r="E993" s="146" t="s">
        <v>670</v>
      </c>
      <c r="F993" s="146" t="s">
        <v>671</v>
      </c>
      <c r="G993" s="146" t="s">
        <v>672</v>
      </c>
      <c r="H993" s="241">
        <v>1.6</v>
      </c>
      <c r="I993" s="146" t="s">
        <v>673</v>
      </c>
      <c r="J993" s="226">
        <v>1</v>
      </c>
      <c r="K993" s="150">
        <v>2021</v>
      </c>
      <c r="L993" s="168" t="s">
        <v>3274</v>
      </c>
      <c r="M993" s="168" t="s">
        <v>3276</v>
      </c>
      <c r="N993" s="164"/>
      <c r="O993" s="146"/>
      <c r="P993" s="219" t="s">
        <v>676</v>
      </c>
      <c r="Q993" s="303"/>
      <c r="R993" s="155">
        <v>4</v>
      </c>
      <c r="S993" s="168"/>
      <c r="T993" s="168"/>
      <c r="U993" s="146"/>
      <c r="V993" s="146"/>
      <c r="W993" s="146"/>
      <c r="X993" s="156">
        <v>0</v>
      </c>
      <c r="Y993" s="156">
        <v>0</v>
      </c>
      <c r="Z993" s="157" t="s">
        <v>2703</v>
      </c>
      <c r="AA993" s="174">
        <v>2021</v>
      </c>
      <c r="AB993" s="175">
        <v>9</v>
      </c>
      <c r="AC993" s="175">
        <v>4</v>
      </c>
      <c r="AD993" s="122" t="b">
        <f>IF(ISBLANK(GroupMember[[#This Row],[1. Identifiant interne d’exploitation agricole*]]),"",IF(ISERROR(MATCH(GroupMember[[#This Row],[1. Identifiant interne d’exploitation agricole*]],CertifiedCrop[1. Identifiant interne d’exploitation agricole*],0)),FALSE,TRUE))</f>
        <v>1</v>
      </c>
      <c r="AE993" s="122" t="b">
        <f>IF(ISBLANK(GroupMember[[#This Row],[1. Identifiant interne d’exploitation agricole*]]),"",IF(ISERROR(MATCH(GroupMember[[#This Row],[1. Identifiant interne d’exploitation agricole*]],FarmUnit[1. Identifiant interne d’exploitation agricole*],0)),FALSE,TRUE))</f>
        <v>1</v>
      </c>
      <c r="AF993" s="9" t="str">
        <f t="shared" si="45"/>
        <v>YAMEOGO PROSPERT</v>
      </c>
      <c r="AG993" s="243" t="str">
        <f t="shared" si="46"/>
        <v>4/9/2021</v>
      </c>
      <c r="AH993" s="51">
        <f>COUNTIFS(Z:Z,Z993,AG:AG,AG993)</f>
        <v>5</v>
      </c>
      <c r="AI993" s="49">
        <f t="shared" si="47"/>
        <v>0</v>
      </c>
    </row>
    <row r="994" spans="1:35" ht="15" x14ac:dyDescent="0.2">
      <c r="A994" s="205" t="s">
        <v>3277</v>
      </c>
      <c r="B994" s="146" t="s">
        <v>668</v>
      </c>
      <c r="C994" s="205" t="s">
        <v>3277</v>
      </c>
      <c r="D994" s="146" t="s">
        <v>2146</v>
      </c>
      <c r="E994" s="146" t="s">
        <v>670</v>
      </c>
      <c r="F994" s="146" t="s">
        <v>671</v>
      </c>
      <c r="G994" s="146" t="s">
        <v>672</v>
      </c>
      <c r="H994" s="225">
        <v>7.0750000000000002</v>
      </c>
      <c r="I994" s="146" t="s">
        <v>673</v>
      </c>
      <c r="J994" s="226">
        <v>1</v>
      </c>
      <c r="K994" s="150">
        <v>2021</v>
      </c>
      <c r="L994" s="163" t="s">
        <v>760</v>
      </c>
      <c r="M994" s="163" t="s">
        <v>2249</v>
      </c>
      <c r="N994" s="164">
        <v>777324208</v>
      </c>
      <c r="O994" s="146"/>
      <c r="P994" s="219" t="s">
        <v>676</v>
      </c>
      <c r="Q994" s="297"/>
      <c r="R994" s="155">
        <v>7</v>
      </c>
      <c r="S994" s="168"/>
      <c r="T994" s="168"/>
      <c r="U994" s="146"/>
      <c r="V994" s="146"/>
      <c r="W994" s="146"/>
      <c r="X994" s="156">
        <v>0</v>
      </c>
      <c r="Y994" s="156">
        <v>0</v>
      </c>
      <c r="Z994" s="157" t="s">
        <v>2703</v>
      </c>
      <c r="AA994" s="174">
        <v>2021</v>
      </c>
      <c r="AB994" s="175">
        <v>9</v>
      </c>
      <c r="AC994" s="175">
        <v>15</v>
      </c>
      <c r="AD994" s="122" t="b">
        <f>IF(ISBLANK(GroupMember[[#This Row],[1. Identifiant interne d’exploitation agricole*]]),"",IF(ISERROR(MATCH(GroupMember[[#This Row],[1. Identifiant interne d’exploitation agricole*]],CertifiedCrop[1. Identifiant interne d’exploitation agricole*],0)),FALSE,TRUE))</f>
        <v>1</v>
      </c>
      <c r="AE994" s="122" t="b">
        <f>IF(ISBLANK(GroupMember[[#This Row],[1. Identifiant interne d’exploitation agricole*]]),"",IF(ISERROR(MATCH(GroupMember[[#This Row],[1. Identifiant interne d’exploitation agricole*]],FarmUnit[1. Identifiant interne d’exploitation agricole*],0)),FALSE,TRUE))</f>
        <v>1</v>
      </c>
      <c r="AF994" s="9" t="str">
        <f t="shared" si="45"/>
        <v>YERBANGA LOUIS</v>
      </c>
      <c r="AG994" s="243" t="str">
        <f t="shared" si="46"/>
        <v>15/9/2021</v>
      </c>
      <c r="AH994" s="51">
        <f>COUNTIFS(Z:Z,Z994,AG:AG,AG994)</f>
        <v>5</v>
      </c>
      <c r="AI994" s="49">
        <f t="shared" si="47"/>
        <v>0</v>
      </c>
    </row>
    <row r="995" spans="1:35" ht="15" x14ac:dyDescent="0.2">
      <c r="A995" s="205" t="s">
        <v>3278</v>
      </c>
      <c r="B995" s="146" t="s">
        <v>668</v>
      </c>
      <c r="C995" s="205" t="s">
        <v>3278</v>
      </c>
      <c r="D995" s="146" t="s">
        <v>2146</v>
      </c>
      <c r="E995" s="146" t="s">
        <v>670</v>
      </c>
      <c r="F995" s="146" t="s">
        <v>671</v>
      </c>
      <c r="G995" s="146" t="s">
        <v>672</v>
      </c>
      <c r="H995" s="225">
        <v>1.22</v>
      </c>
      <c r="I995" s="146" t="s">
        <v>673</v>
      </c>
      <c r="J995" s="226">
        <v>1</v>
      </c>
      <c r="K995" s="150">
        <v>2021</v>
      </c>
      <c r="L995" s="146" t="s">
        <v>3279</v>
      </c>
      <c r="M995" s="146" t="s">
        <v>3280</v>
      </c>
      <c r="N995" s="164">
        <v>585987549</v>
      </c>
      <c r="O995" s="146"/>
      <c r="P995" s="219" t="s">
        <v>676</v>
      </c>
      <c r="Q995" s="297"/>
      <c r="R995" s="155">
        <v>8</v>
      </c>
      <c r="S995" s="168"/>
      <c r="T995" s="168"/>
      <c r="U995" s="146"/>
      <c r="V995" s="146"/>
      <c r="W995" s="146"/>
      <c r="X995" s="156">
        <v>0</v>
      </c>
      <c r="Y995" s="156">
        <v>0</v>
      </c>
      <c r="Z995" s="157" t="s">
        <v>2703</v>
      </c>
      <c r="AA995" s="174">
        <v>2021</v>
      </c>
      <c r="AB995" s="175">
        <v>9</v>
      </c>
      <c r="AC995" s="175">
        <v>11</v>
      </c>
      <c r="AD995" s="122" t="b">
        <f>IF(ISBLANK(GroupMember[[#This Row],[1. Identifiant interne d’exploitation agricole*]]),"",IF(ISERROR(MATCH(GroupMember[[#This Row],[1. Identifiant interne d’exploitation agricole*]],CertifiedCrop[1. Identifiant interne d’exploitation agricole*],0)),FALSE,TRUE))</f>
        <v>1</v>
      </c>
      <c r="AE995" s="122" t="b">
        <f>IF(ISBLANK(GroupMember[[#This Row],[1. Identifiant interne d’exploitation agricole*]]),"",IF(ISERROR(MATCH(GroupMember[[#This Row],[1. Identifiant interne d’exploitation agricole*]],FarmUnit[1. Identifiant interne d’exploitation agricole*],0)),FALSE,TRUE))</f>
        <v>1</v>
      </c>
      <c r="AF995" s="9" t="str">
        <f t="shared" si="45"/>
        <v>YOBOUET KOUASSI AROUNA</v>
      </c>
      <c r="AG995" s="243" t="str">
        <f t="shared" si="46"/>
        <v>11/9/2021</v>
      </c>
      <c r="AH995" s="51">
        <f>COUNTIFS(Z:Z,Z995,AG:AG,AG995)</f>
        <v>5</v>
      </c>
      <c r="AI995" s="49">
        <f t="shared" si="47"/>
        <v>0</v>
      </c>
    </row>
    <row r="996" spans="1:35" ht="15" x14ac:dyDescent="0.2">
      <c r="A996" s="205" t="s">
        <v>3281</v>
      </c>
      <c r="B996" s="146" t="s">
        <v>668</v>
      </c>
      <c r="C996" s="205" t="s">
        <v>3281</v>
      </c>
      <c r="D996" s="146" t="s">
        <v>2146</v>
      </c>
      <c r="E996" s="146" t="s">
        <v>670</v>
      </c>
      <c r="F996" s="146" t="s">
        <v>671</v>
      </c>
      <c r="G996" s="146" t="s">
        <v>672</v>
      </c>
      <c r="H996" s="225">
        <v>3.07</v>
      </c>
      <c r="I996" s="146" t="s">
        <v>673</v>
      </c>
      <c r="J996" s="226">
        <v>1</v>
      </c>
      <c r="K996" s="150">
        <v>2021</v>
      </c>
      <c r="L996" s="163" t="s">
        <v>3005</v>
      </c>
      <c r="M996" s="163" t="s">
        <v>1034</v>
      </c>
      <c r="N996" s="164">
        <v>788886374</v>
      </c>
      <c r="O996" s="146"/>
      <c r="P996" s="219" t="s">
        <v>676</v>
      </c>
      <c r="Q996" s="297"/>
      <c r="R996" s="155">
        <v>5</v>
      </c>
      <c r="S996" s="168"/>
      <c r="T996" s="168"/>
      <c r="U996" s="146"/>
      <c r="V996" s="146"/>
      <c r="W996" s="146"/>
      <c r="X996" s="156">
        <v>0</v>
      </c>
      <c r="Y996" s="156">
        <v>0</v>
      </c>
      <c r="Z996" s="157" t="s">
        <v>2703</v>
      </c>
      <c r="AA996" s="174">
        <v>2021</v>
      </c>
      <c r="AB996" s="175">
        <v>9</v>
      </c>
      <c r="AC996" s="175">
        <v>6</v>
      </c>
      <c r="AD996" s="122" t="b">
        <f>IF(ISBLANK(GroupMember[[#This Row],[1. Identifiant interne d’exploitation agricole*]]),"",IF(ISERROR(MATCH(GroupMember[[#This Row],[1. Identifiant interne d’exploitation agricole*]],CertifiedCrop[1. Identifiant interne d’exploitation agricole*],0)),FALSE,TRUE))</f>
        <v>1</v>
      </c>
      <c r="AE996" s="122" t="b">
        <f>IF(ISBLANK(GroupMember[[#This Row],[1. Identifiant interne d’exploitation agricole*]]),"",IF(ISERROR(MATCH(GroupMember[[#This Row],[1. Identifiant interne d’exploitation agricole*]],FarmUnit[1. Identifiant interne d’exploitation agricole*],0)),FALSE,TRUE))</f>
        <v>1</v>
      </c>
      <c r="AF996" s="9" t="str">
        <f t="shared" si="45"/>
        <v>YOUL DIDIER</v>
      </c>
      <c r="AG996" s="243" t="str">
        <f t="shared" si="46"/>
        <v>6/9/2021</v>
      </c>
      <c r="AH996" s="51">
        <f>COUNTIFS(Z:Z,Z996,AG:AG,AG996)</f>
        <v>4</v>
      </c>
      <c r="AI996" s="49">
        <f t="shared" si="47"/>
        <v>0</v>
      </c>
    </row>
    <row r="997" spans="1:35" ht="15" x14ac:dyDescent="0.2">
      <c r="A997" s="205" t="s">
        <v>3282</v>
      </c>
      <c r="B997" s="146" t="s">
        <v>668</v>
      </c>
      <c r="C997" s="205" t="s">
        <v>3282</v>
      </c>
      <c r="D997" s="146" t="s">
        <v>2146</v>
      </c>
      <c r="E997" s="146" t="s">
        <v>670</v>
      </c>
      <c r="F997" s="146" t="s">
        <v>671</v>
      </c>
      <c r="G997" s="146" t="s">
        <v>672</v>
      </c>
      <c r="H997" s="225">
        <v>2.15</v>
      </c>
      <c r="I997" s="146" t="s">
        <v>673</v>
      </c>
      <c r="J997" s="226">
        <v>1</v>
      </c>
      <c r="K997" s="150">
        <v>2021</v>
      </c>
      <c r="L997" s="163" t="s">
        <v>3005</v>
      </c>
      <c r="M997" s="163" t="s">
        <v>3283</v>
      </c>
      <c r="N997" s="164">
        <v>564291769</v>
      </c>
      <c r="O997" s="146"/>
      <c r="P997" s="219" t="s">
        <v>676</v>
      </c>
      <c r="Q997" s="299">
        <v>1971</v>
      </c>
      <c r="R997" s="155">
        <v>5</v>
      </c>
      <c r="S997" s="168"/>
      <c r="T997" s="168"/>
      <c r="U997" s="146"/>
      <c r="V997" s="146"/>
      <c r="W997" s="146"/>
      <c r="X997" s="156">
        <v>0</v>
      </c>
      <c r="Y997" s="156">
        <v>0</v>
      </c>
      <c r="Z997" s="157" t="s">
        <v>2703</v>
      </c>
      <c r="AA997" s="174">
        <v>2021</v>
      </c>
      <c r="AB997" s="175">
        <v>9</v>
      </c>
      <c r="AC997" s="175">
        <v>14</v>
      </c>
      <c r="AD997" s="122" t="b">
        <f>IF(ISBLANK(GroupMember[[#This Row],[1. Identifiant interne d’exploitation agricole*]]),"",IF(ISERROR(MATCH(GroupMember[[#This Row],[1. Identifiant interne d’exploitation agricole*]],CertifiedCrop[1. Identifiant interne d’exploitation agricole*],0)),FALSE,TRUE))</f>
        <v>1</v>
      </c>
      <c r="AE997" s="122" t="b">
        <f>IF(ISBLANK(GroupMember[[#This Row],[1. Identifiant interne d’exploitation agricole*]]),"",IF(ISERROR(MATCH(GroupMember[[#This Row],[1. Identifiant interne d’exploitation agricole*]],FarmUnit[1. Identifiant interne d’exploitation agricole*],0)),FALSE,TRUE))</f>
        <v>1</v>
      </c>
      <c r="AF997" s="9" t="str">
        <f t="shared" si="45"/>
        <v>YOUL NABA</v>
      </c>
      <c r="AG997" s="243" t="str">
        <f t="shared" si="46"/>
        <v>14/9/2021</v>
      </c>
      <c r="AH997" s="51">
        <f>COUNTIFS(Z:Z,Z997,AG:AG,AG997)</f>
        <v>3</v>
      </c>
      <c r="AI997" s="49">
        <f t="shared" si="47"/>
        <v>0</v>
      </c>
    </row>
    <row r="998" spans="1:35" ht="15" x14ac:dyDescent="0.2">
      <c r="A998" s="205" t="s">
        <v>3284</v>
      </c>
      <c r="B998" s="146" t="s">
        <v>668</v>
      </c>
      <c r="C998" s="205" t="s">
        <v>3284</v>
      </c>
      <c r="D998" s="146" t="s">
        <v>2146</v>
      </c>
      <c r="E998" s="146" t="s">
        <v>670</v>
      </c>
      <c r="F998" s="146" t="s">
        <v>671</v>
      </c>
      <c r="G998" s="146" t="s">
        <v>672</v>
      </c>
      <c r="H998" s="227">
        <v>3.67</v>
      </c>
      <c r="I998" s="146" t="s">
        <v>673</v>
      </c>
      <c r="J998" s="226">
        <v>1</v>
      </c>
      <c r="K998" s="150">
        <v>2021</v>
      </c>
      <c r="L998" s="180" t="s">
        <v>1063</v>
      </c>
      <c r="M998" s="180" t="s">
        <v>3285</v>
      </c>
      <c r="N998" s="228"/>
      <c r="O998" s="180"/>
      <c r="P998" s="229" t="s">
        <v>676</v>
      </c>
      <c r="Q998" s="297"/>
      <c r="R998" s="155">
        <v>6</v>
      </c>
      <c r="S998" s="168"/>
      <c r="T998" s="168"/>
      <c r="U998" s="146"/>
      <c r="V998" s="146"/>
      <c r="W998" s="146"/>
      <c r="X998" s="156">
        <v>0</v>
      </c>
      <c r="Y998" s="156">
        <v>0</v>
      </c>
      <c r="Z998" s="157" t="s">
        <v>2703</v>
      </c>
      <c r="AA998" s="174">
        <v>2021</v>
      </c>
      <c r="AB998" s="175">
        <v>9</v>
      </c>
      <c r="AC998" s="175">
        <v>9</v>
      </c>
      <c r="AD998" s="122" t="b">
        <f>IF(ISBLANK(GroupMember[[#This Row],[1. Identifiant interne d’exploitation agricole*]]),"",IF(ISERROR(MATCH(GroupMember[[#This Row],[1. Identifiant interne d’exploitation agricole*]],CertifiedCrop[1. Identifiant interne d’exploitation agricole*],0)),FALSE,TRUE))</f>
        <v>1</v>
      </c>
      <c r="AE998" s="122" t="b">
        <f>IF(ISBLANK(GroupMember[[#This Row],[1. Identifiant interne d’exploitation agricole*]]),"",IF(ISERROR(MATCH(GroupMember[[#This Row],[1. Identifiant interne d’exploitation agricole*]],FarmUnit[1. Identifiant interne d’exploitation agricole*],0)),FALSE,TRUE))</f>
        <v>1</v>
      </c>
      <c r="AF998" s="9" t="str">
        <f t="shared" si="45"/>
        <v>ZONGO RASMANI</v>
      </c>
      <c r="AG998" s="243" t="str">
        <f t="shared" si="46"/>
        <v>9/9/2021</v>
      </c>
      <c r="AH998" s="51">
        <f>COUNTIFS(Z:Z,Z998,AG:AG,AG998)</f>
        <v>4</v>
      </c>
      <c r="AI998" s="49">
        <f t="shared" si="47"/>
        <v>0</v>
      </c>
    </row>
    <row r="999" spans="1:35" ht="15" x14ac:dyDescent="0.2">
      <c r="A999" s="205" t="s">
        <v>3286</v>
      </c>
      <c r="B999" s="146" t="s">
        <v>668</v>
      </c>
      <c r="C999" s="205" t="s">
        <v>3286</v>
      </c>
      <c r="D999" s="146" t="s">
        <v>2146</v>
      </c>
      <c r="E999" s="146" t="s">
        <v>670</v>
      </c>
      <c r="F999" s="146" t="s">
        <v>671</v>
      </c>
      <c r="G999" s="146" t="s">
        <v>672</v>
      </c>
      <c r="H999" s="225">
        <v>6.24</v>
      </c>
      <c r="I999" s="146" t="s">
        <v>673</v>
      </c>
      <c r="J999" s="226">
        <v>1</v>
      </c>
      <c r="K999" s="150">
        <v>2021</v>
      </c>
      <c r="L999" s="146" t="s">
        <v>1063</v>
      </c>
      <c r="M999" s="146" t="s">
        <v>1789</v>
      </c>
      <c r="N999" s="164">
        <v>749872770</v>
      </c>
      <c r="O999" s="146"/>
      <c r="P999" s="219" t="s">
        <v>676</v>
      </c>
      <c r="Q999" s="297"/>
      <c r="R999" s="155">
        <v>4</v>
      </c>
      <c r="S999" s="168"/>
      <c r="T999" s="168"/>
      <c r="U999" s="146"/>
      <c r="V999" s="146"/>
      <c r="W999" s="146"/>
      <c r="X999" s="156">
        <v>0</v>
      </c>
      <c r="Y999" s="156">
        <v>0</v>
      </c>
      <c r="Z999" s="157" t="s">
        <v>2703</v>
      </c>
      <c r="AA999" s="174">
        <v>2021</v>
      </c>
      <c r="AB999" s="175">
        <v>9</v>
      </c>
      <c r="AC999" s="175">
        <v>15</v>
      </c>
      <c r="AD999" s="122" t="b">
        <f>IF(ISBLANK(GroupMember[[#This Row],[1. Identifiant interne d’exploitation agricole*]]),"",IF(ISERROR(MATCH(GroupMember[[#This Row],[1. Identifiant interne d’exploitation agricole*]],CertifiedCrop[1. Identifiant interne d’exploitation agricole*],0)),FALSE,TRUE))</f>
        <v>1</v>
      </c>
      <c r="AE999" s="122" t="b">
        <f>IF(ISBLANK(GroupMember[[#This Row],[1. Identifiant interne d’exploitation agricole*]]),"",IF(ISERROR(MATCH(GroupMember[[#This Row],[1. Identifiant interne d’exploitation agricole*]],FarmUnit[1. Identifiant interne d’exploitation agricole*],0)),FALSE,TRUE))</f>
        <v>1</v>
      </c>
      <c r="AF999" s="9" t="str">
        <f t="shared" si="45"/>
        <v>ZONGO IBRAHIM</v>
      </c>
      <c r="AG999" s="243" t="str">
        <f t="shared" si="46"/>
        <v>15/9/2021</v>
      </c>
      <c r="AH999" s="51">
        <f>COUNTIFS(Z:Z,Z999,AG:AG,AG999)</f>
        <v>5</v>
      </c>
      <c r="AI999" s="49">
        <f t="shared" si="47"/>
        <v>0</v>
      </c>
    </row>
    <row r="1000" spans="1:35" ht="15" x14ac:dyDescent="0.2">
      <c r="A1000" s="205" t="s">
        <v>3287</v>
      </c>
      <c r="B1000" s="146" t="s">
        <v>668</v>
      </c>
      <c r="C1000" s="205" t="s">
        <v>3287</v>
      </c>
      <c r="D1000" s="146" t="s">
        <v>2146</v>
      </c>
      <c r="E1000" s="146" t="s">
        <v>670</v>
      </c>
      <c r="F1000" s="146" t="s">
        <v>671</v>
      </c>
      <c r="G1000" s="146" t="s">
        <v>672</v>
      </c>
      <c r="H1000" s="225">
        <v>2.2599999999999998</v>
      </c>
      <c r="I1000" s="146" t="s">
        <v>673</v>
      </c>
      <c r="J1000" s="226">
        <v>1</v>
      </c>
      <c r="K1000" s="150">
        <v>2021</v>
      </c>
      <c r="L1000" s="146" t="s">
        <v>3288</v>
      </c>
      <c r="M1000" s="146" t="s">
        <v>3289</v>
      </c>
      <c r="N1000" s="164">
        <v>546338371</v>
      </c>
      <c r="O1000" s="146"/>
      <c r="P1000" s="242" t="s">
        <v>676</v>
      </c>
      <c r="Q1000" s="297"/>
      <c r="R1000" s="155">
        <v>7</v>
      </c>
      <c r="S1000" s="168"/>
      <c r="T1000" s="168"/>
      <c r="U1000" s="146"/>
      <c r="V1000" s="146"/>
      <c r="W1000" s="146"/>
      <c r="X1000" s="156">
        <v>0</v>
      </c>
      <c r="Y1000" s="156">
        <v>0</v>
      </c>
      <c r="Z1000" s="157" t="s">
        <v>2703</v>
      </c>
      <c r="AA1000" s="174">
        <v>2021</v>
      </c>
      <c r="AB1000" s="175">
        <v>9</v>
      </c>
      <c r="AC1000" s="175">
        <v>4</v>
      </c>
      <c r="AD1000" s="122" t="b">
        <f>IF(ISBLANK(GroupMember[[#This Row],[1. Identifiant interne d’exploitation agricole*]]),"",IF(ISERROR(MATCH(GroupMember[[#This Row],[1. Identifiant interne d’exploitation agricole*]],CertifiedCrop[1. Identifiant interne d’exploitation agricole*],0)),FALSE,TRUE))</f>
        <v>1</v>
      </c>
      <c r="AE1000" s="122" t="b">
        <f>IF(ISBLANK(GroupMember[[#This Row],[1. Identifiant interne d’exploitation agricole*]]),"",IF(ISERROR(MATCH(GroupMember[[#This Row],[1. Identifiant interne d’exploitation agricole*]],FarmUnit[1. Identifiant interne d’exploitation agricole*],0)),FALSE,TRUE))</f>
        <v>1</v>
      </c>
      <c r="AF1000" s="9" t="str">
        <f t="shared" si="45"/>
        <v>ZORE MOCTAR</v>
      </c>
      <c r="AG1000" s="243" t="str">
        <f t="shared" si="46"/>
        <v>4/9/2021</v>
      </c>
      <c r="AH1000" s="51">
        <f>COUNTIFS(Z:Z,Z1000,AG:AG,AG1000)</f>
        <v>5</v>
      </c>
      <c r="AI1000" s="49">
        <f t="shared" si="47"/>
        <v>0</v>
      </c>
    </row>
    <row r="1001" spans="1:35" ht="15" x14ac:dyDescent="0.2">
      <c r="A1001" s="375" t="s">
        <v>3497</v>
      </c>
      <c r="B1001" s="306"/>
      <c r="C1001" s="375" t="s">
        <v>3497</v>
      </c>
      <c r="D1001" s="146" t="s">
        <v>2146</v>
      </c>
      <c r="E1001" s="146" t="s">
        <v>670</v>
      </c>
      <c r="F1001" s="146" t="s">
        <v>671</v>
      </c>
      <c r="G1001" s="146" t="s">
        <v>672</v>
      </c>
      <c r="H1001" s="343">
        <v>0.6</v>
      </c>
      <c r="I1001" s="146" t="s">
        <v>673</v>
      </c>
      <c r="J1001" s="226">
        <v>1</v>
      </c>
      <c r="K1001" s="308">
        <v>2022</v>
      </c>
      <c r="L1001" s="343" t="s">
        <v>753</v>
      </c>
      <c r="M1001" s="310" t="s">
        <v>2151</v>
      </c>
      <c r="N1001" s="342" t="s">
        <v>3474</v>
      </c>
      <c r="O1001" s="343"/>
      <c r="P1001" s="242" t="s">
        <v>676</v>
      </c>
      <c r="Q1001" s="311"/>
      <c r="R1001" s="312"/>
      <c r="S1001" s="306"/>
      <c r="T1001" s="313"/>
      <c r="U1001" s="306"/>
      <c r="V1001" s="306"/>
      <c r="W1001" s="306"/>
      <c r="X1001" s="314"/>
      <c r="Y1001" s="314"/>
      <c r="Z1001" s="315"/>
      <c r="AA1001" s="316"/>
      <c r="AB1001" s="316"/>
      <c r="AC1001" s="316"/>
      <c r="AD1001" s="317" t="b">
        <f>IF(ISBLANK(GroupMember[[#This Row],[1. Identifiant interne d’exploitation agricole*]]),"",IF(ISERROR(MATCH(GroupMember[[#This Row],[1. Identifiant interne d’exploitation agricole*]],CertifiedCrop[1. Identifiant interne d’exploitation agricole*],0)),FALSE,TRUE))</f>
        <v>1</v>
      </c>
      <c r="AE1001" s="317" t="b">
        <f>IF(ISBLANK(GroupMember[[#This Row],[1. Identifiant interne d’exploitation agricole*]]),"",IF(ISERROR(MATCH(GroupMember[[#This Row],[1. Identifiant interne d’exploitation agricole*]],FarmUnit[1. Identifiant interne d’exploitation agricole*],0)),FALSE,TRUE))</f>
        <v>1</v>
      </c>
      <c r="AF1001" s="318" t="str">
        <f t="shared" ref="AF1001:AF1010" si="48">IFERROR(CONCATENATE(L1001," ",M1001),"")</f>
        <v>ADAMA DIARRA</v>
      </c>
      <c r="AG1001" s="319" t="str">
        <f t="shared" ref="AG1001:AG1010" si="49">CONCATENATE(AC1001,"/",AB1001,"/",AA1001)</f>
        <v>//</v>
      </c>
      <c r="AH1001" s="320">
        <f>COUNTIFS(Z:Z,Z1001,AG:AG,AG1001)</f>
        <v>0</v>
      </c>
      <c r="AI1001" s="321">
        <f t="shared" ref="AI1001:AI1010" si="50">IF((X1001+Y1001/12)&lt;0,"",(X1001+Y1001/12))</f>
        <v>0</v>
      </c>
    </row>
    <row r="1002" spans="1:35" s="341" customFormat="1" ht="15" x14ac:dyDescent="0.2">
      <c r="A1002" s="376" t="s">
        <v>3498</v>
      </c>
      <c r="B1002" s="326"/>
      <c r="C1002" s="376" t="s">
        <v>3498</v>
      </c>
      <c r="D1002" s="146" t="s">
        <v>2146</v>
      </c>
      <c r="E1002" s="146" t="s">
        <v>670</v>
      </c>
      <c r="F1002" s="146" t="s">
        <v>671</v>
      </c>
      <c r="G1002" s="146" t="s">
        <v>672</v>
      </c>
      <c r="H1002" s="188">
        <v>1.4</v>
      </c>
      <c r="I1002" s="146" t="s">
        <v>673</v>
      </c>
      <c r="J1002" s="226">
        <v>1</v>
      </c>
      <c r="K1002" s="328">
        <v>2022</v>
      </c>
      <c r="L1002" s="188" t="s">
        <v>702</v>
      </c>
      <c r="M1002" s="309" t="s">
        <v>2159</v>
      </c>
      <c r="N1002" s="329" t="s">
        <v>3475</v>
      </c>
      <c r="O1002" s="188"/>
      <c r="P1002" s="242" t="s">
        <v>676</v>
      </c>
      <c r="Q1002" s="330"/>
      <c r="R1002" s="331"/>
      <c r="S1002" s="326"/>
      <c r="T1002" s="332"/>
      <c r="U1002" s="326"/>
      <c r="V1002" s="326"/>
      <c r="W1002" s="326"/>
      <c r="X1002" s="333"/>
      <c r="Y1002" s="333"/>
      <c r="Z1002" s="334"/>
      <c r="AA1002" s="335"/>
      <c r="AB1002" s="335"/>
      <c r="AC1002" s="335"/>
      <c r="AD1002" s="336" t="b">
        <f>IF(ISBLANK(GroupMember[[#This Row],[1. Identifiant interne d’exploitation agricole*]]),"",IF(ISERROR(MATCH(GroupMember[[#This Row],[1. Identifiant interne d’exploitation agricole*]],CertifiedCrop[1. Identifiant interne d’exploitation agricole*],0)),FALSE,TRUE))</f>
        <v>1</v>
      </c>
      <c r="AE1002" s="336" t="b">
        <f>IF(ISBLANK(GroupMember[[#This Row],[1. Identifiant interne d’exploitation agricole*]]),"",IF(ISERROR(MATCH(GroupMember[[#This Row],[1. Identifiant interne d’exploitation agricole*]],FarmUnit[1. Identifiant interne d’exploitation agricole*],0)),FALSE,TRUE))</f>
        <v>1</v>
      </c>
      <c r="AF1002" s="337" t="str">
        <f t="shared" si="48"/>
        <v>AMADOU DIARRASSOUBA</v>
      </c>
      <c r="AG1002" s="338" t="str">
        <f t="shared" si="49"/>
        <v>//</v>
      </c>
      <c r="AH1002" s="339">
        <f>COUNTIFS(Z:Z,Z1002,AG:AG,AG1002)</f>
        <v>0</v>
      </c>
      <c r="AI1002" s="340">
        <f t="shared" si="50"/>
        <v>0</v>
      </c>
    </row>
    <row r="1003" spans="1:35" ht="15" x14ac:dyDescent="0.2">
      <c r="A1003" s="375" t="s">
        <v>3499</v>
      </c>
      <c r="B1003" s="306"/>
      <c r="C1003" s="375" t="s">
        <v>3499</v>
      </c>
      <c r="D1003" s="146" t="s">
        <v>2146</v>
      </c>
      <c r="E1003" s="146" t="s">
        <v>670</v>
      </c>
      <c r="F1003" s="146" t="s">
        <v>671</v>
      </c>
      <c r="G1003" s="146" t="s">
        <v>672</v>
      </c>
      <c r="H1003" s="343">
        <v>2.6</v>
      </c>
      <c r="I1003" s="146" t="s">
        <v>673</v>
      </c>
      <c r="J1003" s="226">
        <v>1</v>
      </c>
      <c r="K1003" s="308">
        <v>2022</v>
      </c>
      <c r="L1003" s="343" t="s">
        <v>3462</v>
      </c>
      <c r="M1003" s="310" t="s">
        <v>729</v>
      </c>
      <c r="N1003" s="342" t="s">
        <v>3476</v>
      </c>
      <c r="O1003" s="343"/>
      <c r="P1003" s="242" t="s">
        <v>676</v>
      </c>
      <c r="Q1003" s="311"/>
      <c r="R1003" s="312"/>
      <c r="S1003" s="306"/>
      <c r="T1003" s="313"/>
      <c r="U1003" s="306"/>
      <c r="V1003" s="306"/>
      <c r="W1003" s="306"/>
      <c r="X1003" s="314"/>
      <c r="Y1003" s="314"/>
      <c r="Z1003" s="315"/>
      <c r="AA1003" s="316"/>
      <c r="AB1003" s="316"/>
      <c r="AC1003" s="316"/>
      <c r="AD1003" s="317" t="b">
        <f>IF(ISBLANK(GroupMember[[#This Row],[1. Identifiant interne d’exploitation agricole*]]),"",IF(ISERROR(MATCH(GroupMember[[#This Row],[1. Identifiant interne d’exploitation agricole*]],CertifiedCrop[1. Identifiant interne d’exploitation agricole*],0)),FALSE,TRUE))</f>
        <v>1</v>
      </c>
      <c r="AE1003" s="317" t="b">
        <f>IF(ISBLANK(GroupMember[[#This Row],[1. Identifiant interne d’exploitation agricole*]]),"",IF(ISERROR(MATCH(GroupMember[[#This Row],[1. Identifiant interne d’exploitation agricole*]],FarmUnit[1. Identifiant interne d’exploitation agricole*],0)),FALSE,TRUE))</f>
        <v>1</v>
      </c>
      <c r="AF1003" s="318" t="str">
        <f t="shared" si="48"/>
        <v>BAKAHI DOUMBIA</v>
      </c>
      <c r="AG1003" s="319" t="str">
        <f t="shared" si="49"/>
        <v>//</v>
      </c>
      <c r="AH1003" s="320">
        <f>COUNTIFS(Z:Z,Z1003,AG:AG,AG1003)</f>
        <v>0</v>
      </c>
      <c r="AI1003" s="321">
        <f t="shared" si="50"/>
        <v>0</v>
      </c>
    </row>
    <row r="1004" spans="1:35" s="341" customFormat="1" ht="15" x14ac:dyDescent="0.2">
      <c r="A1004" s="412" t="s">
        <v>3501</v>
      </c>
      <c r="B1004" s="326"/>
      <c r="C1004" s="412" t="s">
        <v>3501</v>
      </c>
      <c r="D1004" s="146" t="s">
        <v>2146</v>
      </c>
      <c r="E1004" s="146" t="s">
        <v>670</v>
      </c>
      <c r="F1004" s="146" t="s">
        <v>671</v>
      </c>
      <c r="G1004" s="146" t="s">
        <v>672</v>
      </c>
      <c r="H1004" s="188">
        <v>2.5</v>
      </c>
      <c r="I1004" s="146" t="s">
        <v>673</v>
      </c>
      <c r="J1004" s="226">
        <v>1</v>
      </c>
      <c r="K1004" s="328">
        <v>2022</v>
      </c>
      <c r="L1004" s="188" t="s">
        <v>1785</v>
      </c>
      <c r="M1004" s="309" t="s">
        <v>2742</v>
      </c>
      <c r="N1004" s="329" t="s">
        <v>3477</v>
      </c>
      <c r="O1004" s="188"/>
      <c r="P1004" s="242" t="s">
        <v>676</v>
      </c>
      <c r="Q1004" s="330"/>
      <c r="R1004" s="331"/>
      <c r="S1004" s="326"/>
      <c r="T1004" s="332"/>
      <c r="U1004" s="326"/>
      <c r="V1004" s="326"/>
      <c r="W1004" s="326"/>
      <c r="X1004" s="333"/>
      <c r="Y1004" s="333"/>
      <c r="Z1004" s="334"/>
      <c r="AA1004" s="335"/>
      <c r="AB1004" s="335"/>
      <c r="AC1004" s="335"/>
      <c r="AD1004" s="336" t="b">
        <f>IF(ISBLANK(GroupMember[[#This Row],[1. Identifiant interne d’exploitation agricole*]]),"",IF(ISERROR(MATCH(GroupMember[[#This Row],[1. Identifiant interne d’exploitation agricole*]],CertifiedCrop[1. Identifiant interne d’exploitation agricole*],0)),FALSE,TRUE))</f>
        <v>1</v>
      </c>
      <c r="AE1004" s="336" t="b">
        <f>IF(ISBLANK(GroupMember[[#This Row],[1. Identifiant interne d’exploitation agricole*]]),"",IF(ISERROR(MATCH(GroupMember[[#This Row],[1. Identifiant interne d’exploitation agricole*]],FarmUnit[1. Identifiant interne d’exploitation agricole*],0)),FALSE,TRUE))</f>
        <v>1</v>
      </c>
      <c r="AF1004" s="337" t="str">
        <f t="shared" si="48"/>
        <v>MAMADOU FOFANA</v>
      </c>
      <c r="AG1004" s="338" t="str">
        <f t="shared" si="49"/>
        <v>//</v>
      </c>
      <c r="AH1004" s="339">
        <f>COUNTIFS(Z:Z,Z1004,AG:AG,AG1004)</f>
        <v>0</v>
      </c>
      <c r="AI1004" s="340">
        <f t="shared" si="50"/>
        <v>0</v>
      </c>
    </row>
    <row r="1005" spans="1:35" ht="15" x14ac:dyDescent="0.2">
      <c r="A1005" s="405" t="s">
        <v>3502</v>
      </c>
      <c r="B1005" s="306"/>
      <c r="C1005" s="405" t="s">
        <v>3502</v>
      </c>
      <c r="D1005" s="146" t="s">
        <v>2146</v>
      </c>
      <c r="E1005" s="146" t="s">
        <v>670</v>
      </c>
      <c r="F1005" s="146" t="s">
        <v>671</v>
      </c>
      <c r="G1005" s="146" t="s">
        <v>672</v>
      </c>
      <c r="H1005" s="343">
        <v>1.2</v>
      </c>
      <c r="I1005" s="146" t="s">
        <v>673</v>
      </c>
      <c r="J1005" s="226">
        <v>1</v>
      </c>
      <c r="K1005" s="308">
        <v>2022</v>
      </c>
      <c r="L1005" s="343" t="s">
        <v>2151</v>
      </c>
      <c r="M1005" s="310" t="s">
        <v>2272</v>
      </c>
      <c r="N1005" s="342" t="s">
        <v>3478</v>
      </c>
      <c r="O1005" s="343" t="s">
        <v>3493</v>
      </c>
      <c r="P1005" s="242" t="s">
        <v>676</v>
      </c>
      <c r="Q1005" s="311"/>
      <c r="R1005" s="312"/>
      <c r="S1005" s="306"/>
      <c r="T1005" s="313"/>
      <c r="U1005" s="306"/>
      <c r="V1005" s="306"/>
      <c r="W1005" s="306"/>
      <c r="X1005" s="314"/>
      <c r="Y1005" s="314"/>
      <c r="Z1005" s="315"/>
      <c r="AA1005" s="316"/>
      <c r="AB1005" s="316"/>
      <c r="AC1005" s="316"/>
      <c r="AD1005" s="317" t="b">
        <f>IF(ISBLANK(GroupMember[[#This Row],[1. Identifiant interne d’exploitation agricole*]]),"",IF(ISERROR(MATCH(GroupMember[[#This Row],[1. Identifiant interne d’exploitation agricole*]],CertifiedCrop[1. Identifiant interne d’exploitation agricole*],0)),FALSE,TRUE))</f>
        <v>1</v>
      </c>
      <c r="AE1005" s="317" t="b">
        <f>IF(ISBLANK(GroupMember[[#This Row],[1. Identifiant interne d’exploitation agricole*]]),"",IF(ISERROR(MATCH(GroupMember[[#This Row],[1. Identifiant interne d’exploitation agricole*]],FarmUnit[1. Identifiant interne d’exploitation agricole*],0)),FALSE,TRUE))</f>
        <v>1</v>
      </c>
      <c r="AF1005" s="318" t="str">
        <f t="shared" si="48"/>
        <v>DIARRA KALIFA</v>
      </c>
      <c r="AG1005" s="319" t="str">
        <f t="shared" si="49"/>
        <v>//</v>
      </c>
      <c r="AH1005" s="320">
        <f>COUNTIFS(Z:Z,Z1005,AG:AG,AG1005)</f>
        <v>0</v>
      </c>
      <c r="AI1005" s="321">
        <f t="shared" si="50"/>
        <v>0</v>
      </c>
    </row>
    <row r="1006" spans="1:35" s="341" customFormat="1" ht="15" x14ac:dyDescent="0.2">
      <c r="A1006" s="412" t="s">
        <v>3503</v>
      </c>
      <c r="B1006" s="326"/>
      <c r="C1006" s="412" t="s">
        <v>3503</v>
      </c>
      <c r="D1006" s="146" t="s">
        <v>2146</v>
      </c>
      <c r="E1006" s="146" t="s">
        <v>670</v>
      </c>
      <c r="F1006" s="146" t="s">
        <v>671</v>
      </c>
      <c r="G1006" s="146" t="s">
        <v>672</v>
      </c>
      <c r="H1006" s="188">
        <v>10.199999999999999</v>
      </c>
      <c r="I1006" s="146" t="s">
        <v>673</v>
      </c>
      <c r="J1006" s="226">
        <v>1</v>
      </c>
      <c r="K1006" s="328">
        <v>2022</v>
      </c>
      <c r="L1006" s="188" t="s">
        <v>3463</v>
      </c>
      <c r="M1006" s="309" t="s">
        <v>3461</v>
      </c>
      <c r="N1006" s="329" t="s">
        <v>3479</v>
      </c>
      <c r="O1006" s="188"/>
      <c r="P1006" s="242" t="s">
        <v>676</v>
      </c>
      <c r="Q1006" s="330"/>
      <c r="R1006" s="331"/>
      <c r="S1006" s="326"/>
      <c r="T1006" s="332"/>
      <c r="U1006" s="326"/>
      <c r="V1006" s="326"/>
      <c r="W1006" s="326"/>
      <c r="X1006" s="333"/>
      <c r="Y1006" s="333"/>
      <c r="Z1006" s="334"/>
      <c r="AA1006" s="335"/>
      <c r="AB1006" s="335"/>
      <c r="AC1006" s="335"/>
      <c r="AD1006" s="336" t="b">
        <f>IF(ISBLANK(GroupMember[[#This Row],[1. Identifiant interne d’exploitation agricole*]]),"",IF(ISERROR(MATCH(GroupMember[[#This Row],[1. Identifiant interne d’exploitation agricole*]],CertifiedCrop[1. Identifiant interne d’exploitation agricole*],0)),FALSE,TRUE))</f>
        <v>1</v>
      </c>
      <c r="AE1006" s="336" t="b">
        <f>IF(ISBLANK(GroupMember[[#This Row],[1. Identifiant interne d’exploitation agricole*]]),"",IF(ISERROR(MATCH(GroupMember[[#This Row],[1. Identifiant interne d’exploitation agricole*]],FarmUnit[1. Identifiant interne d’exploitation agricole*],0)),FALSE,TRUE))</f>
        <v>1</v>
      </c>
      <c r="AF1006" s="337" t="str">
        <f t="shared" si="48"/>
        <v>SAHAGA KOMBEOGO</v>
      </c>
      <c r="AG1006" s="338" t="str">
        <f t="shared" si="49"/>
        <v>//</v>
      </c>
      <c r="AH1006" s="339">
        <f>COUNTIFS(Z:Z,Z1006,AG:AG,AG1006)</f>
        <v>0</v>
      </c>
      <c r="AI1006" s="340">
        <f t="shared" si="50"/>
        <v>0</v>
      </c>
    </row>
    <row r="1007" spans="1:35" ht="15" x14ac:dyDescent="0.2">
      <c r="A1007" s="405" t="s">
        <v>3500</v>
      </c>
      <c r="B1007" s="306"/>
      <c r="C1007" s="405" t="s">
        <v>3500</v>
      </c>
      <c r="D1007" s="146" t="s">
        <v>2146</v>
      </c>
      <c r="E1007" s="146" t="s">
        <v>670</v>
      </c>
      <c r="F1007" s="146" t="s">
        <v>671</v>
      </c>
      <c r="G1007" s="146" t="s">
        <v>672</v>
      </c>
      <c r="H1007" s="343">
        <v>1.8</v>
      </c>
      <c r="I1007" s="146" t="s">
        <v>673</v>
      </c>
      <c r="J1007" s="226">
        <v>1</v>
      </c>
      <c r="K1007" s="308">
        <v>2022</v>
      </c>
      <c r="L1007" s="343" t="s">
        <v>2625</v>
      </c>
      <c r="M1007" s="310" t="s">
        <v>828</v>
      </c>
      <c r="N1007" s="342" t="s">
        <v>3480</v>
      </c>
      <c r="O1007" s="343"/>
      <c r="P1007" s="242" t="s">
        <v>676</v>
      </c>
      <c r="Q1007" s="311"/>
      <c r="R1007" s="312"/>
      <c r="S1007" s="306"/>
      <c r="T1007" s="313"/>
      <c r="U1007" s="306"/>
      <c r="V1007" s="306"/>
      <c r="W1007" s="306"/>
      <c r="X1007" s="314"/>
      <c r="Y1007" s="314"/>
      <c r="Z1007" s="315"/>
      <c r="AA1007" s="316"/>
      <c r="AB1007" s="316"/>
      <c r="AC1007" s="316"/>
      <c r="AD1007" s="317" t="b">
        <f>IF(ISBLANK(GroupMember[[#This Row],[1. Identifiant interne d’exploitation agricole*]]),"",IF(ISERROR(MATCH(GroupMember[[#This Row],[1. Identifiant interne d’exploitation agricole*]],CertifiedCrop[1. Identifiant interne d’exploitation agricole*],0)),FALSE,TRUE))</f>
        <v>1</v>
      </c>
      <c r="AE1007" s="317" t="b">
        <f>IF(ISBLANK(GroupMember[[#This Row],[1. Identifiant interne d’exploitation agricole*]]),"",IF(ISERROR(MATCH(GroupMember[[#This Row],[1. Identifiant interne d’exploitation agricole*]],FarmUnit[1. Identifiant interne d’exploitation agricole*],0)),FALSE,TRUE))</f>
        <v>1</v>
      </c>
      <c r="AF1007" s="318" t="str">
        <f t="shared" si="48"/>
        <v>SIRIKI KONATE</v>
      </c>
      <c r="AG1007" s="319" t="str">
        <f t="shared" si="49"/>
        <v>//</v>
      </c>
      <c r="AH1007" s="320">
        <f>COUNTIFS(Z:Z,Z1007,AG:AG,AG1007)</f>
        <v>0</v>
      </c>
      <c r="AI1007" s="321">
        <f t="shared" si="50"/>
        <v>0</v>
      </c>
    </row>
    <row r="1008" spans="1:35" s="341" customFormat="1" ht="15" x14ac:dyDescent="0.2">
      <c r="A1008" s="412" t="s">
        <v>3504</v>
      </c>
      <c r="B1008" s="326"/>
      <c r="C1008" s="412" t="s">
        <v>3504</v>
      </c>
      <c r="D1008" s="146" t="s">
        <v>2146</v>
      </c>
      <c r="E1008" s="146" t="s">
        <v>670</v>
      </c>
      <c r="F1008" s="146" t="s">
        <v>671</v>
      </c>
      <c r="G1008" s="146" t="s">
        <v>672</v>
      </c>
      <c r="H1008" s="188">
        <v>2.1</v>
      </c>
      <c r="I1008" s="146" t="s">
        <v>673</v>
      </c>
      <c r="J1008" s="226">
        <v>1</v>
      </c>
      <c r="K1008" s="328">
        <v>2022</v>
      </c>
      <c r="L1008" s="188" t="s">
        <v>1624</v>
      </c>
      <c r="M1008" s="309" t="s">
        <v>765</v>
      </c>
      <c r="N1008" s="329" t="s">
        <v>3481</v>
      </c>
      <c r="O1008" s="188" t="s">
        <v>3494</v>
      </c>
      <c r="P1008" s="242" t="s">
        <v>676</v>
      </c>
      <c r="Q1008" s="330"/>
      <c r="R1008" s="331"/>
      <c r="S1008" s="326"/>
      <c r="T1008" s="332"/>
      <c r="U1008" s="326"/>
      <c r="V1008" s="326"/>
      <c r="W1008" s="326"/>
      <c r="X1008" s="333"/>
      <c r="Y1008" s="333"/>
      <c r="Z1008" s="334"/>
      <c r="AA1008" s="335"/>
      <c r="AB1008" s="335"/>
      <c r="AC1008" s="335"/>
      <c r="AD1008" s="336" t="b">
        <f>IF(ISBLANK(GroupMember[[#This Row],[1. Identifiant interne d’exploitation agricole*]]),"",IF(ISERROR(MATCH(GroupMember[[#This Row],[1. Identifiant interne d’exploitation agricole*]],CertifiedCrop[1. Identifiant interne d’exploitation agricole*],0)),FALSE,TRUE))</f>
        <v>1</v>
      </c>
      <c r="AE1008" s="336" t="b">
        <f>IF(ISBLANK(GroupMember[[#This Row],[1. Identifiant interne d’exploitation agricole*]]),"",IF(ISERROR(MATCH(GroupMember[[#This Row],[1. Identifiant interne d’exploitation agricole*]],FarmUnit[1. Identifiant interne d’exploitation agricole*],0)),FALSE,TRUE))</f>
        <v>1</v>
      </c>
      <c r="AF1008" s="337" t="str">
        <f t="shared" si="48"/>
        <v>SOULEYMANE KONE</v>
      </c>
      <c r="AG1008" s="338" t="str">
        <f t="shared" si="49"/>
        <v>//</v>
      </c>
      <c r="AH1008" s="339">
        <f>COUNTIFS(Z:Z,Z1008,AG:AG,AG1008)</f>
        <v>0</v>
      </c>
      <c r="AI1008" s="340">
        <f t="shared" si="50"/>
        <v>0</v>
      </c>
    </row>
    <row r="1009" spans="1:35" ht="15" x14ac:dyDescent="0.2">
      <c r="A1009" s="405" t="s">
        <v>3505</v>
      </c>
      <c r="B1009" s="306"/>
      <c r="C1009" s="405" t="s">
        <v>3505</v>
      </c>
      <c r="D1009" s="146" t="s">
        <v>2146</v>
      </c>
      <c r="E1009" s="146" t="s">
        <v>670</v>
      </c>
      <c r="F1009" s="146" t="s">
        <v>671</v>
      </c>
      <c r="G1009" s="146" t="s">
        <v>672</v>
      </c>
      <c r="H1009" s="343">
        <v>6.2</v>
      </c>
      <c r="I1009" s="146" t="s">
        <v>673</v>
      </c>
      <c r="J1009" s="226">
        <v>1</v>
      </c>
      <c r="K1009" s="308">
        <v>2022</v>
      </c>
      <c r="L1009" s="343" t="s">
        <v>2716</v>
      </c>
      <c r="M1009" s="310" t="s">
        <v>1223</v>
      </c>
      <c r="N1009" s="342" t="s">
        <v>3482</v>
      </c>
      <c r="O1009" s="343" t="s">
        <v>3495</v>
      </c>
      <c r="P1009" s="242" t="s">
        <v>676</v>
      </c>
      <c r="Q1009" s="311"/>
      <c r="R1009" s="312"/>
      <c r="S1009" s="306"/>
      <c r="T1009" s="313"/>
      <c r="U1009" s="306"/>
      <c r="V1009" s="306"/>
      <c r="W1009" s="306"/>
      <c r="X1009" s="314"/>
      <c r="Y1009" s="314"/>
      <c r="Z1009" s="315"/>
      <c r="AA1009" s="316"/>
      <c r="AB1009" s="316"/>
      <c r="AC1009" s="316"/>
      <c r="AD1009" s="317" t="b">
        <f>IF(ISBLANK(GroupMember[[#This Row],[1. Identifiant interne d’exploitation agricole*]]),"",IF(ISERROR(MATCH(GroupMember[[#This Row],[1. Identifiant interne d’exploitation agricole*]],CertifiedCrop[1. Identifiant interne d’exploitation agricole*],0)),FALSE,TRUE))</f>
        <v>1</v>
      </c>
      <c r="AE1009" s="317" t="b">
        <f>IF(ISBLANK(GroupMember[[#This Row],[1. Identifiant interne d’exploitation agricole*]]),"",IF(ISERROR(MATCH(GroupMember[[#This Row],[1. Identifiant interne d’exploitation agricole*]],FarmUnit[1. Identifiant interne d’exploitation agricole*],0)),FALSE,TRUE))</f>
        <v>1</v>
      </c>
      <c r="AF1009" s="318" t="str">
        <f t="shared" si="48"/>
        <v>SALIF KONKOBO</v>
      </c>
      <c r="AG1009" s="319" t="str">
        <f t="shared" si="49"/>
        <v>//</v>
      </c>
      <c r="AH1009" s="320">
        <f>COUNTIFS(Z:Z,Z1009,AG:AG,AG1009)</f>
        <v>0</v>
      </c>
      <c r="AI1009" s="321">
        <f t="shared" si="50"/>
        <v>0</v>
      </c>
    </row>
    <row r="1010" spans="1:35" s="341" customFormat="1" ht="15" x14ac:dyDescent="0.2">
      <c r="A1010" s="412" t="s">
        <v>3506</v>
      </c>
      <c r="B1010" s="344"/>
      <c r="C1010" s="412" t="s">
        <v>3506</v>
      </c>
      <c r="D1010" s="146" t="s">
        <v>2146</v>
      </c>
      <c r="E1010" s="146" t="s">
        <v>670</v>
      </c>
      <c r="F1010" s="146" t="s">
        <v>671</v>
      </c>
      <c r="G1010" s="146" t="s">
        <v>672</v>
      </c>
      <c r="H1010" s="188">
        <v>2.2999999999999998</v>
      </c>
      <c r="I1010" s="146" t="s">
        <v>673</v>
      </c>
      <c r="J1010" s="226">
        <v>1</v>
      </c>
      <c r="K1010" s="328">
        <v>2022</v>
      </c>
      <c r="L1010" s="188" t="s">
        <v>3464</v>
      </c>
      <c r="M1010" s="323" t="s">
        <v>701</v>
      </c>
      <c r="N1010" s="329" t="s">
        <v>3483</v>
      </c>
      <c r="O1010" s="188" t="s">
        <v>3496</v>
      </c>
      <c r="P1010" s="242" t="s">
        <v>676</v>
      </c>
      <c r="Q1010" s="345"/>
      <c r="R1010" s="346"/>
      <c r="S1010" s="344"/>
      <c r="T1010" s="347"/>
      <c r="U1010" s="344"/>
      <c r="V1010" s="344"/>
      <c r="W1010" s="344"/>
      <c r="X1010" s="348"/>
      <c r="Y1010" s="348"/>
      <c r="Z1010" s="349"/>
      <c r="AA1010" s="350"/>
      <c r="AB1010" s="350"/>
      <c r="AC1010" s="350"/>
      <c r="AD1010" s="351" t="b">
        <f>IF(ISBLANK(GroupMember[[#This Row],[1. Identifiant interne d’exploitation agricole*]]),"",IF(ISERROR(MATCH(GroupMember[[#This Row],[1. Identifiant interne d’exploitation agricole*]],CertifiedCrop[1. Identifiant interne d’exploitation agricole*],0)),FALSE,TRUE))</f>
        <v>1</v>
      </c>
      <c r="AE1010" s="351" t="b">
        <f>IF(ISBLANK(GroupMember[[#This Row],[1. Identifiant interne d’exploitation agricole*]]),"",IF(ISERROR(MATCH(GroupMember[[#This Row],[1. Identifiant interne d’exploitation agricole*]],FarmUnit[1. Identifiant interne d’exploitation agricole*],0)),FALSE,TRUE))</f>
        <v>1</v>
      </c>
      <c r="AF1010" s="352" t="str">
        <f t="shared" si="48"/>
        <v>ZOUMANA OUATTARA</v>
      </c>
      <c r="AG1010" s="353" t="str">
        <f t="shared" si="49"/>
        <v>//</v>
      </c>
      <c r="AH1010" s="354">
        <f>COUNTIFS(Z:Z,Z1010,AG:AG,AG1010)</f>
        <v>0</v>
      </c>
      <c r="AI1010" s="355">
        <f t="shared" si="50"/>
        <v>0</v>
      </c>
    </row>
    <row r="1011" spans="1:35" ht="15" x14ac:dyDescent="0.2">
      <c r="A1011" s="405" t="s">
        <v>3507</v>
      </c>
      <c r="B1011" s="306"/>
      <c r="C1011" s="405" t="s">
        <v>3507</v>
      </c>
      <c r="D1011" s="146" t="s">
        <v>2146</v>
      </c>
      <c r="E1011" s="146" t="s">
        <v>670</v>
      </c>
      <c r="F1011" s="146" t="s">
        <v>671</v>
      </c>
      <c r="G1011" s="146" t="s">
        <v>672</v>
      </c>
      <c r="H1011" s="343">
        <v>3.3</v>
      </c>
      <c r="I1011" s="146" t="s">
        <v>673</v>
      </c>
      <c r="J1011" s="307">
        <v>2</v>
      </c>
      <c r="K1011" s="308">
        <v>2022</v>
      </c>
      <c r="L1011" s="343" t="s">
        <v>3468</v>
      </c>
      <c r="M1011" s="310" t="s">
        <v>3465</v>
      </c>
      <c r="N1011" s="342"/>
      <c r="O1011" s="343"/>
      <c r="P1011" s="242" t="s">
        <v>676</v>
      </c>
      <c r="Q1011" s="311"/>
      <c r="R1011" s="312"/>
      <c r="S1011" s="306"/>
      <c r="T1011" s="313"/>
      <c r="U1011" s="306"/>
      <c r="V1011" s="306"/>
      <c r="W1011" s="306"/>
      <c r="X1011" s="314"/>
      <c r="Y1011" s="314"/>
      <c r="Z1011" s="315"/>
      <c r="AA1011" s="316"/>
      <c r="AB1011" s="316"/>
      <c r="AC1011" s="316"/>
      <c r="AD1011" s="317" t="b">
        <f>IF(ISBLANK(GroupMember[[#This Row],[1. Identifiant interne d’exploitation agricole*]]),"",IF(ISERROR(MATCH(GroupMember[[#This Row],[1. Identifiant interne d’exploitation agricole*]],CertifiedCrop[1. Identifiant interne d’exploitation agricole*],0)),FALSE,TRUE))</f>
        <v>1</v>
      </c>
      <c r="AE1011" s="317" t="b">
        <f>IF(ISBLANK(GroupMember[[#This Row],[1. Identifiant interne d’exploitation agricole*]]),"",IF(ISERROR(MATCH(GroupMember[[#This Row],[1. Identifiant interne d’exploitation agricole*]],FarmUnit[1. Identifiant interne d’exploitation agricole*],0)),FALSE,TRUE))</f>
        <v>1</v>
      </c>
      <c r="AF1011" s="318" t="str">
        <f t="shared" ref="AF1011:AF1022" si="51">IFERROR(CONCATENATE(L1011," ",M1011),"")</f>
        <v>BAPIO BAYALA</v>
      </c>
      <c r="AG1011" s="319" t="str">
        <f t="shared" ref="AG1011:AG1022" si="52">CONCATENATE(AC1011,"/",AB1011,"/",AA1011)</f>
        <v>//</v>
      </c>
      <c r="AH1011" s="320">
        <f>COUNTIFS(Z:Z,Z1011,AG:AG,AG1011)</f>
        <v>0</v>
      </c>
      <c r="AI1011" s="321">
        <f t="shared" ref="AI1011:AI1022" si="53">IF((X1011+Y1011/12)&lt;0,"",(X1011+Y1011/12))</f>
        <v>0</v>
      </c>
    </row>
    <row r="1012" spans="1:35" s="341" customFormat="1" ht="15" x14ac:dyDescent="0.2">
      <c r="A1012" s="412" t="s">
        <v>3508</v>
      </c>
      <c r="B1012" s="326"/>
      <c r="C1012" s="412" t="s">
        <v>3508</v>
      </c>
      <c r="D1012" s="146" t="s">
        <v>2146</v>
      </c>
      <c r="E1012" s="146" t="s">
        <v>670</v>
      </c>
      <c r="F1012" s="146" t="s">
        <v>671</v>
      </c>
      <c r="G1012" s="146" t="s">
        <v>672</v>
      </c>
      <c r="H1012" s="188">
        <v>2.1</v>
      </c>
      <c r="I1012" s="146" t="s">
        <v>673</v>
      </c>
      <c r="J1012" s="327">
        <v>1</v>
      </c>
      <c r="K1012" s="328">
        <v>2022</v>
      </c>
      <c r="L1012" s="188" t="s">
        <v>2896</v>
      </c>
      <c r="M1012" s="309" t="s">
        <v>1774</v>
      </c>
      <c r="N1012" s="329"/>
      <c r="O1012" s="188"/>
      <c r="P1012" s="242" t="s">
        <v>676</v>
      </c>
      <c r="Q1012" s="330"/>
      <c r="R1012" s="331"/>
      <c r="S1012" s="326"/>
      <c r="T1012" s="332"/>
      <c r="U1012" s="326"/>
      <c r="V1012" s="326"/>
      <c r="W1012" s="326"/>
      <c r="X1012" s="333"/>
      <c r="Y1012" s="333"/>
      <c r="Z1012" s="334"/>
      <c r="AA1012" s="335"/>
      <c r="AB1012" s="335"/>
      <c r="AC1012" s="335"/>
      <c r="AD1012" s="336" t="b">
        <f>IF(ISBLANK(GroupMember[[#This Row],[1. Identifiant interne d’exploitation agricole*]]),"",IF(ISERROR(MATCH(GroupMember[[#This Row],[1. Identifiant interne d’exploitation agricole*]],CertifiedCrop[1. Identifiant interne d’exploitation agricole*],0)),FALSE,TRUE))</f>
        <v>1</v>
      </c>
      <c r="AE1012" s="336" t="b">
        <f>IF(ISBLANK(GroupMember[[#This Row],[1. Identifiant interne d’exploitation agricole*]]),"",IF(ISERROR(MATCH(GroupMember[[#This Row],[1. Identifiant interne d’exploitation agricole*]],FarmUnit[1. Identifiant interne d’exploitation agricole*],0)),FALSE,TRUE))</f>
        <v>1</v>
      </c>
      <c r="AF1012" s="337" t="str">
        <f t="shared" si="51"/>
        <v>YACOUBA COULIBALY</v>
      </c>
      <c r="AG1012" s="338" t="str">
        <f t="shared" si="52"/>
        <v>//</v>
      </c>
      <c r="AH1012" s="339">
        <f>COUNTIFS(Z:Z,Z1012,AG:AG,AG1012)</f>
        <v>0</v>
      </c>
      <c r="AI1012" s="340">
        <f t="shared" si="53"/>
        <v>0</v>
      </c>
    </row>
    <row r="1013" spans="1:35" s="372" customFormat="1" ht="15" x14ac:dyDescent="0.2">
      <c r="A1013" s="405" t="s">
        <v>3509</v>
      </c>
      <c r="B1013" s="356"/>
      <c r="C1013" s="405" t="s">
        <v>3509</v>
      </c>
      <c r="D1013" s="146" t="s">
        <v>2146</v>
      </c>
      <c r="E1013" s="146" t="s">
        <v>670</v>
      </c>
      <c r="F1013" s="146" t="s">
        <v>671</v>
      </c>
      <c r="G1013" s="146" t="s">
        <v>672</v>
      </c>
      <c r="H1013" s="343">
        <v>2.2999999999999998</v>
      </c>
      <c r="I1013" s="146" t="s">
        <v>673</v>
      </c>
      <c r="J1013" s="357">
        <v>1</v>
      </c>
      <c r="K1013" s="358">
        <v>2022</v>
      </c>
      <c r="L1013" s="343" t="s">
        <v>1805</v>
      </c>
      <c r="M1013" s="359" t="s">
        <v>1774</v>
      </c>
      <c r="N1013" s="342" t="s">
        <v>3484</v>
      </c>
      <c r="O1013" s="343"/>
      <c r="P1013" s="360" t="s">
        <v>676</v>
      </c>
      <c r="Q1013" s="361"/>
      <c r="R1013" s="362"/>
      <c r="S1013" s="356"/>
      <c r="T1013" s="363"/>
      <c r="U1013" s="356"/>
      <c r="V1013" s="356"/>
      <c r="W1013" s="356"/>
      <c r="X1013" s="364"/>
      <c r="Y1013" s="364"/>
      <c r="Z1013" s="365"/>
      <c r="AA1013" s="366"/>
      <c r="AB1013" s="366"/>
      <c r="AC1013" s="366"/>
      <c r="AD1013" s="367" t="b">
        <f>IF(ISBLANK(GroupMember[[#This Row],[1. Identifiant interne d’exploitation agricole*]]),"",IF(ISERROR(MATCH(GroupMember[[#This Row],[1. Identifiant interne d’exploitation agricole*]],CertifiedCrop[1. Identifiant interne d’exploitation agricole*],0)),FALSE,TRUE))</f>
        <v>1</v>
      </c>
      <c r="AE1013" s="367" t="b">
        <f>IF(ISBLANK(GroupMember[[#This Row],[1. Identifiant interne d’exploitation agricole*]]),"",IF(ISERROR(MATCH(GroupMember[[#This Row],[1. Identifiant interne d’exploitation agricole*]],FarmUnit[1. Identifiant interne d’exploitation agricole*],0)),FALSE,TRUE))</f>
        <v>1</v>
      </c>
      <c r="AF1013" s="368" t="str">
        <f t="shared" si="51"/>
        <v>YAYA COULIBALY</v>
      </c>
      <c r="AG1013" s="369" t="str">
        <f t="shared" si="52"/>
        <v>//</v>
      </c>
      <c r="AH1013" s="370">
        <f>COUNTIFS(Z:Z,Z1013,AG:AG,AG1013)</f>
        <v>0</v>
      </c>
      <c r="AI1013" s="371">
        <f t="shared" si="53"/>
        <v>0</v>
      </c>
    </row>
    <row r="1014" spans="1:35" s="341" customFormat="1" ht="15" x14ac:dyDescent="0.2">
      <c r="A1014" s="412" t="s">
        <v>3510</v>
      </c>
      <c r="B1014" s="326"/>
      <c r="C1014" s="412" t="s">
        <v>3510</v>
      </c>
      <c r="D1014" s="146" t="s">
        <v>2146</v>
      </c>
      <c r="E1014" s="146" t="s">
        <v>670</v>
      </c>
      <c r="F1014" s="146" t="s">
        <v>671</v>
      </c>
      <c r="G1014" s="146" t="s">
        <v>672</v>
      </c>
      <c r="H1014" s="188">
        <v>4.3</v>
      </c>
      <c r="I1014" s="146" t="s">
        <v>673</v>
      </c>
      <c r="J1014" s="327">
        <v>2</v>
      </c>
      <c r="K1014" s="328">
        <v>2022</v>
      </c>
      <c r="L1014" s="188" t="s">
        <v>3469</v>
      </c>
      <c r="M1014" s="309" t="s">
        <v>2179</v>
      </c>
      <c r="N1014" s="329" t="s">
        <v>3485</v>
      </c>
      <c r="O1014" s="188"/>
      <c r="P1014" s="242" t="s">
        <v>676</v>
      </c>
      <c r="Q1014" s="330"/>
      <c r="R1014" s="331"/>
      <c r="S1014" s="326"/>
      <c r="T1014" s="332"/>
      <c r="U1014" s="326"/>
      <c r="V1014" s="326"/>
      <c r="W1014" s="326"/>
      <c r="X1014" s="333"/>
      <c r="Y1014" s="333"/>
      <c r="Z1014" s="334"/>
      <c r="AA1014" s="335"/>
      <c r="AB1014" s="335"/>
      <c r="AC1014" s="335"/>
      <c r="AD1014" s="336" t="b">
        <f>IF(ISBLANK(GroupMember[[#This Row],[1. Identifiant interne d’exploitation agricole*]]),"",IF(ISERROR(MATCH(GroupMember[[#This Row],[1. Identifiant interne d’exploitation agricole*]],CertifiedCrop[1. Identifiant interne d’exploitation agricole*],0)),FALSE,TRUE))</f>
        <v>1</v>
      </c>
      <c r="AE1014" s="336" t="b">
        <f>IF(ISBLANK(GroupMember[[#This Row],[1. Identifiant interne d’exploitation agricole*]]),"",IF(ISERROR(MATCH(GroupMember[[#This Row],[1. Identifiant interne d’exploitation agricole*]],FarmUnit[1. Identifiant interne d’exploitation agricole*],0)),FALSE,TRUE))</f>
        <v>1</v>
      </c>
      <c r="AF1014" s="337" t="str">
        <f t="shared" si="51"/>
        <v>MOHAMED ARAPHA DIALLO</v>
      </c>
      <c r="AG1014" s="338" t="str">
        <f t="shared" si="52"/>
        <v>//</v>
      </c>
      <c r="AH1014" s="339">
        <f>COUNTIFS(Z:Z,Z1014,AG:AG,AG1014)</f>
        <v>0</v>
      </c>
      <c r="AI1014" s="340">
        <f t="shared" si="53"/>
        <v>0</v>
      </c>
    </row>
    <row r="1015" spans="1:35" s="372" customFormat="1" ht="15" x14ac:dyDescent="0.2">
      <c r="A1015" s="405" t="s">
        <v>3511</v>
      </c>
      <c r="B1015" s="356"/>
      <c r="C1015" s="405" t="s">
        <v>3511</v>
      </c>
      <c r="D1015" s="146" t="s">
        <v>2146</v>
      </c>
      <c r="E1015" s="146" t="s">
        <v>670</v>
      </c>
      <c r="F1015" s="146" t="s">
        <v>671</v>
      </c>
      <c r="G1015" s="146" t="s">
        <v>672</v>
      </c>
      <c r="H1015" s="343">
        <v>2.4</v>
      </c>
      <c r="I1015" s="146" t="s">
        <v>673</v>
      </c>
      <c r="J1015" s="357">
        <v>1</v>
      </c>
      <c r="K1015" s="358">
        <v>2022</v>
      </c>
      <c r="L1015" s="343" t="s">
        <v>3470</v>
      </c>
      <c r="M1015" s="359" t="s">
        <v>2797</v>
      </c>
      <c r="N1015" s="342" t="s">
        <v>3486</v>
      </c>
      <c r="O1015" s="343"/>
      <c r="P1015" s="360" t="s">
        <v>676</v>
      </c>
      <c r="Q1015" s="361"/>
      <c r="R1015" s="362"/>
      <c r="S1015" s="356"/>
      <c r="T1015" s="363"/>
      <c r="U1015" s="356"/>
      <c r="V1015" s="356"/>
      <c r="W1015" s="356"/>
      <c r="X1015" s="364"/>
      <c r="Y1015" s="364"/>
      <c r="Z1015" s="365"/>
      <c r="AA1015" s="366"/>
      <c r="AB1015" s="366"/>
      <c r="AC1015" s="366"/>
      <c r="AD1015" s="367" t="b">
        <f>IF(ISBLANK(GroupMember[[#This Row],[1. Identifiant interne d’exploitation agricole*]]),"",IF(ISERROR(MATCH(GroupMember[[#This Row],[1. Identifiant interne d’exploitation agricole*]],CertifiedCrop[1. Identifiant interne d’exploitation agricole*],0)),FALSE,TRUE))</f>
        <v>1</v>
      </c>
      <c r="AE1015" s="367" t="b">
        <f>IF(ISBLANK(GroupMember[[#This Row],[1. Identifiant interne d’exploitation agricole*]]),"",IF(ISERROR(MATCH(GroupMember[[#This Row],[1. Identifiant interne d’exploitation agricole*]],FarmUnit[1. Identifiant interne d’exploitation agricole*],0)),FALSE,TRUE))</f>
        <v>1</v>
      </c>
      <c r="AF1015" s="368" t="str">
        <f t="shared" si="51"/>
        <v>MICHEL KAMBIRE</v>
      </c>
      <c r="AG1015" s="369" t="str">
        <f t="shared" si="52"/>
        <v>//</v>
      </c>
      <c r="AH1015" s="370">
        <f>COUNTIFS(Z:Z,Z1015,AG:AG,AG1015)</f>
        <v>0</v>
      </c>
      <c r="AI1015" s="371">
        <f t="shared" si="53"/>
        <v>0</v>
      </c>
    </row>
    <row r="1016" spans="1:35" s="341" customFormat="1" ht="15" x14ac:dyDescent="0.2">
      <c r="A1016" s="412" t="s">
        <v>3512</v>
      </c>
      <c r="B1016" s="326"/>
      <c r="C1016" s="412" t="s">
        <v>3512</v>
      </c>
      <c r="D1016" s="146" t="s">
        <v>2146</v>
      </c>
      <c r="E1016" s="146" t="s">
        <v>670</v>
      </c>
      <c r="F1016" s="146" t="s">
        <v>671</v>
      </c>
      <c r="G1016" s="146" t="s">
        <v>672</v>
      </c>
      <c r="H1016" s="188">
        <v>0.7</v>
      </c>
      <c r="I1016" s="146" t="s">
        <v>673</v>
      </c>
      <c r="J1016" s="357">
        <v>1</v>
      </c>
      <c r="K1016" s="328">
        <v>2022</v>
      </c>
      <c r="L1016" s="188" t="s">
        <v>3471</v>
      </c>
      <c r="M1016" s="309" t="s">
        <v>3466</v>
      </c>
      <c r="N1016" s="329" t="s">
        <v>3487</v>
      </c>
      <c r="O1016" s="188"/>
      <c r="P1016" s="242" t="s">
        <v>676</v>
      </c>
      <c r="Q1016" s="330"/>
      <c r="R1016" s="331"/>
      <c r="S1016" s="326"/>
      <c r="T1016" s="332"/>
      <c r="U1016" s="326"/>
      <c r="V1016" s="326"/>
      <c r="W1016" s="326"/>
      <c r="X1016" s="333"/>
      <c r="Y1016" s="333"/>
      <c r="Z1016" s="334"/>
      <c r="AA1016" s="335"/>
      <c r="AB1016" s="335"/>
      <c r="AC1016" s="335"/>
      <c r="AD1016" s="336" t="b">
        <f>IF(ISBLANK(GroupMember[[#This Row],[1. Identifiant interne d’exploitation agricole*]]),"",IF(ISERROR(MATCH(GroupMember[[#This Row],[1. Identifiant interne d’exploitation agricole*]],CertifiedCrop[1. Identifiant interne d’exploitation agricole*],0)),FALSE,TRUE))</f>
        <v>1</v>
      </c>
      <c r="AE1016" s="336" t="b">
        <f>IF(ISBLANK(GroupMember[[#This Row],[1. Identifiant interne d’exploitation agricole*]]),"",IF(ISERROR(MATCH(GroupMember[[#This Row],[1. Identifiant interne d’exploitation agricole*]],FarmUnit[1. Identifiant interne d’exploitation agricole*],0)),FALSE,TRUE))</f>
        <v>1</v>
      </c>
      <c r="AF1016" s="337" t="str">
        <f t="shared" si="51"/>
        <v>DOUHONIN RICHMOND KOUAL</v>
      </c>
      <c r="AG1016" s="338" t="str">
        <f t="shared" si="52"/>
        <v>//</v>
      </c>
      <c r="AH1016" s="339">
        <f>COUNTIFS(Z:Z,Z1016,AG:AG,AG1016)</f>
        <v>0</v>
      </c>
      <c r="AI1016" s="340">
        <f t="shared" si="53"/>
        <v>0</v>
      </c>
    </row>
    <row r="1017" spans="1:35" s="372" customFormat="1" ht="15" x14ac:dyDescent="0.2">
      <c r="A1017" s="405" t="s">
        <v>3513</v>
      </c>
      <c r="B1017" s="356"/>
      <c r="C1017" s="405" t="s">
        <v>3513</v>
      </c>
      <c r="D1017" s="146" t="s">
        <v>2146</v>
      </c>
      <c r="E1017" s="146" t="s">
        <v>670</v>
      </c>
      <c r="F1017" s="146" t="s">
        <v>671</v>
      </c>
      <c r="G1017" s="146" t="s">
        <v>672</v>
      </c>
      <c r="H1017" s="343">
        <v>1.8</v>
      </c>
      <c r="I1017" s="146" t="s">
        <v>673</v>
      </c>
      <c r="J1017" s="357">
        <v>1</v>
      </c>
      <c r="K1017" s="358">
        <v>2022</v>
      </c>
      <c r="L1017" s="343" t="s">
        <v>1785</v>
      </c>
      <c r="M1017" s="359" t="s">
        <v>2151</v>
      </c>
      <c r="N1017" s="342" t="s">
        <v>3488</v>
      </c>
      <c r="O1017" s="343"/>
      <c r="P1017" s="360" t="s">
        <v>676</v>
      </c>
      <c r="Q1017" s="361"/>
      <c r="R1017" s="362"/>
      <c r="S1017" s="356"/>
      <c r="T1017" s="363"/>
      <c r="U1017" s="356"/>
      <c r="V1017" s="356"/>
      <c r="W1017" s="356"/>
      <c r="X1017" s="364"/>
      <c r="Y1017" s="364"/>
      <c r="Z1017" s="365"/>
      <c r="AA1017" s="366"/>
      <c r="AB1017" s="366"/>
      <c r="AC1017" s="366"/>
      <c r="AD1017" s="367" t="b">
        <f>IF(ISBLANK(GroupMember[[#This Row],[1. Identifiant interne d’exploitation agricole*]]),"",IF(ISERROR(MATCH(GroupMember[[#This Row],[1. Identifiant interne d’exploitation agricole*]],CertifiedCrop[1. Identifiant interne d’exploitation agricole*],0)),FALSE,TRUE))</f>
        <v>1</v>
      </c>
      <c r="AE1017" s="367" t="b">
        <f>IF(ISBLANK(GroupMember[[#This Row],[1. Identifiant interne d’exploitation agricole*]]),"",IF(ISERROR(MATCH(GroupMember[[#This Row],[1. Identifiant interne d’exploitation agricole*]],FarmUnit[1. Identifiant interne d’exploitation agricole*],0)),FALSE,TRUE))</f>
        <v>1</v>
      </c>
      <c r="AF1017" s="368" t="str">
        <f t="shared" si="51"/>
        <v>MAMADOU DIARRA</v>
      </c>
      <c r="AG1017" s="369" t="str">
        <f t="shared" si="52"/>
        <v>//</v>
      </c>
      <c r="AH1017" s="370">
        <f>COUNTIFS(Z:Z,Z1017,AG:AG,AG1017)</f>
        <v>0</v>
      </c>
      <c r="AI1017" s="371">
        <f t="shared" si="53"/>
        <v>0</v>
      </c>
    </row>
    <row r="1018" spans="1:35" s="341" customFormat="1" ht="15" x14ac:dyDescent="0.2">
      <c r="A1018" s="412" t="s">
        <v>3514</v>
      </c>
      <c r="B1018" s="326"/>
      <c r="C1018" s="412" t="s">
        <v>3514</v>
      </c>
      <c r="D1018" s="146" t="s">
        <v>2146</v>
      </c>
      <c r="E1018" s="146" t="s">
        <v>670</v>
      </c>
      <c r="F1018" s="146" t="s">
        <v>671</v>
      </c>
      <c r="G1018" s="146" t="s">
        <v>672</v>
      </c>
      <c r="H1018" s="188">
        <v>1.2</v>
      </c>
      <c r="I1018" s="146" t="s">
        <v>673</v>
      </c>
      <c r="J1018" s="357">
        <v>1</v>
      </c>
      <c r="K1018" s="328">
        <v>2022</v>
      </c>
      <c r="L1018" s="188" t="s">
        <v>2759</v>
      </c>
      <c r="M1018" s="309" t="s">
        <v>3467</v>
      </c>
      <c r="N1018" s="329" t="s">
        <v>3489</v>
      </c>
      <c r="O1018" s="188"/>
      <c r="P1018" s="242" t="s">
        <v>676</v>
      </c>
      <c r="Q1018" s="330"/>
      <c r="R1018" s="331"/>
      <c r="S1018" s="326"/>
      <c r="T1018" s="332"/>
      <c r="U1018" s="326"/>
      <c r="V1018" s="326"/>
      <c r="W1018" s="326"/>
      <c r="X1018" s="333"/>
      <c r="Y1018" s="333"/>
      <c r="Z1018" s="334"/>
      <c r="AA1018" s="335"/>
      <c r="AB1018" s="335"/>
      <c r="AC1018" s="335"/>
      <c r="AD1018" s="336" t="b">
        <f>IF(ISBLANK(GroupMember[[#This Row],[1. Identifiant interne d’exploitation agricole*]]),"",IF(ISERROR(MATCH(GroupMember[[#This Row],[1. Identifiant interne d’exploitation agricole*]],CertifiedCrop[1. Identifiant interne d’exploitation agricole*],0)),FALSE,TRUE))</f>
        <v>1</v>
      </c>
      <c r="AE1018" s="336" t="b">
        <f>IF(ISBLANK(GroupMember[[#This Row],[1. Identifiant interne d’exploitation agricole*]]),"",IF(ISERROR(MATCH(GroupMember[[#This Row],[1. Identifiant interne d’exploitation agricole*]],FarmUnit[1. Identifiant interne d’exploitation agricole*],0)),FALSE,TRUE))</f>
        <v>1</v>
      </c>
      <c r="AF1018" s="337" t="str">
        <f t="shared" si="51"/>
        <v>ISSOUF NIBIEU</v>
      </c>
      <c r="AG1018" s="338" t="str">
        <f t="shared" si="52"/>
        <v>//</v>
      </c>
      <c r="AH1018" s="339">
        <f>COUNTIFS(Z:Z,Z1018,AG:AG,AG1018)</f>
        <v>0</v>
      </c>
      <c r="AI1018" s="340">
        <f t="shared" si="53"/>
        <v>0</v>
      </c>
    </row>
    <row r="1019" spans="1:35" s="372" customFormat="1" ht="15" x14ac:dyDescent="0.2">
      <c r="A1019" s="405" t="s">
        <v>3515</v>
      </c>
      <c r="B1019" s="356"/>
      <c r="C1019" s="405" t="s">
        <v>3515</v>
      </c>
      <c r="D1019" s="146" t="s">
        <v>2146</v>
      </c>
      <c r="E1019" s="146" t="s">
        <v>670</v>
      </c>
      <c r="F1019" s="146" t="s">
        <v>671</v>
      </c>
      <c r="G1019" s="146" t="s">
        <v>672</v>
      </c>
      <c r="H1019" s="343">
        <v>3.3</v>
      </c>
      <c r="I1019" s="146" t="s">
        <v>673</v>
      </c>
      <c r="J1019" s="357">
        <v>1</v>
      </c>
      <c r="K1019" s="358">
        <v>2022</v>
      </c>
      <c r="L1019" s="343" t="s">
        <v>3472</v>
      </c>
      <c r="M1019" s="359" t="s">
        <v>707</v>
      </c>
      <c r="N1019" s="342" t="s">
        <v>3490</v>
      </c>
      <c r="O1019" s="343"/>
      <c r="P1019" s="360" t="s">
        <v>676</v>
      </c>
      <c r="Q1019" s="361"/>
      <c r="R1019" s="362"/>
      <c r="S1019" s="356"/>
      <c r="T1019" s="363"/>
      <c r="U1019" s="356"/>
      <c r="V1019" s="356"/>
      <c r="W1019" s="356"/>
      <c r="X1019" s="364"/>
      <c r="Y1019" s="364"/>
      <c r="Z1019" s="365"/>
      <c r="AA1019" s="366"/>
      <c r="AB1019" s="366"/>
      <c r="AC1019" s="366"/>
      <c r="AD1019" s="367" t="b">
        <f>IF(ISBLANK(GroupMember[[#This Row],[1. Identifiant interne d’exploitation agricole*]]),"",IF(ISERROR(MATCH(GroupMember[[#This Row],[1. Identifiant interne d’exploitation agricole*]],CertifiedCrop[1. Identifiant interne d’exploitation agricole*],0)),FALSE,TRUE))</f>
        <v>1</v>
      </c>
      <c r="AE1019" s="367" t="b">
        <f>IF(ISBLANK(GroupMember[[#This Row],[1. Identifiant interne d’exploitation agricole*]]),"",IF(ISERROR(MATCH(GroupMember[[#This Row],[1. Identifiant interne d’exploitation agricole*]],FarmUnit[1. Identifiant interne d’exploitation agricole*],0)),FALSE,TRUE))</f>
        <v>1</v>
      </c>
      <c r="AF1019" s="368" t="str">
        <f t="shared" si="51"/>
        <v>OUSSENI OUEDRAOGO</v>
      </c>
      <c r="AG1019" s="369" t="str">
        <f t="shared" si="52"/>
        <v>//</v>
      </c>
      <c r="AH1019" s="370">
        <f>COUNTIFS(Z:Z,Z1019,AG:AG,AG1019)</f>
        <v>0</v>
      </c>
      <c r="AI1019" s="371">
        <f t="shared" si="53"/>
        <v>0</v>
      </c>
    </row>
    <row r="1020" spans="1:35" s="341" customFormat="1" ht="15" x14ac:dyDescent="0.2">
      <c r="A1020" s="412" t="s">
        <v>3516</v>
      </c>
      <c r="B1020" s="326"/>
      <c r="C1020" s="412" t="s">
        <v>3516</v>
      </c>
      <c r="D1020" s="146" t="s">
        <v>2146</v>
      </c>
      <c r="E1020" s="146" t="s">
        <v>670</v>
      </c>
      <c r="F1020" s="146" t="s">
        <v>671</v>
      </c>
      <c r="G1020" s="146" t="s">
        <v>672</v>
      </c>
      <c r="H1020" s="188">
        <v>3.8</v>
      </c>
      <c r="I1020" s="146" t="s">
        <v>673</v>
      </c>
      <c r="J1020" s="357">
        <v>1</v>
      </c>
      <c r="K1020" s="328">
        <v>2022</v>
      </c>
      <c r="L1020" s="188" t="s">
        <v>702</v>
      </c>
      <c r="M1020" s="309" t="s">
        <v>682</v>
      </c>
      <c r="N1020" s="329" t="s">
        <v>3486</v>
      </c>
      <c r="O1020" s="188"/>
      <c r="P1020" s="242" t="s">
        <v>676</v>
      </c>
      <c r="Q1020" s="330"/>
      <c r="R1020" s="331"/>
      <c r="S1020" s="326"/>
      <c r="T1020" s="332"/>
      <c r="U1020" s="326"/>
      <c r="V1020" s="326"/>
      <c r="W1020" s="326"/>
      <c r="X1020" s="333"/>
      <c r="Y1020" s="333"/>
      <c r="Z1020" s="334"/>
      <c r="AA1020" s="335"/>
      <c r="AB1020" s="335"/>
      <c r="AC1020" s="335"/>
      <c r="AD1020" s="336" t="b">
        <f>IF(ISBLANK(GroupMember[[#This Row],[1. Identifiant interne d’exploitation agricole*]]),"",IF(ISERROR(MATCH(GroupMember[[#This Row],[1. Identifiant interne d’exploitation agricole*]],CertifiedCrop[1. Identifiant interne d’exploitation agricole*],0)),FALSE,TRUE))</f>
        <v>1</v>
      </c>
      <c r="AE1020" s="336" t="b">
        <f>IF(ISBLANK(GroupMember[[#This Row],[1. Identifiant interne d’exploitation agricole*]]),"",IF(ISERROR(MATCH(GroupMember[[#This Row],[1. Identifiant interne d’exploitation agricole*]],FarmUnit[1. Identifiant interne d’exploitation agricole*],0)),FALSE,TRUE))</f>
        <v>1</v>
      </c>
      <c r="AF1020" s="337" t="str">
        <f t="shared" si="51"/>
        <v>AMADOU SANGARE</v>
      </c>
      <c r="AG1020" s="338" t="str">
        <f t="shared" si="52"/>
        <v>//</v>
      </c>
      <c r="AH1020" s="339">
        <f>COUNTIFS(Z:Z,Z1020,AG:AG,AG1020)</f>
        <v>0</v>
      </c>
      <c r="AI1020" s="340">
        <f t="shared" si="53"/>
        <v>0</v>
      </c>
    </row>
    <row r="1021" spans="1:35" s="372" customFormat="1" ht="15" x14ac:dyDescent="0.2">
      <c r="A1021" s="405" t="s">
        <v>3517</v>
      </c>
      <c r="B1021" s="356"/>
      <c r="C1021" s="405" t="s">
        <v>3517</v>
      </c>
      <c r="D1021" s="146" t="s">
        <v>2146</v>
      </c>
      <c r="E1021" s="146" t="s">
        <v>670</v>
      </c>
      <c r="F1021" s="146" t="s">
        <v>671</v>
      </c>
      <c r="G1021" s="146" t="s">
        <v>672</v>
      </c>
      <c r="H1021" s="343">
        <v>5.0999999999999996</v>
      </c>
      <c r="I1021" s="146" t="s">
        <v>673</v>
      </c>
      <c r="J1021" s="357">
        <v>1</v>
      </c>
      <c r="K1021" s="358">
        <v>2022</v>
      </c>
      <c r="L1021" s="343" t="s">
        <v>3473</v>
      </c>
      <c r="M1021" s="359" t="s">
        <v>948</v>
      </c>
      <c r="N1021" s="342" t="s">
        <v>3491</v>
      </c>
      <c r="O1021" s="343"/>
      <c r="P1021" s="360" t="s">
        <v>676</v>
      </c>
      <c r="Q1021" s="361"/>
      <c r="R1021" s="362"/>
      <c r="S1021" s="356"/>
      <c r="T1021" s="363"/>
      <c r="U1021" s="356"/>
      <c r="V1021" s="356"/>
      <c r="W1021" s="356"/>
      <c r="X1021" s="364"/>
      <c r="Y1021" s="364"/>
      <c r="Z1021" s="365"/>
      <c r="AA1021" s="366"/>
      <c r="AB1021" s="366"/>
      <c r="AC1021" s="366"/>
      <c r="AD1021" s="367" t="b">
        <f>IF(ISBLANK(GroupMember[[#This Row],[1. Identifiant interne d’exploitation agricole*]]),"",IF(ISERROR(MATCH(GroupMember[[#This Row],[1. Identifiant interne d’exploitation agricole*]],CertifiedCrop[1. Identifiant interne d’exploitation agricole*],0)),FALSE,TRUE))</f>
        <v>1</v>
      </c>
      <c r="AE1021" s="367" t="b">
        <f>IF(ISBLANK(GroupMember[[#This Row],[1. Identifiant interne d’exploitation agricole*]]),"",IF(ISERROR(MATCH(GroupMember[[#This Row],[1. Identifiant interne d’exploitation agricole*]],FarmUnit[1. Identifiant interne d’exploitation agricole*],0)),FALSE,TRUE))</f>
        <v>1</v>
      </c>
      <c r="AF1021" s="368" t="str">
        <f t="shared" si="51"/>
        <v>BARNABE WINDPOURE SAWADOGO</v>
      </c>
      <c r="AG1021" s="369" t="str">
        <f t="shared" si="52"/>
        <v>//</v>
      </c>
      <c r="AH1021" s="370">
        <f>COUNTIFS(Z:Z,Z1021,AG:AG,AG1021)</f>
        <v>0</v>
      </c>
      <c r="AI1021" s="371">
        <f t="shared" si="53"/>
        <v>0</v>
      </c>
    </row>
    <row r="1022" spans="1:35" s="341" customFormat="1" ht="15" x14ac:dyDescent="0.2">
      <c r="A1022" s="413" t="s">
        <v>3518</v>
      </c>
      <c r="B1022" s="344"/>
      <c r="C1022" s="413" t="s">
        <v>3518</v>
      </c>
      <c r="D1022" s="322"/>
      <c r="E1022" s="146" t="s">
        <v>670</v>
      </c>
      <c r="F1022" s="146" t="s">
        <v>671</v>
      </c>
      <c r="G1022" s="146" t="s">
        <v>672</v>
      </c>
      <c r="H1022" s="188">
        <v>4.3</v>
      </c>
      <c r="I1022" s="146" t="s">
        <v>673</v>
      </c>
      <c r="J1022" s="357">
        <v>1</v>
      </c>
      <c r="K1022" s="328">
        <v>2022</v>
      </c>
      <c r="L1022" s="188" t="s">
        <v>1789</v>
      </c>
      <c r="M1022" s="323" t="s">
        <v>715</v>
      </c>
      <c r="N1022" s="329" t="s">
        <v>3492</v>
      </c>
      <c r="O1022" s="188"/>
      <c r="P1022" s="242" t="s">
        <v>676</v>
      </c>
      <c r="Q1022" s="345"/>
      <c r="R1022" s="346"/>
      <c r="S1022" s="344"/>
      <c r="T1022" s="347"/>
      <c r="U1022" s="344"/>
      <c r="V1022" s="344"/>
      <c r="W1022" s="344"/>
      <c r="X1022" s="348"/>
      <c r="Y1022" s="348"/>
      <c r="Z1022" s="349"/>
      <c r="AA1022" s="350"/>
      <c r="AB1022" s="350"/>
      <c r="AC1022" s="350"/>
      <c r="AD1022" s="351" t="b">
        <f>IF(ISBLANK(GroupMember[[#This Row],[1. Identifiant interne d’exploitation agricole*]]),"",IF(ISERROR(MATCH(GroupMember[[#This Row],[1. Identifiant interne d’exploitation agricole*]],CertifiedCrop[1. Identifiant interne d’exploitation agricole*],0)),FALSE,TRUE))</f>
        <v>1</v>
      </c>
      <c r="AE1022" s="351" t="b">
        <f>IF(ISBLANK(GroupMember[[#This Row],[1. Identifiant interne d’exploitation agricole*]]),"",IF(ISERROR(MATCH(GroupMember[[#This Row],[1. Identifiant interne d’exploitation agricole*]],FarmUnit[1. Identifiant interne d’exploitation agricole*],0)),FALSE,TRUE))</f>
        <v>1</v>
      </c>
      <c r="AF1022" s="352" t="str">
        <f t="shared" si="51"/>
        <v>IBRAHIM TRAORE</v>
      </c>
      <c r="AG1022" s="353" t="str">
        <f t="shared" si="52"/>
        <v>//</v>
      </c>
      <c r="AH1022" s="354">
        <f>COUNTIFS(Z:Z,Z1022,AG:AG,AG1022)</f>
        <v>0</v>
      </c>
      <c r="AI1022" s="355">
        <f t="shared" si="53"/>
        <v>0</v>
      </c>
    </row>
    <row r="1023" spans="1:35" ht="15" x14ac:dyDescent="0.2">
      <c r="A1023" s="415" t="s">
        <v>3532</v>
      </c>
      <c r="B1023" s="146" t="s">
        <v>668</v>
      </c>
      <c r="C1023" s="415" t="s">
        <v>3532</v>
      </c>
      <c r="D1023" s="175" t="s">
        <v>3011</v>
      </c>
      <c r="E1023" s="146" t="s">
        <v>670</v>
      </c>
      <c r="F1023" s="146" t="s">
        <v>671</v>
      </c>
      <c r="G1023" s="146" t="s">
        <v>672</v>
      </c>
      <c r="H1023" s="188">
        <v>4.5</v>
      </c>
      <c r="I1023" s="146" t="s">
        <v>673</v>
      </c>
      <c r="J1023" s="419">
        <v>2</v>
      </c>
      <c r="K1023" s="420">
        <v>2022</v>
      </c>
      <c r="L1023" s="188" t="s">
        <v>3520</v>
      </c>
      <c r="M1023" s="421" t="s">
        <v>2179</v>
      </c>
      <c r="N1023" s="329" t="s">
        <v>3524</v>
      </c>
      <c r="O1023" s="422"/>
      <c r="P1023" s="219" t="s">
        <v>676</v>
      </c>
      <c r="Q1023" s="424"/>
      <c r="R1023" s="425"/>
      <c r="S1023" s="305"/>
      <c r="T1023" s="426"/>
      <c r="U1023" s="305"/>
      <c r="V1023" s="305"/>
      <c r="W1023" s="305"/>
      <c r="X1023" s="418"/>
      <c r="Y1023" s="418"/>
      <c r="Z1023" s="427"/>
      <c r="AA1023" s="428"/>
      <c r="AB1023" s="428"/>
      <c r="AC1023" s="428"/>
      <c r="AD1023" s="398" t="b">
        <f>IF(ISBLANK(GroupMember[[#This Row],[1. Identifiant interne d’exploitation agricole*]]),"",IF(ISERROR(MATCH(GroupMember[[#This Row],[1. Identifiant interne d’exploitation agricole*]],CertifiedCrop[1. Identifiant interne d’exploitation agricole*],0)),FALSE,TRUE))</f>
        <v>1</v>
      </c>
      <c r="AE1023" s="398" t="b">
        <f>IF(ISBLANK(GroupMember[[#This Row],[1. Identifiant interne d’exploitation agricole*]]),"",IF(ISERROR(MATCH(GroupMember[[#This Row],[1. Identifiant interne d’exploitation agricole*]],FarmUnit[1. Identifiant interne d’exploitation agricole*],0)),FALSE,TRUE))</f>
        <v>1</v>
      </c>
      <c r="AF1023" s="373" t="str">
        <f t="shared" ref="AF1023:AF1024" si="54">IFERROR(CONCATENATE(L1023," ",M1023),"")</f>
        <v>ISSAKA DIALLO</v>
      </c>
      <c r="AG1023" s="429" t="str">
        <f t="shared" ref="AG1023:AG1024" si="55">CONCATENATE(AC1023,"/",AB1023,"/",AA1023)</f>
        <v>//</v>
      </c>
      <c r="AH1023" s="430">
        <f>COUNTIFS(Z:Z,Z1023,AG:AG,AG1023)</f>
        <v>0</v>
      </c>
      <c r="AI1023" s="431">
        <f t="shared" ref="AI1023:AI1024" si="56">IF((X1023+Y1023/12)&lt;0,"",(X1023+Y1023/12))</f>
        <v>0</v>
      </c>
    </row>
    <row r="1024" spans="1:35" s="372" customFormat="1" ht="15" x14ac:dyDescent="0.2">
      <c r="A1024" s="480" t="s">
        <v>3533</v>
      </c>
      <c r="B1024" s="466" t="s">
        <v>668</v>
      </c>
      <c r="C1024" s="480" t="s">
        <v>3533</v>
      </c>
      <c r="D1024" s="343" t="s">
        <v>3011</v>
      </c>
      <c r="E1024" s="466" t="s">
        <v>670</v>
      </c>
      <c r="F1024" s="466" t="s">
        <v>671</v>
      </c>
      <c r="G1024" s="466" t="s">
        <v>672</v>
      </c>
      <c r="H1024" s="343">
        <v>1.4</v>
      </c>
      <c r="I1024" s="466" t="s">
        <v>673</v>
      </c>
      <c r="J1024" s="509">
        <v>1</v>
      </c>
      <c r="K1024" s="468">
        <v>2022</v>
      </c>
      <c r="L1024" s="343" t="s">
        <v>1785</v>
      </c>
      <c r="M1024" s="481" t="s">
        <v>1193</v>
      </c>
      <c r="N1024" s="342" t="s">
        <v>3525</v>
      </c>
      <c r="O1024" s="510"/>
      <c r="P1024" s="511" t="s">
        <v>676</v>
      </c>
      <c r="Q1024" s="482"/>
      <c r="R1024" s="483"/>
      <c r="S1024" s="484"/>
      <c r="T1024" s="485"/>
      <c r="U1024" s="484"/>
      <c r="V1024" s="484"/>
      <c r="W1024" s="484"/>
      <c r="X1024" s="486"/>
      <c r="Y1024" s="486"/>
      <c r="Z1024" s="487"/>
      <c r="AA1024" s="488"/>
      <c r="AB1024" s="488"/>
      <c r="AC1024" s="488"/>
      <c r="AD1024" s="489" t="b">
        <f>IF(ISBLANK(GroupMember[[#This Row],[1. Identifiant interne d’exploitation agricole*]]),"",IF(ISERROR(MATCH(GroupMember[[#This Row],[1. Identifiant interne d’exploitation agricole*]],CertifiedCrop[1. Identifiant interne d’exploitation agricole*],0)),FALSE,TRUE))</f>
        <v>1</v>
      </c>
      <c r="AE1024" s="489" t="b">
        <f>IF(ISBLANK(GroupMember[[#This Row],[1. Identifiant interne d’exploitation agricole*]]),"",IF(ISERROR(MATCH(GroupMember[[#This Row],[1. Identifiant interne d’exploitation agricole*]],FarmUnit[1. Identifiant interne d’exploitation agricole*],0)),FALSE,TRUE))</f>
        <v>1</v>
      </c>
      <c r="AF1024" s="490" t="str">
        <f t="shared" si="54"/>
        <v>MAMADOU DIOMANDE</v>
      </c>
      <c r="AG1024" s="491" t="str">
        <f t="shared" si="55"/>
        <v>//</v>
      </c>
      <c r="AH1024" s="492">
        <f>COUNTIFS(Z:Z,Z1024,AG:AG,AG1024)</f>
        <v>0</v>
      </c>
      <c r="AI1024" s="493">
        <f t="shared" si="56"/>
        <v>0</v>
      </c>
    </row>
    <row r="1025" spans="1:35" ht="15" x14ac:dyDescent="0.2">
      <c r="A1025" s="415" t="s">
        <v>3534</v>
      </c>
      <c r="B1025" s="146" t="s">
        <v>668</v>
      </c>
      <c r="C1025" s="415" t="s">
        <v>3534</v>
      </c>
      <c r="D1025" s="175" t="s">
        <v>3011</v>
      </c>
      <c r="E1025" s="146" t="s">
        <v>670</v>
      </c>
      <c r="F1025" s="146" t="s">
        <v>671</v>
      </c>
      <c r="G1025" s="146" t="s">
        <v>672</v>
      </c>
      <c r="H1025" s="188">
        <v>3.8</v>
      </c>
      <c r="I1025" s="146" t="s">
        <v>673</v>
      </c>
      <c r="J1025" s="419">
        <v>1</v>
      </c>
      <c r="K1025" s="420">
        <v>2022</v>
      </c>
      <c r="L1025" s="188" t="s">
        <v>2199</v>
      </c>
      <c r="M1025" s="421" t="s">
        <v>2742</v>
      </c>
      <c r="N1025" s="329" t="s">
        <v>3526</v>
      </c>
      <c r="O1025" s="422"/>
      <c r="P1025" s="219" t="s">
        <v>676</v>
      </c>
      <c r="Q1025" s="424"/>
      <c r="R1025" s="425"/>
      <c r="S1025" s="305"/>
      <c r="T1025" s="426"/>
      <c r="U1025" s="305"/>
      <c r="V1025" s="305"/>
      <c r="W1025" s="305"/>
      <c r="X1025" s="418"/>
      <c r="Y1025" s="418"/>
      <c r="Z1025" s="427"/>
      <c r="AA1025" s="428"/>
      <c r="AB1025" s="428"/>
      <c r="AC1025" s="428"/>
      <c r="AD1025" s="398" t="b">
        <f>IF(ISBLANK(GroupMember[[#This Row],[1. Identifiant interne d’exploitation agricole*]]),"",IF(ISERROR(MATCH(GroupMember[[#This Row],[1. Identifiant interne d’exploitation agricole*]],CertifiedCrop[1. Identifiant interne d’exploitation agricole*],0)),FALSE,TRUE))</f>
        <v>1</v>
      </c>
      <c r="AE1025" s="398" t="b">
        <f>IF(ISBLANK(GroupMember[[#This Row],[1. Identifiant interne d’exploitation agricole*]]),"",IF(ISERROR(MATCH(GroupMember[[#This Row],[1. Identifiant interne d’exploitation agricole*]],FarmUnit[1. Identifiant interne d’exploitation agricole*],0)),FALSE,TRUE))</f>
        <v>1</v>
      </c>
      <c r="AF1025" s="373" t="str">
        <f t="shared" ref="AF1025:AF1027" si="57">IFERROR(CONCATENATE(L1025," ",M1025),"")</f>
        <v>MOUSSA FOFANA</v>
      </c>
      <c r="AG1025" s="429" t="str">
        <f t="shared" ref="AG1025:AG1027" si="58">CONCATENATE(AC1025,"/",AB1025,"/",AA1025)</f>
        <v>//</v>
      </c>
      <c r="AH1025" s="430">
        <f>COUNTIFS(Z:Z,Z1025,AG:AG,AG1025)</f>
        <v>0</v>
      </c>
      <c r="AI1025" s="431">
        <f t="shared" ref="AI1025:AI1027" si="59">IF((X1025+Y1025/12)&lt;0,"",(X1025+Y1025/12))</f>
        <v>0</v>
      </c>
    </row>
    <row r="1026" spans="1:35" s="372" customFormat="1" ht="15" x14ac:dyDescent="0.2">
      <c r="A1026" s="465" t="s">
        <v>3535</v>
      </c>
      <c r="B1026" s="466" t="s">
        <v>668</v>
      </c>
      <c r="C1026" s="465" t="s">
        <v>3535</v>
      </c>
      <c r="D1026" s="343" t="s">
        <v>3011</v>
      </c>
      <c r="E1026" s="466" t="s">
        <v>670</v>
      </c>
      <c r="F1026" s="466" t="s">
        <v>671</v>
      </c>
      <c r="G1026" s="466" t="s">
        <v>672</v>
      </c>
      <c r="H1026" s="343">
        <v>2.2000000000000002</v>
      </c>
      <c r="I1026" s="466" t="s">
        <v>673</v>
      </c>
      <c r="J1026" s="467">
        <v>1</v>
      </c>
      <c r="K1026" s="468">
        <v>2022</v>
      </c>
      <c r="L1026" s="343" t="s">
        <v>3521</v>
      </c>
      <c r="M1026" s="469" t="s">
        <v>990</v>
      </c>
      <c r="N1026" s="342" t="s">
        <v>3527</v>
      </c>
      <c r="O1026" s="512"/>
      <c r="P1026" s="511" t="s">
        <v>676</v>
      </c>
      <c r="Q1026" s="471">
        <v>1989</v>
      </c>
      <c r="R1026" s="472"/>
      <c r="S1026" s="417"/>
      <c r="T1026" s="473"/>
      <c r="U1026" s="417"/>
      <c r="V1026" s="417"/>
      <c r="W1026" s="417"/>
      <c r="X1026" s="474"/>
      <c r="Y1026" s="474"/>
      <c r="Z1026" s="475"/>
      <c r="AA1026" s="476"/>
      <c r="AB1026" s="476"/>
      <c r="AC1026" s="476"/>
      <c r="AD1026" s="406" t="b">
        <f>IF(ISBLANK(GroupMember[[#This Row],[1. Identifiant interne d’exploitation agricole*]]),"",IF(ISERROR(MATCH(GroupMember[[#This Row],[1. Identifiant interne d’exploitation agricole*]],CertifiedCrop[1. Identifiant interne d’exploitation agricole*],0)),FALSE,TRUE))</f>
        <v>1</v>
      </c>
      <c r="AE1026" s="406" t="b">
        <f>IF(ISBLANK(GroupMember[[#This Row],[1. Identifiant interne d’exploitation agricole*]]),"",IF(ISERROR(MATCH(GroupMember[[#This Row],[1. Identifiant interne d’exploitation agricole*]],FarmUnit[1. Identifiant interne d’exploitation agricole*],0)),FALSE,TRUE))</f>
        <v>1</v>
      </c>
      <c r="AF1026" s="409" t="str">
        <f t="shared" si="57"/>
        <v>DERKADO SIMON GONLY</v>
      </c>
      <c r="AG1026" s="477" t="str">
        <f t="shared" si="58"/>
        <v>//</v>
      </c>
      <c r="AH1026" s="478">
        <f>COUNTIFS(Z:Z,Z1026,AG:AG,AG1026)</f>
        <v>0</v>
      </c>
      <c r="AI1026" s="479">
        <f t="shared" si="59"/>
        <v>0</v>
      </c>
    </row>
    <row r="1027" spans="1:35" ht="15" x14ac:dyDescent="0.2">
      <c r="A1027" s="416" t="s">
        <v>3536</v>
      </c>
      <c r="B1027" s="146" t="s">
        <v>668</v>
      </c>
      <c r="C1027" s="416" t="s">
        <v>3536</v>
      </c>
      <c r="D1027" s="175" t="s">
        <v>3011</v>
      </c>
      <c r="E1027" s="146" t="s">
        <v>670</v>
      </c>
      <c r="F1027" s="146" t="s">
        <v>671</v>
      </c>
      <c r="G1027" s="146" t="s">
        <v>672</v>
      </c>
      <c r="H1027" s="188">
        <v>3.5</v>
      </c>
      <c r="I1027" s="146" t="s">
        <v>673</v>
      </c>
      <c r="J1027" s="433">
        <v>1</v>
      </c>
      <c r="K1027" s="420">
        <v>2022</v>
      </c>
      <c r="L1027" s="188" t="s">
        <v>3522</v>
      </c>
      <c r="M1027" s="434" t="s">
        <v>2644</v>
      </c>
      <c r="N1027" s="329" t="s">
        <v>3528</v>
      </c>
      <c r="O1027" s="435"/>
      <c r="P1027" s="219" t="s">
        <v>676</v>
      </c>
      <c r="Q1027" s="436">
        <v>1975</v>
      </c>
      <c r="R1027" s="437"/>
      <c r="S1027" s="432"/>
      <c r="T1027" s="438"/>
      <c r="U1027" s="432"/>
      <c r="V1027" s="432"/>
      <c r="W1027" s="432"/>
      <c r="X1027" s="439"/>
      <c r="Y1027" s="439"/>
      <c r="Z1027" s="440"/>
      <c r="AA1027" s="441"/>
      <c r="AB1027" s="441"/>
      <c r="AC1027" s="441"/>
      <c r="AD1027" s="442" t="b">
        <f>IF(ISBLANK(GroupMember[[#This Row],[1. Identifiant interne d’exploitation agricole*]]),"",IF(ISERROR(MATCH(GroupMember[[#This Row],[1. Identifiant interne d’exploitation agricole*]],CertifiedCrop[1. Identifiant interne d’exploitation agricole*],0)),FALSE,TRUE))</f>
        <v>1</v>
      </c>
      <c r="AE1027" s="442" t="b">
        <f>IF(ISBLANK(GroupMember[[#This Row],[1. Identifiant interne d’exploitation agricole*]]),"",IF(ISERROR(MATCH(GroupMember[[#This Row],[1. Identifiant interne d’exploitation agricole*]],FarmUnit[1. Identifiant interne d’exploitation agricole*],0)),FALSE,TRUE))</f>
        <v>1</v>
      </c>
      <c r="AF1027" s="443" t="str">
        <f t="shared" si="57"/>
        <v>JEREMIE KIENDREBEOGO</v>
      </c>
      <c r="AG1027" s="444" t="str">
        <f t="shared" si="58"/>
        <v>//</v>
      </c>
      <c r="AH1027" s="445">
        <f>COUNTIFS(Z:Z,Z1027,AG:AG,AG1027)</f>
        <v>0</v>
      </c>
      <c r="AI1027" s="446">
        <f t="shared" si="59"/>
        <v>0</v>
      </c>
    </row>
    <row r="1028" spans="1:35" s="372" customFormat="1" ht="15" x14ac:dyDescent="0.2">
      <c r="A1028" s="480" t="s">
        <v>3537</v>
      </c>
      <c r="B1028" s="466" t="s">
        <v>668</v>
      </c>
      <c r="C1028" s="480" t="s">
        <v>3537</v>
      </c>
      <c r="D1028" s="343" t="s">
        <v>3011</v>
      </c>
      <c r="E1028" s="466" t="s">
        <v>670</v>
      </c>
      <c r="F1028" s="466" t="s">
        <v>671</v>
      </c>
      <c r="G1028" s="466" t="s">
        <v>672</v>
      </c>
      <c r="H1028" s="343">
        <v>2.2999999999999998</v>
      </c>
      <c r="I1028" s="466" t="s">
        <v>673</v>
      </c>
      <c r="J1028" s="509">
        <v>2</v>
      </c>
      <c r="K1028" s="468">
        <v>2022</v>
      </c>
      <c r="L1028" s="343" t="s">
        <v>1933</v>
      </c>
      <c r="M1028" s="481" t="s">
        <v>760</v>
      </c>
      <c r="N1028" s="342" t="s">
        <v>3529</v>
      </c>
      <c r="O1028" s="343" t="s">
        <v>3531</v>
      </c>
      <c r="P1028" s="511" t="s">
        <v>676</v>
      </c>
      <c r="Q1028" s="482">
        <v>1984</v>
      </c>
      <c r="R1028" s="483"/>
      <c r="S1028" s="484"/>
      <c r="T1028" s="485"/>
      <c r="U1028" s="484"/>
      <c r="V1028" s="484"/>
      <c r="W1028" s="484"/>
      <c r="X1028" s="486"/>
      <c r="Y1028" s="486"/>
      <c r="Z1028" s="487"/>
      <c r="AA1028" s="488"/>
      <c r="AB1028" s="488"/>
      <c r="AC1028" s="488"/>
      <c r="AD1028" s="489" t="b">
        <f>IF(ISBLANK(GroupMember[[#This Row],[1. Identifiant interne d’exploitation agricole*]]),"",IF(ISERROR(MATCH(GroupMember[[#This Row],[1. Identifiant interne d’exploitation agricole*]],CertifiedCrop[1. Identifiant interne d’exploitation agricole*],0)),FALSE,TRUE))</f>
        <v>1</v>
      </c>
      <c r="AE1028" s="489" t="b">
        <f>IF(ISBLANK(GroupMember[[#This Row],[1. Identifiant interne d’exploitation agricole*]]),"",IF(ISERROR(MATCH(GroupMember[[#This Row],[1. Identifiant interne d’exploitation agricole*]],FarmUnit[1. Identifiant interne d’exploitation agricole*],0)),FALSE,TRUE))</f>
        <v>1</v>
      </c>
      <c r="AF1028" s="490" t="str">
        <f>IFERROR(CONCATENATE(L1028," ",M1028),"")</f>
        <v>THOMAS YERBANGA</v>
      </c>
      <c r="AG1028" s="491" t="str">
        <f>CONCATENATE(AC1028,"/",AB1028,"/",AA1028)</f>
        <v>//</v>
      </c>
      <c r="AH1028" s="492">
        <f>COUNTIFS(Z:Z,Z1028,AG:AG,AG1028)</f>
        <v>0</v>
      </c>
      <c r="AI1028" s="493">
        <f>IF((X1028+Y1028/12)&lt;0,"",(X1028+Y1028/12))</f>
        <v>0</v>
      </c>
    </row>
    <row r="1029" spans="1:35" ht="15" x14ac:dyDescent="0.2">
      <c r="A1029" s="416" t="s">
        <v>3538</v>
      </c>
      <c r="B1029" s="146" t="s">
        <v>668</v>
      </c>
      <c r="C1029" s="416" t="s">
        <v>3538</v>
      </c>
      <c r="D1029" s="175" t="s">
        <v>3011</v>
      </c>
      <c r="E1029" s="146" t="s">
        <v>670</v>
      </c>
      <c r="F1029" s="146" t="s">
        <v>671</v>
      </c>
      <c r="G1029" s="146" t="s">
        <v>672</v>
      </c>
      <c r="H1029" s="188">
        <v>6.5</v>
      </c>
      <c r="I1029" s="146" t="s">
        <v>673</v>
      </c>
      <c r="J1029" s="433">
        <v>2</v>
      </c>
      <c r="K1029" s="420">
        <v>2022</v>
      </c>
      <c r="L1029" s="188" t="s">
        <v>3523</v>
      </c>
      <c r="M1029" s="434" t="s">
        <v>3519</v>
      </c>
      <c r="N1029" s="329" t="s">
        <v>3530</v>
      </c>
      <c r="O1029" s="435"/>
      <c r="P1029" s="219" t="s">
        <v>676</v>
      </c>
      <c r="Q1029" s="436"/>
      <c r="R1029" s="437"/>
      <c r="S1029" s="432"/>
      <c r="T1029" s="438"/>
      <c r="U1029" s="432"/>
      <c r="V1029" s="432"/>
      <c r="W1029" s="432"/>
      <c r="X1029" s="439"/>
      <c r="Y1029" s="439"/>
      <c r="Z1029" s="440"/>
      <c r="AA1029" s="441"/>
      <c r="AB1029" s="441"/>
      <c r="AC1029" s="441"/>
      <c r="AD1029" s="442" t="b">
        <f>IF(ISBLANK(GroupMember[[#This Row],[1. Identifiant interne d’exploitation agricole*]]),"",IF(ISERROR(MATCH(GroupMember[[#This Row],[1. Identifiant interne d’exploitation agricole*]],CertifiedCrop[1. Identifiant interne d’exploitation agricole*],0)),FALSE,TRUE))</f>
        <v>1</v>
      </c>
      <c r="AE1029" s="442" t="b">
        <f>IF(ISBLANK(GroupMember[[#This Row],[1. Identifiant interne d’exploitation agricole*]]),"",IF(ISERROR(MATCH(GroupMember[[#This Row],[1. Identifiant interne d’exploitation agricole*]],FarmUnit[1. Identifiant interne d’exploitation agricole*],0)),FALSE,TRUE))</f>
        <v>1</v>
      </c>
      <c r="AF1029" s="443" t="str">
        <f>IFERROR(CONCATENATE(L1029," ",M1029),"")</f>
        <v>GOUENE CLEMENT YOUE</v>
      </c>
      <c r="AG1029" s="444" t="str">
        <f>CONCATENATE(AC1029,"/",AB1029,"/",AA1029)</f>
        <v>//</v>
      </c>
      <c r="AH1029" s="445">
        <f>COUNTIFS(Z:Z,Z1029,AG:AG,AG1029)</f>
        <v>0</v>
      </c>
      <c r="AI1029" s="446">
        <f>IF((X1029+Y1029/12)&lt;0,"",(X1029+Y1029/12))</f>
        <v>0</v>
      </c>
    </row>
    <row r="1030" spans="1:35" ht="15" x14ac:dyDescent="0.2">
      <c r="A1030" s="415" t="s">
        <v>3602</v>
      </c>
      <c r="B1030" s="146" t="s">
        <v>668</v>
      </c>
      <c r="C1030" s="415" t="s">
        <v>3602</v>
      </c>
      <c r="D1030" s="415" t="s">
        <v>669</v>
      </c>
      <c r="E1030" s="146" t="s">
        <v>670</v>
      </c>
      <c r="F1030" s="146" t="s">
        <v>671</v>
      </c>
      <c r="G1030" s="146" t="s">
        <v>672</v>
      </c>
      <c r="H1030" s="188">
        <v>1.7</v>
      </c>
      <c r="I1030" s="146" t="s">
        <v>673</v>
      </c>
      <c r="J1030" s="419">
        <v>2</v>
      </c>
      <c r="K1030" s="420">
        <v>2022</v>
      </c>
      <c r="L1030" s="188" t="s">
        <v>3553</v>
      </c>
      <c r="M1030" s="421" t="s">
        <v>3539</v>
      </c>
      <c r="N1030" s="329" t="s">
        <v>3586</v>
      </c>
      <c r="O1030" s="188" t="s">
        <v>3598</v>
      </c>
      <c r="P1030" s="423" t="s">
        <v>751</v>
      </c>
      <c r="Q1030" s="424"/>
      <c r="R1030" s="425"/>
      <c r="S1030" s="305"/>
      <c r="T1030" s="426"/>
      <c r="U1030" s="305"/>
      <c r="V1030" s="305"/>
      <c r="W1030" s="305"/>
      <c r="X1030" s="418"/>
      <c r="Y1030" s="418"/>
      <c r="Z1030" s="427"/>
      <c r="AA1030" s="428"/>
      <c r="AB1030" s="428"/>
      <c r="AC1030" s="428"/>
      <c r="AD1030" s="398" t="b">
        <f>IF(ISBLANK(GroupMember[[#This Row],[1. Identifiant interne d’exploitation agricole*]]),"",IF(ISERROR(MATCH(GroupMember[[#This Row],[1. Identifiant interne d’exploitation agricole*]],CertifiedCrop[1. Identifiant interne d’exploitation agricole*],0)),FALSE,TRUE))</f>
        <v>1</v>
      </c>
      <c r="AE1030" s="398" t="b">
        <f>IF(ISBLANK(GroupMember[[#This Row],[1. Identifiant interne d’exploitation agricole*]]),"",IF(ISERROR(MATCH(GroupMember[[#This Row],[1. Identifiant interne d’exploitation agricole*]],FarmUnit[1. Identifiant interne d’exploitation agricole*],0)),FALSE,TRUE))</f>
        <v>1</v>
      </c>
      <c r="AF1030" s="373" t="str">
        <f t="shared" ref="AF1030:AF1033" si="60">IFERROR(CONCATENATE(L1030," ",M1030),"")</f>
        <v>ROSSENE ATTA</v>
      </c>
      <c r="AG1030" s="429" t="str">
        <f t="shared" ref="AG1030:AG1033" si="61">CONCATENATE(AC1030,"/",AB1030,"/",AA1030)</f>
        <v>//</v>
      </c>
      <c r="AH1030" s="430">
        <f>COUNTIFS(Z:Z,Z1030,AG:AG,AG1030)</f>
        <v>0</v>
      </c>
      <c r="AI1030" s="431">
        <f t="shared" ref="AI1030:AI1033" si="62">IF((X1030+Y1030/12)&lt;0,"",(X1030+Y1030/12))</f>
        <v>0</v>
      </c>
    </row>
    <row r="1031" spans="1:35" s="372" customFormat="1" ht="15" x14ac:dyDescent="0.2">
      <c r="A1031" s="465" t="s">
        <v>3603</v>
      </c>
      <c r="B1031" s="466" t="s">
        <v>668</v>
      </c>
      <c r="C1031" s="465" t="s">
        <v>3603</v>
      </c>
      <c r="D1031" s="465" t="s">
        <v>669</v>
      </c>
      <c r="E1031" s="466" t="s">
        <v>670</v>
      </c>
      <c r="F1031" s="466" t="s">
        <v>671</v>
      </c>
      <c r="G1031" s="466" t="s">
        <v>672</v>
      </c>
      <c r="H1031" s="343">
        <v>4.5</v>
      </c>
      <c r="I1031" s="466" t="s">
        <v>673</v>
      </c>
      <c r="J1031" s="467">
        <v>1</v>
      </c>
      <c r="K1031" s="468">
        <v>2022</v>
      </c>
      <c r="L1031" s="343" t="s">
        <v>3554</v>
      </c>
      <c r="M1031" s="469" t="s">
        <v>3540</v>
      </c>
      <c r="N1031" s="342" t="s">
        <v>3587</v>
      </c>
      <c r="O1031" s="343"/>
      <c r="P1031" s="470" t="s">
        <v>676</v>
      </c>
      <c r="Q1031" s="471"/>
      <c r="R1031" s="472"/>
      <c r="S1031" s="417"/>
      <c r="T1031" s="473"/>
      <c r="U1031" s="417"/>
      <c r="V1031" s="417"/>
      <c r="W1031" s="417"/>
      <c r="X1031" s="474"/>
      <c r="Y1031" s="474"/>
      <c r="Z1031" s="475"/>
      <c r="AA1031" s="476"/>
      <c r="AB1031" s="476"/>
      <c r="AC1031" s="476"/>
      <c r="AD1031" s="406" t="b">
        <f>IF(ISBLANK(GroupMember[[#This Row],[1. Identifiant interne d’exploitation agricole*]]),"",IF(ISERROR(MATCH(GroupMember[[#This Row],[1. Identifiant interne d’exploitation agricole*]],CertifiedCrop[1. Identifiant interne d’exploitation agricole*],0)),FALSE,TRUE))</f>
        <v>1</v>
      </c>
      <c r="AE1031" s="406" t="b">
        <f>IF(ISBLANK(GroupMember[[#This Row],[1. Identifiant interne d’exploitation agricole*]]),"",IF(ISERROR(MATCH(GroupMember[[#This Row],[1. Identifiant interne d’exploitation agricole*]],FarmUnit[1. Identifiant interne d’exploitation agricole*],0)),FALSE,TRUE))</f>
        <v>1</v>
      </c>
      <c r="AF1031" s="409" t="str">
        <f t="shared" si="60"/>
        <v xml:space="preserve">SEBE BAMBA </v>
      </c>
      <c r="AG1031" s="477" t="str">
        <f t="shared" si="61"/>
        <v>//</v>
      </c>
      <c r="AH1031" s="478">
        <f>COUNTIFS(Z:Z,Z1031,AG:AG,AG1031)</f>
        <v>0</v>
      </c>
      <c r="AI1031" s="479">
        <f t="shared" si="62"/>
        <v>0</v>
      </c>
    </row>
    <row r="1032" spans="1:35" ht="15" x14ac:dyDescent="0.2">
      <c r="A1032" s="415" t="s">
        <v>3604</v>
      </c>
      <c r="B1032" s="146" t="s">
        <v>668</v>
      </c>
      <c r="C1032" s="415" t="s">
        <v>3604</v>
      </c>
      <c r="D1032" s="415" t="s">
        <v>669</v>
      </c>
      <c r="E1032" s="146" t="s">
        <v>670</v>
      </c>
      <c r="F1032" s="146" t="s">
        <v>671</v>
      </c>
      <c r="G1032" s="146" t="s">
        <v>672</v>
      </c>
      <c r="H1032" s="188">
        <v>2.5</v>
      </c>
      <c r="I1032" s="146" t="s">
        <v>673</v>
      </c>
      <c r="J1032" s="419">
        <v>1</v>
      </c>
      <c r="K1032" s="420">
        <v>2022</v>
      </c>
      <c r="L1032" s="188" t="s">
        <v>3555</v>
      </c>
      <c r="M1032" s="421" t="s">
        <v>1219</v>
      </c>
      <c r="N1032" s="329" t="s">
        <v>3588</v>
      </c>
      <c r="O1032" s="188"/>
      <c r="P1032" s="423" t="s">
        <v>676</v>
      </c>
      <c r="Q1032" s="424"/>
      <c r="R1032" s="425"/>
      <c r="S1032" s="305"/>
      <c r="T1032" s="426"/>
      <c r="U1032" s="305"/>
      <c r="V1032" s="305"/>
      <c r="W1032" s="305"/>
      <c r="X1032" s="418"/>
      <c r="Y1032" s="418"/>
      <c r="Z1032" s="427"/>
      <c r="AA1032" s="428"/>
      <c r="AB1032" s="428"/>
      <c r="AC1032" s="428"/>
      <c r="AD1032" s="398" t="b">
        <f>IF(ISBLANK(GroupMember[[#This Row],[1. Identifiant interne d’exploitation agricole*]]),"",IF(ISERROR(MATCH(GroupMember[[#This Row],[1. Identifiant interne d’exploitation agricole*]],CertifiedCrop[1. Identifiant interne d’exploitation agricole*],0)),FALSE,TRUE))</f>
        <v>1</v>
      </c>
      <c r="AE1032" s="398" t="b">
        <f>IF(ISBLANK(GroupMember[[#This Row],[1. Identifiant interne d’exploitation agricole*]]),"",IF(ISERROR(MATCH(GroupMember[[#This Row],[1. Identifiant interne d’exploitation agricole*]],FarmUnit[1. Identifiant interne d’exploitation agricole*],0)),FALSE,TRUE))</f>
        <v>1</v>
      </c>
      <c r="AF1032" s="373" t="str">
        <f t="shared" si="60"/>
        <v>SERGE BLEU</v>
      </c>
      <c r="AG1032" s="429" t="str">
        <f t="shared" si="61"/>
        <v>//</v>
      </c>
      <c r="AH1032" s="430">
        <f>COUNTIFS(Z:Z,Z1032,AG:AG,AG1032)</f>
        <v>0</v>
      </c>
      <c r="AI1032" s="431">
        <f t="shared" si="62"/>
        <v>0</v>
      </c>
    </row>
    <row r="1033" spans="1:35" s="372" customFormat="1" ht="15" x14ac:dyDescent="0.2">
      <c r="A1033" s="480" t="s">
        <v>3605</v>
      </c>
      <c r="B1033" s="466" t="s">
        <v>668</v>
      </c>
      <c r="C1033" s="480" t="s">
        <v>3605</v>
      </c>
      <c r="D1033" s="465" t="s">
        <v>669</v>
      </c>
      <c r="E1033" s="466" t="s">
        <v>670</v>
      </c>
      <c r="F1033" s="466" t="s">
        <v>671</v>
      </c>
      <c r="G1033" s="466" t="s">
        <v>672</v>
      </c>
      <c r="H1033" s="343">
        <v>1.5</v>
      </c>
      <c r="I1033" s="466" t="s">
        <v>673</v>
      </c>
      <c r="J1033" s="467">
        <v>1</v>
      </c>
      <c r="K1033" s="468">
        <v>2022</v>
      </c>
      <c r="L1033" s="343" t="s">
        <v>3556</v>
      </c>
      <c r="M1033" s="481" t="s">
        <v>1219</v>
      </c>
      <c r="N1033" s="342" t="s">
        <v>3589</v>
      </c>
      <c r="O1033" s="343" t="s">
        <v>3599</v>
      </c>
      <c r="P1033" s="470" t="s">
        <v>676</v>
      </c>
      <c r="Q1033" s="482"/>
      <c r="R1033" s="483"/>
      <c r="S1033" s="484"/>
      <c r="T1033" s="485"/>
      <c r="U1033" s="484"/>
      <c r="V1033" s="484"/>
      <c r="W1033" s="484"/>
      <c r="X1033" s="486"/>
      <c r="Y1033" s="486"/>
      <c r="Z1033" s="487"/>
      <c r="AA1033" s="488"/>
      <c r="AB1033" s="488"/>
      <c r="AC1033" s="488"/>
      <c r="AD1033" s="489" t="b">
        <f>IF(ISBLANK(GroupMember[[#This Row],[1. Identifiant interne d’exploitation agricole*]]),"",IF(ISERROR(MATCH(GroupMember[[#This Row],[1. Identifiant interne d’exploitation agricole*]],CertifiedCrop[1. Identifiant interne d’exploitation agricole*],0)),FALSE,TRUE))</f>
        <v>1</v>
      </c>
      <c r="AE1033" s="489" t="b">
        <f>IF(ISBLANK(GroupMember[[#This Row],[1. Identifiant interne d’exploitation agricole*]]),"",IF(ISERROR(MATCH(GroupMember[[#This Row],[1. Identifiant interne d’exploitation agricole*]],FarmUnit[1. Identifiant interne d’exploitation agricole*],0)),FALSE,TRUE))</f>
        <v>1</v>
      </c>
      <c r="AF1033" s="490" t="str">
        <f t="shared" si="60"/>
        <v>TIA ERNEST BLEU</v>
      </c>
      <c r="AG1033" s="491" t="str">
        <f t="shared" si="61"/>
        <v>//</v>
      </c>
      <c r="AH1033" s="492">
        <f>COUNTIFS(Z:Z,Z1033,AG:AG,AG1033)</f>
        <v>0</v>
      </c>
      <c r="AI1033" s="493">
        <f t="shared" si="62"/>
        <v>0</v>
      </c>
    </row>
    <row r="1034" spans="1:35" ht="15" x14ac:dyDescent="0.2">
      <c r="A1034" s="416" t="s">
        <v>3606</v>
      </c>
      <c r="B1034" s="146" t="s">
        <v>668</v>
      </c>
      <c r="C1034" s="416" t="s">
        <v>3606</v>
      </c>
      <c r="D1034" s="415" t="s">
        <v>669</v>
      </c>
      <c r="E1034" s="146" t="s">
        <v>670</v>
      </c>
      <c r="F1034" s="146" t="s">
        <v>671</v>
      </c>
      <c r="G1034" s="146" t="s">
        <v>672</v>
      </c>
      <c r="H1034" s="188">
        <v>0.8</v>
      </c>
      <c r="I1034" s="146" t="s">
        <v>673</v>
      </c>
      <c r="J1034" s="419">
        <v>1</v>
      </c>
      <c r="K1034" s="420">
        <v>2022</v>
      </c>
      <c r="L1034" s="188" t="s">
        <v>3557</v>
      </c>
      <c r="M1034" s="434" t="s">
        <v>1193</v>
      </c>
      <c r="N1034" s="329"/>
      <c r="O1034" s="188"/>
      <c r="P1034" s="423" t="s">
        <v>676</v>
      </c>
      <c r="Q1034" s="436"/>
      <c r="R1034" s="437"/>
      <c r="S1034" s="432"/>
      <c r="T1034" s="438"/>
      <c r="U1034" s="432"/>
      <c r="V1034" s="432"/>
      <c r="W1034" s="432"/>
      <c r="X1034" s="439"/>
      <c r="Y1034" s="439"/>
      <c r="Z1034" s="440"/>
      <c r="AA1034" s="441"/>
      <c r="AB1034" s="441"/>
      <c r="AC1034" s="441"/>
      <c r="AD1034" s="442" t="b">
        <f>IF(ISBLANK(GroupMember[[#This Row],[1. Identifiant interne d’exploitation agricole*]]),"",IF(ISERROR(MATCH(GroupMember[[#This Row],[1. Identifiant interne d’exploitation agricole*]],CertifiedCrop[1. Identifiant interne d’exploitation agricole*],0)),FALSE,TRUE))</f>
        <v>1</v>
      </c>
      <c r="AE1034" s="442" t="b">
        <f>IF(ISBLANK(GroupMember[[#This Row],[1. Identifiant interne d’exploitation agricole*]]),"",IF(ISERROR(MATCH(GroupMember[[#This Row],[1. Identifiant interne d’exploitation agricole*]],FarmUnit[1. Identifiant interne d’exploitation agricole*],0)),FALSE,TRUE))</f>
        <v>1</v>
      </c>
      <c r="AF1034" s="443" t="str">
        <f>IFERROR(CONCATENATE(L1034," ",M1034),"")</f>
        <v>SOUALIO DIOMANDE</v>
      </c>
      <c r="AG1034" s="444" t="str">
        <f>CONCATENATE(AC1034,"/",AB1034,"/",AA1034)</f>
        <v>//</v>
      </c>
      <c r="AH1034" s="445">
        <f>COUNTIFS(Z:Z,Z1034,AG:AG,AG1034)</f>
        <v>0</v>
      </c>
      <c r="AI1034" s="446">
        <f>IF((X1034+Y1034/12)&lt;0,"",(X1034+Y1034/12))</f>
        <v>0</v>
      </c>
    </row>
    <row r="1035" spans="1:35" s="372" customFormat="1" ht="15" x14ac:dyDescent="0.2">
      <c r="A1035" s="465" t="s">
        <v>3607</v>
      </c>
      <c r="B1035" s="466" t="s">
        <v>668</v>
      </c>
      <c r="C1035" s="465" t="s">
        <v>3607</v>
      </c>
      <c r="D1035" s="465" t="s">
        <v>669</v>
      </c>
      <c r="E1035" s="466" t="s">
        <v>670</v>
      </c>
      <c r="F1035" s="466" t="s">
        <v>671</v>
      </c>
      <c r="G1035" s="466" t="s">
        <v>672</v>
      </c>
      <c r="H1035" s="343">
        <v>4</v>
      </c>
      <c r="I1035" s="466" t="s">
        <v>673</v>
      </c>
      <c r="J1035" s="467">
        <v>1</v>
      </c>
      <c r="K1035" s="468">
        <v>2022</v>
      </c>
      <c r="L1035" s="343" t="s">
        <v>758</v>
      </c>
      <c r="M1035" s="469" t="s">
        <v>757</v>
      </c>
      <c r="N1035" s="342" t="s">
        <v>3590</v>
      </c>
      <c r="O1035" s="343"/>
      <c r="P1035" s="470" t="s">
        <v>676</v>
      </c>
      <c r="Q1035" s="471"/>
      <c r="R1035" s="472"/>
      <c r="S1035" s="417"/>
      <c r="T1035" s="473"/>
      <c r="U1035" s="417"/>
      <c r="V1035" s="417"/>
      <c r="W1035" s="417"/>
      <c r="X1035" s="474"/>
      <c r="Y1035" s="474"/>
      <c r="Z1035" s="475"/>
      <c r="AA1035" s="476"/>
      <c r="AB1035" s="476"/>
      <c r="AC1035" s="476"/>
      <c r="AD1035" s="406" t="b">
        <f>IF(ISBLANK(GroupMember[[#This Row],[1. Identifiant interne d’exploitation agricole*]]),"",IF(ISERROR(MATCH(GroupMember[[#This Row],[1. Identifiant interne d’exploitation agricole*]],CertifiedCrop[1. Identifiant interne d’exploitation agricole*],0)),FALSE,TRUE))</f>
        <v>1</v>
      </c>
      <c r="AE1035" s="406" t="b">
        <f>IF(ISBLANK(GroupMember[[#This Row],[1. Identifiant interne d’exploitation agricole*]]),"",IF(ISERROR(MATCH(GroupMember[[#This Row],[1. Identifiant interne d’exploitation agricole*]],FarmUnit[1. Identifiant interne d’exploitation agricole*],0)),FALSE,TRUE))</f>
        <v>1</v>
      </c>
      <c r="AF1035" s="409" t="str">
        <f t="shared" ref="AF1035:AF1042" si="63">IFERROR(CONCATENATE(L1035," ",M1035),"")</f>
        <v>PIERRE KIENTEGA</v>
      </c>
      <c r="AG1035" s="477" t="str">
        <f t="shared" ref="AG1035:AG1042" si="64">CONCATENATE(AC1035,"/",AB1035,"/",AA1035)</f>
        <v>//</v>
      </c>
      <c r="AH1035" s="478">
        <f>COUNTIFS(Z:Z,Z1035,AG:AG,AG1035)</f>
        <v>0</v>
      </c>
      <c r="AI1035" s="479">
        <f t="shared" ref="AI1035:AI1042" si="65">IF((X1035+Y1035/12)&lt;0,"",(X1035+Y1035/12))</f>
        <v>0</v>
      </c>
    </row>
    <row r="1036" spans="1:35" ht="15" x14ac:dyDescent="0.2">
      <c r="A1036" s="415" t="s">
        <v>3608</v>
      </c>
      <c r="B1036" s="146" t="s">
        <v>668</v>
      </c>
      <c r="C1036" s="415" t="s">
        <v>3608</v>
      </c>
      <c r="D1036" s="415" t="s">
        <v>669</v>
      </c>
      <c r="E1036" s="146" t="s">
        <v>670</v>
      </c>
      <c r="F1036" s="146" t="s">
        <v>671</v>
      </c>
      <c r="G1036" s="146" t="s">
        <v>672</v>
      </c>
      <c r="H1036" s="188">
        <v>0.6</v>
      </c>
      <c r="I1036" s="146" t="s">
        <v>673</v>
      </c>
      <c r="J1036" s="419">
        <v>1</v>
      </c>
      <c r="K1036" s="420">
        <v>2022</v>
      </c>
      <c r="L1036" s="188" t="s">
        <v>3558</v>
      </c>
      <c r="M1036" s="421" t="s">
        <v>3541</v>
      </c>
      <c r="N1036" s="329" t="s">
        <v>3591</v>
      </c>
      <c r="O1036" s="188"/>
      <c r="P1036" s="423" t="s">
        <v>676</v>
      </c>
      <c r="Q1036" s="424"/>
      <c r="R1036" s="425"/>
      <c r="S1036" s="305"/>
      <c r="T1036" s="426"/>
      <c r="U1036" s="305"/>
      <c r="V1036" s="305"/>
      <c r="W1036" s="305"/>
      <c r="X1036" s="418"/>
      <c r="Y1036" s="418"/>
      <c r="Z1036" s="427"/>
      <c r="AA1036" s="428"/>
      <c r="AB1036" s="428"/>
      <c r="AC1036" s="428"/>
      <c r="AD1036" s="398" t="b">
        <f>IF(ISBLANK(GroupMember[[#This Row],[1. Identifiant interne d’exploitation agricole*]]),"",IF(ISERROR(MATCH(GroupMember[[#This Row],[1. Identifiant interne d’exploitation agricole*]],CertifiedCrop[1. Identifiant interne d’exploitation agricole*],0)),FALSE,TRUE))</f>
        <v>1</v>
      </c>
      <c r="AE1036" s="398" t="b">
        <f>IF(ISBLANK(GroupMember[[#This Row],[1. Identifiant interne d’exploitation agricole*]]),"",IF(ISERROR(MATCH(GroupMember[[#This Row],[1. Identifiant interne d’exploitation agricole*]],FarmUnit[1. Identifiant interne d’exploitation agricole*],0)),FALSE,TRUE))</f>
        <v>1</v>
      </c>
      <c r="AF1036" s="373" t="str">
        <f t="shared" si="63"/>
        <v>KOBENAN BINJAMIN KOKO</v>
      </c>
      <c r="AG1036" s="429" t="str">
        <f t="shared" si="64"/>
        <v>//</v>
      </c>
      <c r="AH1036" s="430">
        <f>COUNTIFS(Z:Z,Z1036,AG:AG,AG1036)</f>
        <v>0</v>
      </c>
      <c r="AI1036" s="431">
        <f t="shared" si="65"/>
        <v>0</v>
      </c>
    </row>
    <row r="1037" spans="1:35" s="372" customFormat="1" ht="15" x14ac:dyDescent="0.2">
      <c r="A1037" s="465" t="s">
        <v>3609</v>
      </c>
      <c r="B1037" s="466" t="s">
        <v>668</v>
      </c>
      <c r="C1037" s="465" t="s">
        <v>3609</v>
      </c>
      <c r="D1037" s="465" t="s">
        <v>669</v>
      </c>
      <c r="E1037" s="466" t="s">
        <v>670</v>
      </c>
      <c r="F1037" s="466" t="s">
        <v>671</v>
      </c>
      <c r="G1037" s="466" t="s">
        <v>672</v>
      </c>
      <c r="H1037" s="343">
        <v>3</v>
      </c>
      <c r="I1037" s="466" t="s">
        <v>673</v>
      </c>
      <c r="J1037" s="467">
        <v>1</v>
      </c>
      <c r="K1037" s="468">
        <v>2022</v>
      </c>
      <c r="L1037" s="343" t="s">
        <v>3559</v>
      </c>
      <c r="M1037" s="469" t="s">
        <v>1502</v>
      </c>
      <c r="N1037" s="342" t="s">
        <v>3592</v>
      </c>
      <c r="O1037" s="343" t="s">
        <v>3600</v>
      </c>
      <c r="P1037" s="470" t="s">
        <v>676</v>
      </c>
      <c r="Q1037" s="471"/>
      <c r="R1037" s="472"/>
      <c r="S1037" s="417"/>
      <c r="T1037" s="473"/>
      <c r="U1037" s="417"/>
      <c r="V1037" s="417"/>
      <c r="W1037" s="417"/>
      <c r="X1037" s="474"/>
      <c r="Y1037" s="474"/>
      <c r="Z1037" s="475"/>
      <c r="AA1037" s="476"/>
      <c r="AB1037" s="476"/>
      <c r="AC1037" s="476"/>
      <c r="AD1037" s="406" t="b">
        <f>IF(ISBLANK(GroupMember[[#This Row],[1. Identifiant interne d’exploitation agricole*]]),"",IF(ISERROR(MATCH(GroupMember[[#This Row],[1. Identifiant interne d’exploitation agricole*]],CertifiedCrop[1. Identifiant interne d’exploitation agricole*],0)),FALSE,TRUE))</f>
        <v>1</v>
      </c>
      <c r="AE1037" s="406" t="b">
        <f>IF(ISBLANK(GroupMember[[#This Row],[1. Identifiant interne d’exploitation agricole*]]),"",IF(ISERROR(MATCH(GroupMember[[#This Row],[1. Identifiant interne d’exploitation agricole*]],FarmUnit[1. Identifiant interne d’exploitation agricole*],0)),FALSE,TRUE))</f>
        <v>1</v>
      </c>
      <c r="AF1037" s="409" t="str">
        <f t="shared" si="63"/>
        <v>N'GUESSAN RAPHAEL KOUAME</v>
      </c>
      <c r="AG1037" s="477" t="str">
        <f t="shared" si="64"/>
        <v>//</v>
      </c>
      <c r="AH1037" s="478">
        <f>COUNTIFS(Z:Z,Z1037,AG:AG,AG1037)</f>
        <v>0</v>
      </c>
      <c r="AI1037" s="479">
        <f t="shared" si="65"/>
        <v>0</v>
      </c>
    </row>
    <row r="1038" spans="1:35" ht="15" x14ac:dyDescent="0.2">
      <c r="A1038" s="415" t="s">
        <v>3610</v>
      </c>
      <c r="B1038" s="146" t="s">
        <v>668</v>
      </c>
      <c r="C1038" s="415" t="s">
        <v>3610</v>
      </c>
      <c r="D1038" s="415" t="s">
        <v>669</v>
      </c>
      <c r="E1038" s="146" t="s">
        <v>670</v>
      </c>
      <c r="F1038" s="146" t="s">
        <v>671</v>
      </c>
      <c r="G1038" s="146" t="s">
        <v>672</v>
      </c>
      <c r="H1038" s="188">
        <v>0.9</v>
      </c>
      <c r="I1038" s="146" t="s">
        <v>673</v>
      </c>
      <c r="J1038" s="419">
        <v>1</v>
      </c>
      <c r="K1038" s="420">
        <v>2022</v>
      </c>
      <c r="L1038" s="188" t="s">
        <v>3560</v>
      </c>
      <c r="M1038" s="421" t="s">
        <v>3542</v>
      </c>
      <c r="N1038" s="329" t="s">
        <v>3593</v>
      </c>
      <c r="O1038" s="188" t="s">
        <v>3601</v>
      </c>
      <c r="P1038" s="423" t="s">
        <v>751</v>
      </c>
      <c r="Q1038" s="424"/>
      <c r="R1038" s="425"/>
      <c r="S1038" s="305"/>
      <c r="T1038" s="426"/>
      <c r="U1038" s="305"/>
      <c r="V1038" s="305"/>
      <c r="W1038" s="305"/>
      <c r="X1038" s="418"/>
      <c r="Y1038" s="418"/>
      <c r="Z1038" s="427"/>
      <c r="AA1038" s="428"/>
      <c r="AB1038" s="428"/>
      <c r="AC1038" s="428"/>
      <c r="AD1038" s="398" t="b">
        <f>IF(ISBLANK(GroupMember[[#This Row],[1. Identifiant interne d’exploitation agricole*]]),"",IF(ISERROR(MATCH(GroupMember[[#This Row],[1. Identifiant interne d’exploitation agricole*]],CertifiedCrop[1. Identifiant interne d’exploitation agricole*],0)),FALSE,TRUE))</f>
        <v>1</v>
      </c>
      <c r="AE1038" s="398" t="b">
        <f>IF(ISBLANK(GroupMember[[#This Row],[1. Identifiant interne d’exploitation agricole*]]),"",IF(ISERROR(MATCH(GroupMember[[#This Row],[1. Identifiant interne d’exploitation agricole*]],FarmUnit[1. Identifiant interne d’exploitation agricole*],0)),FALSE,TRUE))</f>
        <v>1</v>
      </c>
      <c r="AF1038" s="373" t="str">
        <f t="shared" si="63"/>
        <v>AFFOUE MARIE LOKOSSUE</v>
      </c>
      <c r="AG1038" s="429" t="str">
        <f t="shared" si="64"/>
        <v>//</v>
      </c>
      <c r="AH1038" s="430">
        <f>COUNTIFS(Z:Z,Z1038,AG:AG,AG1038)</f>
        <v>0</v>
      </c>
      <c r="AI1038" s="431">
        <f t="shared" si="65"/>
        <v>0</v>
      </c>
    </row>
    <row r="1039" spans="1:35" s="372" customFormat="1" ht="15" x14ac:dyDescent="0.2">
      <c r="A1039" s="465" t="s">
        <v>3611</v>
      </c>
      <c r="B1039" s="466" t="s">
        <v>668</v>
      </c>
      <c r="C1039" s="465" t="s">
        <v>3611</v>
      </c>
      <c r="D1039" s="465" t="s">
        <v>669</v>
      </c>
      <c r="E1039" s="466" t="s">
        <v>670</v>
      </c>
      <c r="F1039" s="466" t="s">
        <v>671</v>
      </c>
      <c r="G1039" s="466" t="s">
        <v>672</v>
      </c>
      <c r="H1039" s="343">
        <v>1.2</v>
      </c>
      <c r="I1039" s="466" t="s">
        <v>673</v>
      </c>
      <c r="J1039" s="467">
        <v>1</v>
      </c>
      <c r="K1039" s="468">
        <v>2022</v>
      </c>
      <c r="L1039" s="343" t="s">
        <v>3561</v>
      </c>
      <c r="M1039" s="469" t="s">
        <v>3543</v>
      </c>
      <c r="N1039" s="342" t="s">
        <v>3594</v>
      </c>
      <c r="O1039" s="343"/>
      <c r="P1039" s="470" t="s">
        <v>676</v>
      </c>
      <c r="Q1039" s="471"/>
      <c r="R1039" s="472"/>
      <c r="S1039" s="417"/>
      <c r="T1039" s="473"/>
      <c r="U1039" s="417"/>
      <c r="V1039" s="417"/>
      <c r="W1039" s="417"/>
      <c r="X1039" s="474"/>
      <c r="Y1039" s="474"/>
      <c r="Z1039" s="475"/>
      <c r="AA1039" s="476"/>
      <c r="AB1039" s="476"/>
      <c r="AC1039" s="476"/>
      <c r="AD1039" s="406" t="b">
        <f>IF(ISBLANK(GroupMember[[#This Row],[1. Identifiant interne d’exploitation agricole*]]),"",IF(ISERROR(MATCH(GroupMember[[#This Row],[1. Identifiant interne d’exploitation agricole*]],CertifiedCrop[1. Identifiant interne d’exploitation agricole*],0)),FALSE,TRUE))</f>
        <v>1</v>
      </c>
      <c r="AE1039" s="406" t="b">
        <f>IF(ISBLANK(GroupMember[[#This Row],[1. Identifiant interne d’exploitation agricole*]]),"",IF(ISERROR(MATCH(GroupMember[[#This Row],[1. Identifiant interne d’exploitation agricole*]],FarmUnit[1. Identifiant interne d’exploitation agricole*],0)),FALSE,TRUE))</f>
        <v>1</v>
      </c>
      <c r="AF1039" s="409" t="str">
        <f t="shared" si="63"/>
        <v>INOUSSI MALIKI</v>
      </c>
      <c r="AG1039" s="477" t="str">
        <f t="shared" si="64"/>
        <v>//</v>
      </c>
      <c r="AH1039" s="478">
        <f>COUNTIFS(Z:Z,Z1039,AG:AG,AG1039)</f>
        <v>0</v>
      </c>
      <c r="AI1039" s="479">
        <f t="shared" si="65"/>
        <v>0</v>
      </c>
    </row>
    <row r="1040" spans="1:35" ht="15" x14ac:dyDescent="0.2">
      <c r="A1040" s="415" t="s">
        <v>3612</v>
      </c>
      <c r="B1040" s="146" t="s">
        <v>668</v>
      </c>
      <c r="C1040" s="415" t="s">
        <v>3612</v>
      </c>
      <c r="D1040" s="415" t="s">
        <v>669</v>
      </c>
      <c r="E1040" s="146" t="s">
        <v>670</v>
      </c>
      <c r="F1040" s="146" t="s">
        <v>671</v>
      </c>
      <c r="G1040" s="146" t="s">
        <v>672</v>
      </c>
      <c r="H1040" s="188">
        <v>1.4</v>
      </c>
      <c r="I1040" s="146" t="s">
        <v>673</v>
      </c>
      <c r="J1040" s="419">
        <v>1</v>
      </c>
      <c r="K1040" s="420">
        <v>2022</v>
      </c>
      <c r="L1040" s="188" t="s">
        <v>3562</v>
      </c>
      <c r="M1040" s="421" t="s">
        <v>776</v>
      </c>
      <c r="N1040" s="329"/>
      <c r="O1040" s="188"/>
      <c r="P1040" s="423" t="s">
        <v>676</v>
      </c>
      <c r="Q1040" s="424"/>
      <c r="R1040" s="425"/>
      <c r="S1040" s="305"/>
      <c r="T1040" s="426"/>
      <c r="U1040" s="305"/>
      <c r="V1040" s="305"/>
      <c r="W1040" s="305"/>
      <c r="X1040" s="418"/>
      <c r="Y1040" s="418"/>
      <c r="Z1040" s="427"/>
      <c r="AA1040" s="428"/>
      <c r="AB1040" s="428"/>
      <c r="AC1040" s="428"/>
      <c r="AD1040" s="398" t="b">
        <f>IF(ISBLANK(GroupMember[[#This Row],[1. Identifiant interne d’exploitation agricole*]]),"",IF(ISERROR(MATCH(GroupMember[[#This Row],[1. Identifiant interne d’exploitation agricole*]],CertifiedCrop[1. Identifiant interne d’exploitation agricole*],0)),FALSE,TRUE))</f>
        <v>1</v>
      </c>
      <c r="AE1040" s="398" t="b">
        <f>IF(ISBLANK(GroupMember[[#This Row],[1. Identifiant interne d’exploitation agricole*]]),"",IF(ISERROR(MATCH(GroupMember[[#This Row],[1. Identifiant interne d’exploitation agricole*]],FarmUnit[1. Identifiant interne d’exploitation agricole*],0)),FALSE,TRUE))</f>
        <v>1</v>
      </c>
      <c r="AF1040" s="373" t="str">
        <f t="shared" si="63"/>
        <v>JEAN BAPTISTE SAMA</v>
      </c>
      <c r="AG1040" s="429" t="str">
        <f t="shared" si="64"/>
        <v>//</v>
      </c>
      <c r="AH1040" s="430">
        <f>COUNTIFS(Z:Z,Z1040,AG:AG,AG1040)</f>
        <v>0</v>
      </c>
      <c r="AI1040" s="431">
        <f t="shared" si="65"/>
        <v>0</v>
      </c>
    </row>
    <row r="1041" spans="1:35" s="372" customFormat="1" ht="15" x14ac:dyDescent="0.2">
      <c r="A1041" s="465" t="s">
        <v>3613</v>
      </c>
      <c r="B1041" s="466" t="s">
        <v>668</v>
      </c>
      <c r="C1041" s="465" t="s">
        <v>3613</v>
      </c>
      <c r="D1041" s="465" t="s">
        <v>669</v>
      </c>
      <c r="E1041" s="466" t="s">
        <v>670</v>
      </c>
      <c r="F1041" s="466" t="s">
        <v>671</v>
      </c>
      <c r="G1041" s="466" t="s">
        <v>672</v>
      </c>
      <c r="H1041" s="343">
        <v>7.9</v>
      </c>
      <c r="I1041" s="466" t="s">
        <v>673</v>
      </c>
      <c r="J1041" s="467">
        <v>1</v>
      </c>
      <c r="K1041" s="468">
        <v>2022</v>
      </c>
      <c r="L1041" s="343" t="s">
        <v>3563</v>
      </c>
      <c r="M1041" s="469" t="s">
        <v>682</v>
      </c>
      <c r="N1041" s="342" t="s">
        <v>3595</v>
      </c>
      <c r="O1041" s="343"/>
      <c r="P1041" s="470" t="s">
        <v>676</v>
      </c>
      <c r="Q1041" s="471"/>
      <c r="R1041" s="472"/>
      <c r="S1041" s="417"/>
      <c r="T1041" s="473"/>
      <c r="U1041" s="417"/>
      <c r="V1041" s="417"/>
      <c r="W1041" s="417"/>
      <c r="X1041" s="474"/>
      <c r="Y1041" s="474"/>
      <c r="Z1041" s="475"/>
      <c r="AA1041" s="476"/>
      <c r="AB1041" s="476"/>
      <c r="AC1041" s="476"/>
      <c r="AD1041" s="406" t="b">
        <f>IF(ISBLANK(GroupMember[[#This Row],[1. Identifiant interne d’exploitation agricole*]]),"",IF(ISERROR(MATCH(GroupMember[[#This Row],[1. Identifiant interne d’exploitation agricole*]],CertifiedCrop[1. Identifiant interne d’exploitation agricole*],0)),FALSE,TRUE))</f>
        <v>1</v>
      </c>
      <c r="AE1041" s="406" t="b">
        <f>IF(ISBLANK(GroupMember[[#This Row],[1. Identifiant interne d’exploitation agricole*]]),"",IF(ISERROR(MATCH(GroupMember[[#This Row],[1. Identifiant interne d’exploitation agricole*]],FarmUnit[1. Identifiant interne d’exploitation agricole*],0)),FALSE,TRUE))</f>
        <v>1</v>
      </c>
      <c r="AF1041" s="409" t="str">
        <f t="shared" si="63"/>
        <v>CHERKNAIN SANGARE</v>
      </c>
      <c r="AG1041" s="477" t="str">
        <f t="shared" si="64"/>
        <v>//</v>
      </c>
      <c r="AH1041" s="478">
        <f>COUNTIFS(Z:Z,Z1041,AG:AG,AG1041)</f>
        <v>0</v>
      </c>
      <c r="AI1041" s="479">
        <f t="shared" si="65"/>
        <v>0</v>
      </c>
    </row>
    <row r="1042" spans="1:35" ht="15" x14ac:dyDescent="0.2">
      <c r="A1042" s="416" t="s">
        <v>3614</v>
      </c>
      <c r="B1042" s="146" t="s">
        <v>668</v>
      </c>
      <c r="C1042" s="416" t="s">
        <v>3614</v>
      </c>
      <c r="D1042" s="415" t="s">
        <v>669</v>
      </c>
      <c r="E1042" s="146" t="s">
        <v>670</v>
      </c>
      <c r="F1042" s="146" t="s">
        <v>671</v>
      </c>
      <c r="G1042" s="146" t="s">
        <v>672</v>
      </c>
      <c r="H1042" s="188">
        <v>1.8</v>
      </c>
      <c r="I1042" s="146" t="s">
        <v>673</v>
      </c>
      <c r="J1042" s="419">
        <v>1</v>
      </c>
      <c r="K1042" s="420">
        <v>2022</v>
      </c>
      <c r="L1042" s="188" t="s">
        <v>991</v>
      </c>
      <c r="M1042" s="434" t="s">
        <v>3544</v>
      </c>
      <c r="N1042" s="329" t="s">
        <v>3596</v>
      </c>
      <c r="O1042" s="188"/>
      <c r="P1042" s="423" t="s">
        <v>676</v>
      </c>
      <c r="Q1042" s="436"/>
      <c r="R1042" s="437"/>
      <c r="S1042" s="432"/>
      <c r="T1042" s="438"/>
      <c r="U1042" s="432"/>
      <c r="V1042" s="432"/>
      <c r="W1042" s="432"/>
      <c r="X1042" s="439"/>
      <c r="Y1042" s="439"/>
      <c r="Z1042" s="440"/>
      <c r="AA1042" s="441"/>
      <c r="AB1042" s="441"/>
      <c r="AC1042" s="441"/>
      <c r="AD1042" s="442" t="b">
        <f>IF(ISBLANK(GroupMember[[#This Row],[1. Identifiant interne d’exploitation agricole*]]),"",IF(ISERROR(MATCH(GroupMember[[#This Row],[1. Identifiant interne d’exploitation agricole*]],CertifiedCrop[1. Identifiant interne d’exploitation agricole*],0)),FALSE,TRUE))</f>
        <v>1</v>
      </c>
      <c r="AE1042" s="442" t="b">
        <f>IF(ISBLANK(GroupMember[[#This Row],[1. Identifiant interne d’exploitation agricole*]]),"",IF(ISERROR(MATCH(GroupMember[[#This Row],[1. Identifiant interne d’exploitation agricole*]],FarmUnit[1. Identifiant interne d’exploitation agricole*],0)),FALSE,TRUE))</f>
        <v>1</v>
      </c>
      <c r="AF1042" s="443" t="str">
        <f t="shared" si="63"/>
        <v xml:space="preserve">OLIVIER TEHO </v>
      </c>
      <c r="AG1042" s="444" t="str">
        <f t="shared" si="64"/>
        <v>//</v>
      </c>
      <c r="AH1042" s="445">
        <f>COUNTIFS(Z:Z,Z1042,AG:AG,AG1042)</f>
        <v>0</v>
      </c>
      <c r="AI1042" s="446">
        <f t="shared" si="65"/>
        <v>0</v>
      </c>
    </row>
    <row r="1043" spans="1:35" s="372" customFormat="1" ht="15" x14ac:dyDescent="0.2">
      <c r="A1043" s="480" t="s">
        <v>3615</v>
      </c>
      <c r="B1043" s="466" t="s">
        <v>668</v>
      </c>
      <c r="C1043" s="480" t="s">
        <v>3615</v>
      </c>
      <c r="D1043" s="465" t="s">
        <v>669</v>
      </c>
      <c r="E1043" s="466" t="s">
        <v>670</v>
      </c>
      <c r="F1043" s="466" t="s">
        <v>671</v>
      </c>
      <c r="G1043" s="466" t="s">
        <v>672</v>
      </c>
      <c r="H1043" s="343">
        <v>1</v>
      </c>
      <c r="I1043" s="466" t="s">
        <v>673</v>
      </c>
      <c r="J1043" s="467">
        <v>1</v>
      </c>
      <c r="K1043" s="468">
        <v>2022</v>
      </c>
      <c r="L1043" s="343" t="s">
        <v>3564</v>
      </c>
      <c r="M1043" s="481" t="s">
        <v>3545</v>
      </c>
      <c r="N1043" s="342" t="s">
        <v>3597</v>
      </c>
      <c r="O1043" s="343"/>
      <c r="P1043" s="470" t="s">
        <v>676</v>
      </c>
      <c r="Q1043" s="482"/>
      <c r="R1043" s="483"/>
      <c r="S1043" s="484"/>
      <c r="T1043" s="485"/>
      <c r="U1043" s="484"/>
      <c r="V1043" s="484"/>
      <c r="W1043" s="484"/>
      <c r="X1043" s="486"/>
      <c r="Y1043" s="486"/>
      <c r="Z1043" s="487"/>
      <c r="AA1043" s="488"/>
      <c r="AB1043" s="488"/>
      <c r="AC1043" s="488"/>
      <c r="AD1043" s="489" t="b">
        <f>IF(ISBLANK(GroupMember[[#This Row],[1. Identifiant interne d’exploitation agricole*]]),"",IF(ISERROR(MATCH(GroupMember[[#This Row],[1. Identifiant interne d’exploitation agricole*]],CertifiedCrop[1. Identifiant interne d’exploitation agricole*],0)),FALSE,TRUE))</f>
        <v>1</v>
      </c>
      <c r="AE1043" s="489" t="b">
        <f>IF(ISBLANK(GroupMember[[#This Row],[1. Identifiant interne d’exploitation agricole*]]),"",IF(ISERROR(MATCH(GroupMember[[#This Row],[1. Identifiant interne d’exploitation agricole*]],FarmUnit[1. Identifiant interne d’exploitation agricole*],0)),FALSE,TRUE))</f>
        <v>1</v>
      </c>
      <c r="AF1043" s="490" t="str">
        <f>IFERROR(CONCATENATE(L1043," ",M1043),"")</f>
        <v>ERIC YORO</v>
      </c>
      <c r="AG1043" s="491" t="str">
        <f>CONCATENATE(AC1043,"/",AB1043,"/",AA1043)</f>
        <v>//</v>
      </c>
      <c r="AH1043" s="492">
        <f>COUNTIFS(Z:Z,Z1043,AG:AG,AG1043)</f>
        <v>0</v>
      </c>
      <c r="AI1043" s="493">
        <f>IF((X1043+Y1043/12)&lt;0,"",(X1043+Y1043/12))</f>
        <v>0</v>
      </c>
    </row>
    <row r="1044" spans="1:35" ht="15" x14ac:dyDescent="0.2">
      <c r="A1044" s="415" t="s">
        <v>3616</v>
      </c>
      <c r="B1044" s="146" t="s">
        <v>668</v>
      </c>
      <c r="C1044" s="415" t="s">
        <v>3616</v>
      </c>
      <c r="D1044" s="415" t="s">
        <v>669</v>
      </c>
      <c r="E1044" s="146" t="s">
        <v>670</v>
      </c>
      <c r="F1044" s="146" t="s">
        <v>671</v>
      </c>
      <c r="G1044" s="146" t="s">
        <v>672</v>
      </c>
      <c r="H1044" s="188">
        <v>2.9</v>
      </c>
      <c r="I1044" s="146" t="s">
        <v>673</v>
      </c>
      <c r="J1044" s="419">
        <v>1</v>
      </c>
      <c r="K1044" s="420">
        <v>2022</v>
      </c>
      <c r="L1044" s="188" t="s">
        <v>3565</v>
      </c>
      <c r="M1044" s="421" t="s">
        <v>1551</v>
      </c>
      <c r="N1044" s="329"/>
      <c r="O1044" s="188"/>
      <c r="P1044" s="423" t="s">
        <v>676</v>
      </c>
      <c r="Q1044" s="424"/>
      <c r="R1044" s="425"/>
      <c r="S1044" s="305"/>
      <c r="T1044" s="426"/>
      <c r="U1044" s="305"/>
      <c r="V1044" s="305"/>
      <c r="W1044" s="305"/>
      <c r="X1044" s="418"/>
      <c r="Y1044" s="418"/>
      <c r="Z1044" s="427"/>
      <c r="AA1044" s="428"/>
      <c r="AB1044" s="428"/>
      <c r="AC1044" s="428"/>
      <c r="AD1044" s="398" t="b">
        <f>IF(ISBLANK(GroupMember[[#This Row],[1. Identifiant interne d’exploitation agricole*]]),"",IF(ISERROR(MATCH(GroupMember[[#This Row],[1. Identifiant interne d’exploitation agricole*]],CertifiedCrop[1. Identifiant interne d’exploitation agricole*],0)),FALSE,TRUE))</f>
        <v>1</v>
      </c>
      <c r="AE1044" s="398" t="b">
        <f>IF(ISBLANK(GroupMember[[#This Row],[1. Identifiant interne d’exploitation agricole*]]),"",IF(ISERROR(MATCH(GroupMember[[#This Row],[1. Identifiant interne d’exploitation agricole*]],FarmUnit[1. Identifiant interne d’exploitation agricole*],0)),FALSE,TRUE))</f>
        <v>1</v>
      </c>
      <c r="AF1044" s="373" t="str">
        <f t="shared" ref="AF1044:AF1081" si="66">IFERROR(CONCATENATE(L1044," ",M1044),"")</f>
        <v>LO YAO ZRAN</v>
      </c>
      <c r="AG1044" s="429" t="str">
        <f t="shared" ref="AG1044:AG1081" si="67">CONCATENATE(AC1044,"/",AB1044,"/",AA1044)</f>
        <v>//</v>
      </c>
      <c r="AH1044" s="430">
        <f>COUNTIFS(Z:Z,Z1044,AG:AG,AG1044)</f>
        <v>0</v>
      </c>
      <c r="AI1044" s="431">
        <f t="shared" ref="AI1044:AI1081" si="68">IF((X1044+Y1044/12)&lt;0,"",(X1044+Y1044/12))</f>
        <v>0</v>
      </c>
    </row>
    <row r="1045" spans="1:35" s="372" customFormat="1" ht="15" x14ac:dyDescent="0.2">
      <c r="A1045" s="465" t="s">
        <v>3617</v>
      </c>
      <c r="B1045" s="466" t="s">
        <v>668</v>
      </c>
      <c r="C1045" s="465" t="s">
        <v>3617</v>
      </c>
      <c r="D1045" s="465" t="s">
        <v>669</v>
      </c>
      <c r="E1045" s="466" t="s">
        <v>670</v>
      </c>
      <c r="F1045" s="466" t="s">
        <v>671</v>
      </c>
      <c r="G1045" s="466" t="s">
        <v>672</v>
      </c>
      <c r="H1045" s="343">
        <v>1.7</v>
      </c>
      <c r="I1045" s="466" t="s">
        <v>673</v>
      </c>
      <c r="J1045" s="467">
        <v>1</v>
      </c>
      <c r="K1045" s="468">
        <v>2022</v>
      </c>
      <c r="L1045" s="343" t="s">
        <v>3192</v>
      </c>
      <c r="M1045" s="469" t="s">
        <v>1774</v>
      </c>
      <c r="N1045" s="342"/>
      <c r="O1045" s="343"/>
      <c r="P1045" s="470" t="s">
        <v>751</v>
      </c>
      <c r="Q1045" s="471"/>
      <c r="R1045" s="472"/>
      <c r="S1045" s="417"/>
      <c r="T1045" s="473"/>
      <c r="U1045" s="417"/>
      <c r="V1045" s="417"/>
      <c r="W1045" s="417"/>
      <c r="X1045" s="474"/>
      <c r="Y1045" s="474"/>
      <c r="Z1045" s="475"/>
      <c r="AA1045" s="476"/>
      <c r="AB1045" s="476"/>
      <c r="AC1045" s="476"/>
      <c r="AD1045" s="406" t="b">
        <f>IF(ISBLANK(GroupMember[[#This Row],[1. Identifiant interne d’exploitation agricole*]]),"",IF(ISERROR(MATCH(GroupMember[[#This Row],[1. Identifiant interne d’exploitation agricole*]],CertifiedCrop[1. Identifiant interne d’exploitation agricole*],0)),FALSE,TRUE))</f>
        <v>1</v>
      </c>
      <c r="AE1045" s="406" t="b">
        <f>IF(ISBLANK(GroupMember[[#This Row],[1. Identifiant interne d’exploitation agricole*]]),"",IF(ISERROR(MATCH(GroupMember[[#This Row],[1. Identifiant interne d’exploitation agricole*]],FarmUnit[1. Identifiant interne d’exploitation agricole*],0)),FALSE,TRUE))</f>
        <v>1</v>
      </c>
      <c r="AF1045" s="409" t="str">
        <f t="shared" si="66"/>
        <v>MARIAM COULIBALY</v>
      </c>
      <c r="AG1045" s="477" t="str">
        <f t="shared" si="67"/>
        <v>//</v>
      </c>
      <c r="AH1045" s="478">
        <f>COUNTIFS(Z:Z,Z1045,AG:AG,AG1045)</f>
        <v>0</v>
      </c>
      <c r="AI1045" s="479">
        <f t="shared" si="68"/>
        <v>0</v>
      </c>
    </row>
    <row r="1046" spans="1:35" ht="15" x14ac:dyDescent="0.2">
      <c r="A1046" s="415" t="s">
        <v>3618</v>
      </c>
      <c r="B1046" s="146" t="s">
        <v>668</v>
      </c>
      <c r="C1046" s="415" t="s">
        <v>3618</v>
      </c>
      <c r="D1046" s="415" t="s">
        <v>669</v>
      </c>
      <c r="E1046" s="146" t="s">
        <v>670</v>
      </c>
      <c r="F1046" s="146" t="s">
        <v>671</v>
      </c>
      <c r="G1046" s="146" t="s">
        <v>672</v>
      </c>
      <c r="H1046" s="188">
        <v>2.2999999999999998</v>
      </c>
      <c r="I1046" s="146" t="s">
        <v>673</v>
      </c>
      <c r="J1046" s="419">
        <v>1</v>
      </c>
      <c r="K1046" s="420">
        <v>2022</v>
      </c>
      <c r="L1046" s="188" t="s">
        <v>3566</v>
      </c>
      <c r="M1046" s="421" t="s">
        <v>3546</v>
      </c>
      <c r="N1046" s="329"/>
      <c r="O1046" s="188"/>
      <c r="P1046" s="423" t="s">
        <v>676</v>
      </c>
      <c r="Q1046" s="424"/>
      <c r="R1046" s="425"/>
      <c r="S1046" s="305"/>
      <c r="T1046" s="426"/>
      <c r="U1046" s="305"/>
      <c r="V1046" s="305"/>
      <c r="W1046" s="305"/>
      <c r="X1046" s="418"/>
      <c r="Y1046" s="418"/>
      <c r="Z1046" s="427"/>
      <c r="AA1046" s="428"/>
      <c r="AB1046" s="428"/>
      <c r="AC1046" s="428"/>
      <c r="AD1046" s="398" t="b">
        <f>IF(ISBLANK(GroupMember[[#This Row],[1. Identifiant interne d’exploitation agricole*]]),"",IF(ISERROR(MATCH(GroupMember[[#This Row],[1. Identifiant interne d’exploitation agricole*]],CertifiedCrop[1. Identifiant interne d’exploitation agricole*],0)),FALSE,TRUE))</f>
        <v>1</v>
      </c>
      <c r="AE1046" s="398" t="b">
        <f>IF(ISBLANK(GroupMember[[#This Row],[1. Identifiant interne d’exploitation agricole*]]),"",IF(ISERROR(MATCH(GroupMember[[#This Row],[1. Identifiant interne d’exploitation agricole*]],FarmUnit[1. Identifiant interne d’exploitation agricole*],0)),FALSE,TRUE))</f>
        <v>1</v>
      </c>
      <c r="AF1046" s="373" t="str">
        <f t="shared" si="66"/>
        <v>ABOU MANMAIN SOUMAHORO</v>
      </c>
      <c r="AG1046" s="429" t="str">
        <f t="shared" si="67"/>
        <v>//</v>
      </c>
      <c r="AH1046" s="430">
        <f>COUNTIFS(Z:Z,Z1046,AG:AG,AG1046)</f>
        <v>0</v>
      </c>
      <c r="AI1046" s="431">
        <f t="shared" si="68"/>
        <v>0</v>
      </c>
    </row>
    <row r="1047" spans="1:35" s="372" customFormat="1" ht="15" x14ac:dyDescent="0.2">
      <c r="A1047" s="465" t="s">
        <v>3619</v>
      </c>
      <c r="B1047" s="466" t="s">
        <v>668</v>
      </c>
      <c r="C1047" s="465" t="s">
        <v>3619</v>
      </c>
      <c r="D1047" s="465" t="s">
        <v>669</v>
      </c>
      <c r="E1047" s="466" t="s">
        <v>670</v>
      </c>
      <c r="F1047" s="466" t="s">
        <v>671</v>
      </c>
      <c r="G1047" s="466" t="s">
        <v>672</v>
      </c>
      <c r="H1047" s="343">
        <v>3.9</v>
      </c>
      <c r="I1047" s="466" t="s">
        <v>673</v>
      </c>
      <c r="J1047" s="467">
        <v>1</v>
      </c>
      <c r="K1047" s="468">
        <v>2022</v>
      </c>
      <c r="L1047" s="343" t="s">
        <v>774</v>
      </c>
      <c r="M1047" s="469" t="s">
        <v>1101</v>
      </c>
      <c r="N1047" s="342"/>
      <c r="O1047" s="343"/>
      <c r="P1047" s="470" t="s">
        <v>676</v>
      </c>
      <c r="Q1047" s="471"/>
      <c r="R1047" s="472"/>
      <c r="S1047" s="417"/>
      <c r="T1047" s="473"/>
      <c r="U1047" s="417"/>
      <c r="V1047" s="417"/>
      <c r="W1047" s="417"/>
      <c r="X1047" s="474"/>
      <c r="Y1047" s="474"/>
      <c r="Z1047" s="475"/>
      <c r="AA1047" s="476"/>
      <c r="AB1047" s="476"/>
      <c r="AC1047" s="476"/>
      <c r="AD1047" s="406" t="b">
        <f>IF(ISBLANK(GroupMember[[#This Row],[1. Identifiant interne d’exploitation agricole*]]),"",IF(ISERROR(MATCH(GroupMember[[#This Row],[1. Identifiant interne d’exploitation agricole*]],CertifiedCrop[1. Identifiant interne d’exploitation agricole*],0)),FALSE,TRUE))</f>
        <v>1</v>
      </c>
      <c r="AE1047" s="406" t="b">
        <f>IF(ISBLANK(GroupMember[[#This Row],[1. Identifiant interne d’exploitation agricole*]]),"",IF(ISERROR(MATCH(GroupMember[[#This Row],[1. Identifiant interne d’exploitation agricole*]],FarmUnit[1. Identifiant interne d’exploitation agricole*],0)),FALSE,TRUE))</f>
        <v>1</v>
      </c>
      <c r="AF1047" s="409" t="str">
        <f t="shared" si="66"/>
        <v>BIRAMA BAKAYOKO</v>
      </c>
      <c r="AG1047" s="477" t="str">
        <f t="shared" si="67"/>
        <v>//</v>
      </c>
      <c r="AH1047" s="478">
        <f>COUNTIFS(Z:Z,Z1047,AG:AG,AG1047)</f>
        <v>0</v>
      </c>
      <c r="AI1047" s="479">
        <f t="shared" si="68"/>
        <v>0</v>
      </c>
    </row>
    <row r="1048" spans="1:35" ht="15" x14ac:dyDescent="0.2">
      <c r="A1048" s="415" t="s">
        <v>3620</v>
      </c>
      <c r="B1048" s="146" t="s">
        <v>668</v>
      </c>
      <c r="C1048" s="415" t="s">
        <v>3620</v>
      </c>
      <c r="D1048" s="415" t="s">
        <v>669</v>
      </c>
      <c r="E1048" s="146" t="s">
        <v>670</v>
      </c>
      <c r="F1048" s="146" t="s">
        <v>671</v>
      </c>
      <c r="G1048" s="146" t="s">
        <v>672</v>
      </c>
      <c r="H1048" s="188">
        <v>5.5</v>
      </c>
      <c r="I1048" s="146" t="s">
        <v>673</v>
      </c>
      <c r="J1048" s="419">
        <v>1</v>
      </c>
      <c r="K1048" s="420">
        <v>2022</v>
      </c>
      <c r="L1048" s="188" t="s">
        <v>1611</v>
      </c>
      <c r="M1048" s="421" t="s">
        <v>3540</v>
      </c>
      <c r="N1048" s="329"/>
      <c r="O1048" s="188"/>
      <c r="P1048" s="423" t="s">
        <v>676</v>
      </c>
      <c r="Q1048" s="424"/>
      <c r="R1048" s="425"/>
      <c r="S1048" s="305"/>
      <c r="T1048" s="426"/>
      <c r="U1048" s="305"/>
      <c r="V1048" s="305"/>
      <c r="W1048" s="305"/>
      <c r="X1048" s="418"/>
      <c r="Y1048" s="418"/>
      <c r="Z1048" s="427"/>
      <c r="AA1048" s="428"/>
      <c r="AB1048" s="428"/>
      <c r="AC1048" s="428"/>
      <c r="AD1048" s="398" t="b">
        <f>IF(ISBLANK(GroupMember[[#This Row],[1. Identifiant interne d’exploitation agricole*]]),"",IF(ISERROR(MATCH(GroupMember[[#This Row],[1. Identifiant interne d’exploitation agricole*]],CertifiedCrop[1. Identifiant interne d’exploitation agricole*],0)),FALSE,TRUE))</f>
        <v>1</v>
      </c>
      <c r="AE1048" s="398" t="b">
        <f>IF(ISBLANK(GroupMember[[#This Row],[1. Identifiant interne d’exploitation agricole*]]),"",IF(ISERROR(MATCH(GroupMember[[#This Row],[1. Identifiant interne d’exploitation agricole*]],FarmUnit[1. Identifiant interne d’exploitation agricole*],0)),FALSE,TRUE))</f>
        <v>1</v>
      </c>
      <c r="AF1048" s="373" t="str">
        <f t="shared" si="66"/>
        <v xml:space="preserve">AMED BAMBA </v>
      </c>
      <c r="AG1048" s="429" t="str">
        <f t="shared" si="67"/>
        <v>//</v>
      </c>
      <c r="AH1048" s="430">
        <f>COUNTIFS(Z:Z,Z1048,AG:AG,AG1048)</f>
        <v>0</v>
      </c>
      <c r="AI1048" s="431">
        <f t="shared" si="68"/>
        <v>0</v>
      </c>
    </row>
    <row r="1049" spans="1:35" s="372" customFormat="1" ht="15" x14ac:dyDescent="0.2">
      <c r="A1049" s="465" t="s">
        <v>3621</v>
      </c>
      <c r="B1049" s="466" t="s">
        <v>668</v>
      </c>
      <c r="C1049" s="465" t="s">
        <v>3621</v>
      </c>
      <c r="D1049" s="465" t="s">
        <v>669</v>
      </c>
      <c r="E1049" s="466" t="s">
        <v>670</v>
      </c>
      <c r="F1049" s="466" t="s">
        <v>671</v>
      </c>
      <c r="G1049" s="466" t="s">
        <v>672</v>
      </c>
      <c r="H1049" s="343">
        <v>2.4</v>
      </c>
      <c r="I1049" s="466" t="s">
        <v>673</v>
      </c>
      <c r="J1049" s="467">
        <v>1</v>
      </c>
      <c r="K1049" s="468">
        <v>2022</v>
      </c>
      <c r="L1049" s="343" t="s">
        <v>2261</v>
      </c>
      <c r="M1049" s="469" t="s">
        <v>3540</v>
      </c>
      <c r="N1049" s="342"/>
      <c r="O1049" s="343"/>
      <c r="P1049" s="470" t="s">
        <v>676</v>
      </c>
      <c r="Q1049" s="471"/>
      <c r="R1049" s="472"/>
      <c r="S1049" s="417"/>
      <c r="T1049" s="473"/>
      <c r="U1049" s="417"/>
      <c r="V1049" s="417"/>
      <c r="W1049" s="417"/>
      <c r="X1049" s="474"/>
      <c r="Y1049" s="474"/>
      <c r="Z1049" s="475"/>
      <c r="AA1049" s="476"/>
      <c r="AB1049" s="476"/>
      <c r="AC1049" s="476"/>
      <c r="AD1049" s="406" t="b">
        <f>IF(ISBLANK(GroupMember[[#This Row],[1. Identifiant interne d’exploitation agricole*]]),"",IF(ISERROR(MATCH(GroupMember[[#This Row],[1. Identifiant interne d’exploitation agricole*]],CertifiedCrop[1. Identifiant interne d’exploitation agricole*],0)),FALSE,TRUE))</f>
        <v>1</v>
      </c>
      <c r="AE1049" s="406" t="b">
        <f>IF(ISBLANK(GroupMember[[#This Row],[1. Identifiant interne d’exploitation agricole*]]),"",IF(ISERROR(MATCH(GroupMember[[#This Row],[1. Identifiant interne d’exploitation agricole*]],FarmUnit[1. Identifiant interne d’exploitation agricole*],0)),FALSE,TRUE))</f>
        <v>1</v>
      </c>
      <c r="AF1049" s="409" t="str">
        <f t="shared" si="66"/>
        <v xml:space="preserve">SEKOU BAMBA </v>
      </c>
      <c r="AG1049" s="477" t="str">
        <f t="shared" si="67"/>
        <v>//</v>
      </c>
      <c r="AH1049" s="478">
        <f>COUNTIFS(Z:Z,Z1049,AG:AG,AG1049)</f>
        <v>0</v>
      </c>
      <c r="AI1049" s="479">
        <f t="shared" si="68"/>
        <v>0</v>
      </c>
    </row>
    <row r="1050" spans="1:35" ht="15" x14ac:dyDescent="0.2">
      <c r="A1050" s="415" t="s">
        <v>3622</v>
      </c>
      <c r="B1050" s="146" t="s">
        <v>668</v>
      </c>
      <c r="C1050" s="415" t="s">
        <v>3622</v>
      </c>
      <c r="D1050" s="415" t="s">
        <v>669</v>
      </c>
      <c r="E1050" s="146" t="s">
        <v>670</v>
      </c>
      <c r="F1050" s="146" t="s">
        <v>671</v>
      </c>
      <c r="G1050" s="146" t="s">
        <v>672</v>
      </c>
      <c r="H1050" s="188">
        <v>2.9</v>
      </c>
      <c r="I1050" s="146" t="s">
        <v>673</v>
      </c>
      <c r="J1050" s="419">
        <v>1</v>
      </c>
      <c r="K1050" s="420">
        <v>2022</v>
      </c>
      <c r="L1050" s="188" t="s">
        <v>2257</v>
      </c>
      <c r="M1050" s="421" t="s">
        <v>3540</v>
      </c>
      <c r="N1050" s="329"/>
      <c r="O1050" s="188"/>
      <c r="P1050" s="423" t="s">
        <v>676</v>
      </c>
      <c r="Q1050" s="424"/>
      <c r="R1050" s="425"/>
      <c r="S1050" s="305"/>
      <c r="T1050" s="426"/>
      <c r="U1050" s="305"/>
      <c r="V1050" s="305"/>
      <c r="W1050" s="305"/>
      <c r="X1050" s="418"/>
      <c r="Y1050" s="418"/>
      <c r="Z1050" s="427"/>
      <c r="AA1050" s="428"/>
      <c r="AB1050" s="428"/>
      <c r="AC1050" s="428"/>
      <c r="AD1050" s="398" t="b">
        <f>IF(ISBLANK(GroupMember[[#This Row],[1. Identifiant interne d’exploitation agricole*]]),"",IF(ISERROR(MATCH(GroupMember[[#This Row],[1. Identifiant interne d’exploitation agricole*]],CertifiedCrop[1. Identifiant interne d’exploitation agricole*],0)),FALSE,TRUE))</f>
        <v>1</v>
      </c>
      <c r="AE1050" s="398" t="b">
        <f>IF(ISBLANK(GroupMember[[#This Row],[1. Identifiant interne d’exploitation agricole*]]),"",IF(ISERROR(MATCH(GroupMember[[#This Row],[1. Identifiant interne d’exploitation agricole*]],FarmUnit[1. Identifiant interne d’exploitation agricole*],0)),FALSE,TRUE))</f>
        <v>1</v>
      </c>
      <c r="AF1050" s="373" t="str">
        <f t="shared" si="66"/>
        <v xml:space="preserve">LASSO BAMBA </v>
      </c>
      <c r="AG1050" s="429" t="str">
        <f t="shared" si="67"/>
        <v>//</v>
      </c>
      <c r="AH1050" s="430">
        <f>COUNTIFS(Z:Z,Z1050,AG:AG,AG1050)</f>
        <v>0</v>
      </c>
      <c r="AI1050" s="431">
        <f t="shared" si="68"/>
        <v>0</v>
      </c>
    </row>
    <row r="1051" spans="1:35" s="372" customFormat="1" ht="15" x14ac:dyDescent="0.2">
      <c r="A1051" s="465" t="s">
        <v>3623</v>
      </c>
      <c r="B1051" s="466" t="s">
        <v>668</v>
      </c>
      <c r="C1051" s="465" t="s">
        <v>3623</v>
      </c>
      <c r="D1051" s="465" t="s">
        <v>669</v>
      </c>
      <c r="E1051" s="466" t="s">
        <v>670</v>
      </c>
      <c r="F1051" s="466" t="s">
        <v>671</v>
      </c>
      <c r="G1051" s="466" t="s">
        <v>672</v>
      </c>
      <c r="H1051" s="343">
        <v>2.2000000000000002</v>
      </c>
      <c r="I1051" s="466" t="s">
        <v>673</v>
      </c>
      <c r="J1051" s="467">
        <v>1</v>
      </c>
      <c r="K1051" s="468">
        <v>2022</v>
      </c>
      <c r="L1051" s="343" t="s">
        <v>1527</v>
      </c>
      <c r="M1051" s="469" t="s">
        <v>3540</v>
      </c>
      <c r="N1051" s="342"/>
      <c r="O1051" s="343"/>
      <c r="P1051" s="470" t="s">
        <v>676</v>
      </c>
      <c r="Q1051" s="471"/>
      <c r="R1051" s="472"/>
      <c r="S1051" s="417"/>
      <c r="T1051" s="473"/>
      <c r="U1051" s="417"/>
      <c r="V1051" s="417"/>
      <c r="W1051" s="417"/>
      <c r="X1051" s="474"/>
      <c r="Y1051" s="474"/>
      <c r="Z1051" s="475"/>
      <c r="AA1051" s="476"/>
      <c r="AB1051" s="476"/>
      <c r="AC1051" s="476"/>
      <c r="AD1051" s="406" t="b">
        <f>IF(ISBLANK(GroupMember[[#This Row],[1. Identifiant interne d’exploitation agricole*]]),"",IF(ISERROR(MATCH(GroupMember[[#This Row],[1. Identifiant interne d’exploitation agricole*]],CertifiedCrop[1. Identifiant interne d’exploitation agricole*],0)),FALSE,TRUE))</f>
        <v>1</v>
      </c>
      <c r="AE1051" s="406" t="b">
        <f>IF(ISBLANK(GroupMember[[#This Row],[1. Identifiant interne d’exploitation agricole*]]),"",IF(ISERROR(MATCH(GroupMember[[#This Row],[1. Identifiant interne d’exploitation agricole*]],FarmUnit[1. Identifiant interne d’exploitation agricole*],0)),FALSE,TRUE))</f>
        <v>1</v>
      </c>
      <c r="AF1051" s="409" t="str">
        <f t="shared" si="66"/>
        <v xml:space="preserve">SEWA BAMBA </v>
      </c>
      <c r="AG1051" s="477" t="str">
        <f t="shared" si="67"/>
        <v>//</v>
      </c>
      <c r="AH1051" s="478">
        <f>COUNTIFS(Z:Z,Z1051,AG:AG,AG1051)</f>
        <v>0</v>
      </c>
      <c r="AI1051" s="479">
        <f t="shared" si="68"/>
        <v>0</v>
      </c>
    </row>
    <row r="1052" spans="1:35" ht="15" x14ac:dyDescent="0.2">
      <c r="A1052" s="415" t="s">
        <v>3624</v>
      </c>
      <c r="B1052" s="146" t="s">
        <v>668</v>
      </c>
      <c r="C1052" s="415" t="s">
        <v>3624</v>
      </c>
      <c r="D1052" s="415" t="s">
        <v>669</v>
      </c>
      <c r="E1052" s="146" t="s">
        <v>670</v>
      </c>
      <c r="F1052" s="146" t="s">
        <v>671</v>
      </c>
      <c r="G1052" s="146" t="s">
        <v>672</v>
      </c>
      <c r="H1052" s="188">
        <v>4.9000000000000004</v>
      </c>
      <c r="I1052" s="146" t="s">
        <v>673</v>
      </c>
      <c r="J1052" s="419">
        <v>1</v>
      </c>
      <c r="K1052" s="420">
        <v>2022</v>
      </c>
      <c r="L1052" s="188" t="s">
        <v>3567</v>
      </c>
      <c r="M1052" s="421" t="s">
        <v>3540</v>
      </c>
      <c r="N1052" s="329"/>
      <c r="O1052" s="188"/>
      <c r="P1052" s="423" t="s">
        <v>676</v>
      </c>
      <c r="Q1052" s="424"/>
      <c r="R1052" s="425"/>
      <c r="S1052" s="305"/>
      <c r="T1052" s="426"/>
      <c r="U1052" s="305"/>
      <c r="V1052" s="305"/>
      <c r="W1052" s="305"/>
      <c r="X1052" s="418"/>
      <c r="Y1052" s="418"/>
      <c r="Z1052" s="427"/>
      <c r="AA1052" s="428"/>
      <c r="AB1052" s="428"/>
      <c r="AC1052" s="428"/>
      <c r="AD1052" s="398" t="b">
        <f>IF(ISBLANK(GroupMember[[#This Row],[1. Identifiant interne d’exploitation agricole*]]),"",IF(ISERROR(MATCH(GroupMember[[#This Row],[1. Identifiant interne d’exploitation agricole*]],CertifiedCrop[1. Identifiant interne d’exploitation agricole*],0)),FALSE,TRUE))</f>
        <v>1</v>
      </c>
      <c r="AE1052" s="398" t="b">
        <f>IF(ISBLANK(GroupMember[[#This Row],[1. Identifiant interne d’exploitation agricole*]]),"",IF(ISERROR(MATCH(GroupMember[[#This Row],[1. Identifiant interne d’exploitation agricole*]],FarmUnit[1. Identifiant interne d’exploitation agricole*],0)),FALSE,TRUE))</f>
        <v>1</v>
      </c>
      <c r="AF1052" s="373" t="str">
        <f t="shared" si="66"/>
        <v xml:space="preserve">TIAFE BAMBA </v>
      </c>
      <c r="AG1052" s="429" t="str">
        <f t="shared" si="67"/>
        <v>//</v>
      </c>
      <c r="AH1052" s="430">
        <f>COUNTIFS(Z:Z,Z1052,AG:AG,AG1052)</f>
        <v>0</v>
      </c>
      <c r="AI1052" s="431">
        <f t="shared" si="68"/>
        <v>0</v>
      </c>
    </row>
    <row r="1053" spans="1:35" s="372" customFormat="1" ht="15" x14ac:dyDescent="0.2">
      <c r="A1053" s="465" t="s">
        <v>3625</v>
      </c>
      <c r="B1053" s="466" t="s">
        <v>668</v>
      </c>
      <c r="C1053" s="465" t="s">
        <v>3625</v>
      </c>
      <c r="D1053" s="465" t="s">
        <v>669</v>
      </c>
      <c r="E1053" s="466" t="s">
        <v>670</v>
      </c>
      <c r="F1053" s="466" t="s">
        <v>671</v>
      </c>
      <c r="G1053" s="466" t="s">
        <v>672</v>
      </c>
      <c r="H1053" s="343">
        <v>0.9</v>
      </c>
      <c r="I1053" s="466" t="s">
        <v>673</v>
      </c>
      <c r="J1053" s="467">
        <v>1</v>
      </c>
      <c r="K1053" s="468">
        <v>2022</v>
      </c>
      <c r="L1053" s="343" t="s">
        <v>2257</v>
      </c>
      <c r="M1053" s="469" t="s">
        <v>3547</v>
      </c>
      <c r="N1053" s="342"/>
      <c r="O1053" s="343"/>
      <c r="P1053" s="470" t="s">
        <v>676</v>
      </c>
      <c r="Q1053" s="471"/>
      <c r="R1053" s="472"/>
      <c r="S1053" s="417"/>
      <c r="T1053" s="473"/>
      <c r="U1053" s="417"/>
      <c r="V1053" s="417"/>
      <c r="W1053" s="417"/>
      <c r="X1053" s="474"/>
      <c r="Y1053" s="474"/>
      <c r="Z1053" s="475"/>
      <c r="AA1053" s="476"/>
      <c r="AB1053" s="476"/>
      <c r="AC1053" s="476"/>
      <c r="AD1053" s="406" t="b">
        <f>IF(ISBLANK(GroupMember[[#This Row],[1. Identifiant interne d’exploitation agricole*]]),"",IF(ISERROR(MATCH(GroupMember[[#This Row],[1. Identifiant interne d’exploitation agricole*]],CertifiedCrop[1. Identifiant interne d’exploitation agricole*],0)),FALSE,TRUE))</f>
        <v>1</v>
      </c>
      <c r="AE1053" s="406" t="b">
        <f>IF(ISBLANK(GroupMember[[#This Row],[1. Identifiant interne d’exploitation agricole*]]),"",IF(ISERROR(MATCH(GroupMember[[#This Row],[1. Identifiant interne d’exploitation agricole*]],FarmUnit[1. Identifiant interne d’exploitation agricole*],0)),FALSE,TRUE))</f>
        <v>1</v>
      </c>
      <c r="AF1053" s="409" t="str">
        <f t="shared" si="66"/>
        <v xml:space="preserve">LASSO BAYO </v>
      </c>
      <c r="AG1053" s="477" t="str">
        <f t="shared" si="67"/>
        <v>//</v>
      </c>
      <c r="AH1053" s="478">
        <f>COUNTIFS(Z:Z,Z1053,AG:AG,AG1053)</f>
        <v>0</v>
      </c>
      <c r="AI1053" s="479">
        <f t="shared" si="68"/>
        <v>0</v>
      </c>
    </row>
    <row r="1054" spans="1:35" ht="15" x14ac:dyDescent="0.2">
      <c r="A1054" s="415" t="s">
        <v>3626</v>
      </c>
      <c r="B1054" s="146" t="s">
        <v>668</v>
      </c>
      <c r="C1054" s="415" t="s">
        <v>3626</v>
      </c>
      <c r="D1054" s="415" t="s">
        <v>669</v>
      </c>
      <c r="E1054" s="146" t="s">
        <v>670</v>
      </c>
      <c r="F1054" s="146" t="s">
        <v>671</v>
      </c>
      <c r="G1054" s="146" t="s">
        <v>672</v>
      </c>
      <c r="H1054" s="188">
        <v>9.1999999999999993</v>
      </c>
      <c r="I1054" s="146" t="s">
        <v>673</v>
      </c>
      <c r="J1054" s="419">
        <v>2</v>
      </c>
      <c r="K1054" s="420">
        <v>2022</v>
      </c>
      <c r="L1054" s="188" t="s">
        <v>3568</v>
      </c>
      <c r="M1054" s="421" t="s">
        <v>3547</v>
      </c>
      <c r="N1054" s="329"/>
      <c r="O1054" s="188"/>
      <c r="P1054" s="423" t="s">
        <v>676</v>
      </c>
      <c r="Q1054" s="424"/>
      <c r="R1054" s="425"/>
      <c r="S1054" s="305"/>
      <c r="T1054" s="426"/>
      <c r="U1054" s="305"/>
      <c r="V1054" s="305"/>
      <c r="W1054" s="305"/>
      <c r="X1054" s="418"/>
      <c r="Y1054" s="418"/>
      <c r="Z1054" s="427"/>
      <c r="AA1054" s="428"/>
      <c r="AB1054" s="428"/>
      <c r="AC1054" s="428"/>
      <c r="AD1054" s="398" t="b">
        <f>IF(ISBLANK(GroupMember[[#This Row],[1. Identifiant interne d’exploitation agricole*]]),"",IF(ISERROR(MATCH(GroupMember[[#This Row],[1. Identifiant interne d’exploitation agricole*]],CertifiedCrop[1. Identifiant interne d’exploitation agricole*],0)),FALSE,TRUE))</f>
        <v>1</v>
      </c>
      <c r="AE1054" s="398" t="b">
        <f>IF(ISBLANK(GroupMember[[#This Row],[1. Identifiant interne d’exploitation agricole*]]),"",IF(ISERROR(MATCH(GroupMember[[#This Row],[1. Identifiant interne d’exploitation agricole*]],FarmUnit[1. Identifiant interne d’exploitation agricole*],0)),FALSE,TRUE))</f>
        <v>1</v>
      </c>
      <c r="AF1054" s="373" t="str">
        <f t="shared" si="66"/>
        <v xml:space="preserve">TOGBA BAYO </v>
      </c>
      <c r="AG1054" s="429" t="str">
        <f t="shared" si="67"/>
        <v>//</v>
      </c>
      <c r="AH1054" s="430">
        <f>COUNTIFS(Z:Z,Z1054,AG:AG,AG1054)</f>
        <v>0</v>
      </c>
      <c r="AI1054" s="431">
        <f t="shared" si="68"/>
        <v>0</v>
      </c>
    </row>
    <row r="1055" spans="1:35" s="372" customFormat="1" ht="15" x14ac:dyDescent="0.2">
      <c r="A1055" s="465" t="s">
        <v>3627</v>
      </c>
      <c r="B1055" s="466" t="s">
        <v>668</v>
      </c>
      <c r="C1055" s="465" t="s">
        <v>3627</v>
      </c>
      <c r="D1055" s="465" t="s">
        <v>669</v>
      </c>
      <c r="E1055" s="466" t="s">
        <v>670</v>
      </c>
      <c r="F1055" s="466" t="s">
        <v>671</v>
      </c>
      <c r="G1055" s="466" t="s">
        <v>672</v>
      </c>
      <c r="H1055" s="343">
        <v>1.1000000000000001</v>
      </c>
      <c r="I1055" s="466" t="s">
        <v>673</v>
      </c>
      <c r="J1055" s="467">
        <v>1</v>
      </c>
      <c r="K1055" s="468">
        <v>2022</v>
      </c>
      <c r="L1055" s="343" t="s">
        <v>3569</v>
      </c>
      <c r="M1055" s="469" t="s">
        <v>786</v>
      </c>
      <c r="N1055" s="342"/>
      <c r="O1055" s="343"/>
      <c r="P1055" s="470" t="s">
        <v>676</v>
      </c>
      <c r="Q1055" s="471"/>
      <c r="R1055" s="472"/>
      <c r="S1055" s="417"/>
      <c r="T1055" s="473"/>
      <c r="U1055" s="417"/>
      <c r="V1055" s="417"/>
      <c r="W1055" s="417"/>
      <c r="X1055" s="474"/>
      <c r="Y1055" s="474"/>
      <c r="Z1055" s="475"/>
      <c r="AA1055" s="476"/>
      <c r="AB1055" s="476"/>
      <c r="AC1055" s="476"/>
      <c r="AD1055" s="406" t="b">
        <f>IF(ISBLANK(GroupMember[[#This Row],[1. Identifiant interne d’exploitation agricole*]]),"",IF(ISERROR(MATCH(GroupMember[[#This Row],[1. Identifiant interne d’exploitation agricole*]],CertifiedCrop[1. Identifiant interne d’exploitation agricole*],0)),FALSE,TRUE))</f>
        <v>1</v>
      </c>
      <c r="AE1055" s="406" t="b">
        <f>IF(ISBLANK(GroupMember[[#This Row],[1. Identifiant interne d’exploitation agricole*]]),"",IF(ISERROR(MATCH(GroupMember[[#This Row],[1. Identifiant interne d’exploitation agricole*]],FarmUnit[1. Identifiant interne d’exploitation agricole*],0)),FALSE,TRUE))</f>
        <v>1</v>
      </c>
      <c r="AF1055" s="409" t="str">
        <f t="shared" si="66"/>
        <v>KAGUEI BRONDON BIEU</v>
      </c>
      <c r="AG1055" s="477" t="str">
        <f t="shared" si="67"/>
        <v>//</v>
      </c>
      <c r="AH1055" s="478">
        <f>COUNTIFS(Z:Z,Z1055,AG:AG,AG1055)</f>
        <v>0</v>
      </c>
      <c r="AI1055" s="479">
        <f t="shared" si="68"/>
        <v>0</v>
      </c>
    </row>
    <row r="1056" spans="1:35" ht="15" x14ac:dyDescent="0.2">
      <c r="A1056" s="415" t="s">
        <v>3628</v>
      </c>
      <c r="B1056" s="146" t="s">
        <v>668</v>
      </c>
      <c r="C1056" s="415" t="s">
        <v>3628</v>
      </c>
      <c r="D1056" s="415" t="s">
        <v>669</v>
      </c>
      <c r="E1056" s="146" t="s">
        <v>670</v>
      </c>
      <c r="F1056" s="146" t="s">
        <v>671</v>
      </c>
      <c r="G1056" s="146" t="s">
        <v>672</v>
      </c>
      <c r="H1056" s="188">
        <v>0.9</v>
      </c>
      <c r="I1056" s="146" t="s">
        <v>673</v>
      </c>
      <c r="J1056" s="419">
        <v>1</v>
      </c>
      <c r="K1056" s="420">
        <v>2022</v>
      </c>
      <c r="L1056" s="188" t="s">
        <v>3570</v>
      </c>
      <c r="M1056" s="421" t="s">
        <v>786</v>
      </c>
      <c r="N1056" s="329"/>
      <c r="O1056" s="188"/>
      <c r="P1056" s="423" t="s">
        <v>676</v>
      </c>
      <c r="Q1056" s="424"/>
      <c r="R1056" s="425"/>
      <c r="S1056" s="305"/>
      <c r="T1056" s="426"/>
      <c r="U1056" s="305"/>
      <c r="V1056" s="305"/>
      <c r="W1056" s="305"/>
      <c r="X1056" s="418"/>
      <c r="Y1056" s="418"/>
      <c r="Z1056" s="427"/>
      <c r="AA1056" s="428"/>
      <c r="AB1056" s="428"/>
      <c r="AC1056" s="428"/>
      <c r="AD1056" s="398" t="b">
        <f>IF(ISBLANK(GroupMember[[#This Row],[1. Identifiant interne d’exploitation agricole*]]),"",IF(ISERROR(MATCH(GroupMember[[#This Row],[1. Identifiant interne d’exploitation agricole*]],CertifiedCrop[1. Identifiant interne d’exploitation agricole*],0)),FALSE,TRUE))</f>
        <v>1</v>
      </c>
      <c r="AE1056" s="398" t="b">
        <f>IF(ISBLANK(GroupMember[[#This Row],[1. Identifiant interne d’exploitation agricole*]]),"",IF(ISERROR(MATCH(GroupMember[[#This Row],[1. Identifiant interne d’exploitation agricole*]],FarmUnit[1. Identifiant interne d’exploitation agricole*],0)),FALSE,TRUE))</f>
        <v>1</v>
      </c>
      <c r="AF1056" s="373" t="str">
        <f t="shared" si="66"/>
        <v>KEHOUA PIEERE BIEU</v>
      </c>
      <c r="AG1056" s="429" t="str">
        <f t="shared" si="67"/>
        <v>//</v>
      </c>
      <c r="AH1056" s="430">
        <f>COUNTIFS(Z:Z,Z1056,AG:AG,AG1056)</f>
        <v>0</v>
      </c>
      <c r="AI1056" s="431">
        <f t="shared" si="68"/>
        <v>0</v>
      </c>
    </row>
    <row r="1057" spans="1:35" s="372" customFormat="1" ht="15" x14ac:dyDescent="0.2">
      <c r="A1057" s="465" t="s">
        <v>3629</v>
      </c>
      <c r="B1057" s="466" t="s">
        <v>668</v>
      </c>
      <c r="C1057" s="465" t="s">
        <v>3629</v>
      </c>
      <c r="D1057" s="465" t="s">
        <v>669</v>
      </c>
      <c r="E1057" s="466" t="s">
        <v>670</v>
      </c>
      <c r="F1057" s="466" t="s">
        <v>671</v>
      </c>
      <c r="G1057" s="466" t="s">
        <v>672</v>
      </c>
      <c r="H1057" s="343">
        <v>2.9</v>
      </c>
      <c r="I1057" s="466" t="s">
        <v>673</v>
      </c>
      <c r="J1057" s="467">
        <v>1</v>
      </c>
      <c r="K1057" s="468">
        <v>2022</v>
      </c>
      <c r="L1057" s="343" t="s">
        <v>3571</v>
      </c>
      <c r="M1057" s="469" t="s">
        <v>3548</v>
      </c>
      <c r="N1057" s="342"/>
      <c r="O1057" s="343"/>
      <c r="P1057" s="470" t="s">
        <v>676</v>
      </c>
      <c r="Q1057" s="471"/>
      <c r="R1057" s="472"/>
      <c r="S1057" s="417"/>
      <c r="T1057" s="473"/>
      <c r="U1057" s="417"/>
      <c r="V1057" s="417"/>
      <c r="W1057" s="417"/>
      <c r="X1057" s="474"/>
      <c r="Y1057" s="474"/>
      <c r="Z1057" s="475"/>
      <c r="AA1057" s="476"/>
      <c r="AB1057" s="476"/>
      <c r="AC1057" s="476"/>
      <c r="AD1057" s="406" t="b">
        <f>IF(ISBLANK(GroupMember[[#This Row],[1. Identifiant interne d’exploitation agricole*]]),"",IF(ISERROR(MATCH(GroupMember[[#This Row],[1. Identifiant interne d’exploitation agricole*]],CertifiedCrop[1. Identifiant interne d’exploitation agricole*],0)),FALSE,TRUE))</f>
        <v>1</v>
      </c>
      <c r="AE1057" s="406" t="b">
        <f>IF(ISBLANK(GroupMember[[#This Row],[1. Identifiant interne d’exploitation agricole*]]),"",IF(ISERROR(MATCH(GroupMember[[#This Row],[1. Identifiant interne d’exploitation agricole*]],FarmUnit[1. Identifiant interne d’exploitation agricole*],0)),FALSE,TRUE))</f>
        <v>1</v>
      </c>
      <c r="AF1057" s="409" t="str">
        <f t="shared" si="66"/>
        <v>YANIK GBEHO</v>
      </c>
      <c r="AG1057" s="477" t="str">
        <f t="shared" si="67"/>
        <v>//</v>
      </c>
      <c r="AH1057" s="478">
        <f>COUNTIFS(Z:Z,Z1057,AG:AG,AG1057)</f>
        <v>0</v>
      </c>
      <c r="AI1057" s="479">
        <f t="shared" si="68"/>
        <v>0</v>
      </c>
    </row>
    <row r="1058" spans="1:35" ht="15" x14ac:dyDescent="0.2">
      <c r="A1058" s="415" t="s">
        <v>3630</v>
      </c>
      <c r="B1058" s="146" t="s">
        <v>668</v>
      </c>
      <c r="C1058" s="415" t="s">
        <v>3630</v>
      </c>
      <c r="D1058" s="415" t="s">
        <v>669</v>
      </c>
      <c r="E1058" s="146" t="s">
        <v>670</v>
      </c>
      <c r="F1058" s="146" t="s">
        <v>671</v>
      </c>
      <c r="G1058" s="146" t="s">
        <v>672</v>
      </c>
      <c r="H1058" s="188">
        <v>2</v>
      </c>
      <c r="I1058" s="146" t="s">
        <v>673</v>
      </c>
      <c r="J1058" s="419">
        <v>1</v>
      </c>
      <c r="K1058" s="420">
        <v>2022</v>
      </c>
      <c r="L1058" s="188" t="s">
        <v>3572</v>
      </c>
      <c r="M1058" s="421" t="s">
        <v>1774</v>
      </c>
      <c r="N1058" s="329"/>
      <c r="O1058" s="188"/>
      <c r="P1058" s="423" t="s">
        <v>676</v>
      </c>
      <c r="Q1058" s="424"/>
      <c r="R1058" s="425"/>
      <c r="S1058" s="305"/>
      <c r="T1058" s="426"/>
      <c r="U1058" s="305"/>
      <c r="V1058" s="305"/>
      <c r="W1058" s="305"/>
      <c r="X1058" s="418"/>
      <c r="Y1058" s="418"/>
      <c r="Z1058" s="427"/>
      <c r="AA1058" s="428"/>
      <c r="AB1058" s="428"/>
      <c r="AC1058" s="428"/>
      <c r="AD1058" s="398" t="b">
        <f>IF(ISBLANK(GroupMember[[#This Row],[1. Identifiant interne d’exploitation agricole*]]),"",IF(ISERROR(MATCH(GroupMember[[#This Row],[1. Identifiant interne d’exploitation agricole*]],CertifiedCrop[1. Identifiant interne d’exploitation agricole*],0)),FALSE,TRUE))</f>
        <v>1</v>
      </c>
      <c r="AE1058" s="398" t="b">
        <f>IF(ISBLANK(GroupMember[[#This Row],[1. Identifiant interne d’exploitation agricole*]]),"",IF(ISERROR(MATCH(GroupMember[[#This Row],[1. Identifiant interne d’exploitation agricole*]],FarmUnit[1. Identifiant interne d’exploitation agricole*],0)),FALSE,TRUE))</f>
        <v>1</v>
      </c>
      <c r="AF1058" s="373" t="str">
        <f t="shared" si="66"/>
        <v>HALANAN EMMANUEL COULIBALY</v>
      </c>
      <c r="AG1058" s="429" t="str">
        <f t="shared" si="67"/>
        <v>//</v>
      </c>
      <c r="AH1058" s="430">
        <f>COUNTIFS(Z:Z,Z1058,AG:AG,AG1058)</f>
        <v>0</v>
      </c>
      <c r="AI1058" s="431">
        <f t="shared" si="68"/>
        <v>0</v>
      </c>
    </row>
    <row r="1059" spans="1:35" s="372" customFormat="1" ht="15" x14ac:dyDescent="0.2">
      <c r="A1059" s="465" t="s">
        <v>3631</v>
      </c>
      <c r="B1059" s="466" t="s">
        <v>668</v>
      </c>
      <c r="C1059" s="465" t="s">
        <v>3631</v>
      </c>
      <c r="D1059" s="465" t="s">
        <v>669</v>
      </c>
      <c r="E1059" s="466" t="s">
        <v>670</v>
      </c>
      <c r="F1059" s="466" t="s">
        <v>671</v>
      </c>
      <c r="G1059" s="466" t="s">
        <v>672</v>
      </c>
      <c r="H1059" s="343">
        <v>1.3</v>
      </c>
      <c r="I1059" s="466" t="s">
        <v>673</v>
      </c>
      <c r="J1059" s="467">
        <v>1</v>
      </c>
      <c r="K1059" s="468">
        <v>2022</v>
      </c>
      <c r="L1059" s="343" t="s">
        <v>1645</v>
      </c>
      <c r="M1059" s="469" t="s">
        <v>3549</v>
      </c>
      <c r="N1059" s="342"/>
      <c r="O1059" s="343"/>
      <c r="P1059" s="470" t="s">
        <v>676</v>
      </c>
      <c r="Q1059" s="471"/>
      <c r="R1059" s="472"/>
      <c r="S1059" s="417"/>
      <c r="T1059" s="473"/>
      <c r="U1059" s="417"/>
      <c r="V1059" s="417"/>
      <c r="W1059" s="417"/>
      <c r="X1059" s="474"/>
      <c r="Y1059" s="474"/>
      <c r="Z1059" s="475"/>
      <c r="AA1059" s="476"/>
      <c r="AB1059" s="476"/>
      <c r="AC1059" s="476"/>
      <c r="AD1059" s="406" t="b">
        <f>IF(ISBLANK(GroupMember[[#This Row],[1. Identifiant interne d’exploitation agricole*]]),"",IF(ISERROR(MATCH(GroupMember[[#This Row],[1. Identifiant interne d’exploitation agricole*]],CertifiedCrop[1. Identifiant interne d’exploitation agricole*],0)),FALSE,TRUE))</f>
        <v>1</v>
      </c>
      <c r="AE1059" s="406" t="b">
        <f>IF(ISBLANK(GroupMember[[#This Row],[1. Identifiant interne d’exploitation agricole*]]),"",IF(ISERROR(MATCH(GroupMember[[#This Row],[1. Identifiant interne d’exploitation agricole*]],FarmUnit[1. Identifiant interne d’exploitation agricole*],0)),FALSE,TRUE))</f>
        <v>1</v>
      </c>
      <c r="AF1059" s="409" t="str">
        <f t="shared" si="66"/>
        <v>FRANCK DIHON</v>
      </c>
      <c r="AG1059" s="477" t="str">
        <f t="shared" si="67"/>
        <v>//</v>
      </c>
      <c r="AH1059" s="478">
        <f>COUNTIFS(Z:Z,Z1059,AG:AG,AG1059)</f>
        <v>0</v>
      </c>
      <c r="AI1059" s="479">
        <f t="shared" si="68"/>
        <v>0</v>
      </c>
    </row>
    <row r="1060" spans="1:35" ht="15" x14ac:dyDescent="0.2">
      <c r="A1060" s="415" t="s">
        <v>3632</v>
      </c>
      <c r="B1060" s="146" t="s">
        <v>668</v>
      </c>
      <c r="C1060" s="415" t="s">
        <v>3632</v>
      </c>
      <c r="D1060" s="415" t="s">
        <v>669</v>
      </c>
      <c r="E1060" s="146" t="s">
        <v>670</v>
      </c>
      <c r="F1060" s="146" t="s">
        <v>671</v>
      </c>
      <c r="G1060" s="146" t="s">
        <v>672</v>
      </c>
      <c r="H1060" s="188">
        <v>2.6</v>
      </c>
      <c r="I1060" s="146" t="s">
        <v>673</v>
      </c>
      <c r="J1060" s="419">
        <v>2</v>
      </c>
      <c r="K1060" s="420">
        <v>2022</v>
      </c>
      <c r="L1060" s="188" t="s">
        <v>3573</v>
      </c>
      <c r="M1060" s="421" t="s">
        <v>1193</v>
      </c>
      <c r="N1060" s="329"/>
      <c r="O1060" s="188"/>
      <c r="P1060" s="423" t="s">
        <v>676</v>
      </c>
      <c r="Q1060" s="424"/>
      <c r="R1060" s="425"/>
      <c r="S1060" s="305"/>
      <c r="T1060" s="426"/>
      <c r="U1060" s="305"/>
      <c r="V1060" s="305"/>
      <c r="W1060" s="305"/>
      <c r="X1060" s="418"/>
      <c r="Y1060" s="418"/>
      <c r="Z1060" s="427"/>
      <c r="AA1060" s="428"/>
      <c r="AB1060" s="428"/>
      <c r="AC1060" s="428"/>
      <c r="AD1060" s="398" t="b">
        <f>IF(ISBLANK(GroupMember[[#This Row],[1. Identifiant interne d’exploitation agricole*]]),"",IF(ISERROR(MATCH(GroupMember[[#This Row],[1. Identifiant interne d’exploitation agricole*]],CertifiedCrop[1. Identifiant interne d’exploitation agricole*],0)),FALSE,TRUE))</f>
        <v>1</v>
      </c>
      <c r="AE1060" s="398" t="b">
        <f>IF(ISBLANK(GroupMember[[#This Row],[1. Identifiant interne d’exploitation agricole*]]),"",IF(ISERROR(MATCH(GroupMember[[#This Row],[1. Identifiant interne d’exploitation agricole*]],FarmUnit[1. Identifiant interne d’exploitation agricole*],0)),FALSE,TRUE))</f>
        <v>1</v>
      </c>
      <c r="AF1060" s="373" t="str">
        <f t="shared" si="66"/>
        <v>MAMERY DIOMANDE</v>
      </c>
      <c r="AG1060" s="429" t="str">
        <f t="shared" si="67"/>
        <v>//</v>
      </c>
      <c r="AH1060" s="430">
        <f>COUNTIFS(Z:Z,Z1060,AG:AG,AG1060)</f>
        <v>0</v>
      </c>
      <c r="AI1060" s="431">
        <f t="shared" si="68"/>
        <v>0</v>
      </c>
    </row>
    <row r="1061" spans="1:35" s="372" customFormat="1" ht="15" x14ac:dyDescent="0.2">
      <c r="A1061" s="465" t="s">
        <v>3633</v>
      </c>
      <c r="B1061" s="466" t="s">
        <v>668</v>
      </c>
      <c r="C1061" s="465" t="s">
        <v>3633</v>
      </c>
      <c r="D1061" s="465" t="s">
        <v>669</v>
      </c>
      <c r="E1061" s="466" t="s">
        <v>670</v>
      </c>
      <c r="F1061" s="466" t="s">
        <v>671</v>
      </c>
      <c r="G1061" s="466" t="s">
        <v>672</v>
      </c>
      <c r="H1061" s="343">
        <v>3.7</v>
      </c>
      <c r="I1061" s="466" t="s">
        <v>673</v>
      </c>
      <c r="J1061" s="467">
        <v>1</v>
      </c>
      <c r="K1061" s="468">
        <v>2022</v>
      </c>
      <c r="L1061" s="343" t="s">
        <v>3574</v>
      </c>
      <c r="M1061" s="469" t="s">
        <v>1193</v>
      </c>
      <c r="N1061" s="342"/>
      <c r="O1061" s="343"/>
      <c r="P1061" s="470" t="s">
        <v>676</v>
      </c>
      <c r="Q1061" s="471"/>
      <c r="R1061" s="472"/>
      <c r="S1061" s="417"/>
      <c r="T1061" s="473"/>
      <c r="U1061" s="417"/>
      <c r="V1061" s="417"/>
      <c r="W1061" s="417"/>
      <c r="X1061" s="474"/>
      <c r="Y1061" s="474"/>
      <c r="Z1061" s="475"/>
      <c r="AA1061" s="476"/>
      <c r="AB1061" s="476"/>
      <c r="AC1061" s="476"/>
      <c r="AD1061" s="406" t="b">
        <f>IF(ISBLANK(GroupMember[[#This Row],[1. Identifiant interne d’exploitation agricole*]]),"",IF(ISERROR(MATCH(GroupMember[[#This Row],[1. Identifiant interne d’exploitation agricole*]],CertifiedCrop[1. Identifiant interne d’exploitation agricole*],0)),FALSE,TRUE))</f>
        <v>1</v>
      </c>
      <c r="AE1061" s="406" t="b">
        <f>IF(ISBLANK(GroupMember[[#This Row],[1. Identifiant interne d’exploitation agricole*]]),"",IF(ISERROR(MATCH(GroupMember[[#This Row],[1. Identifiant interne d’exploitation agricole*]],FarmUnit[1. Identifiant interne d’exploitation agricole*],0)),FALSE,TRUE))</f>
        <v>1</v>
      </c>
      <c r="AF1061" s="409" t="str">
        <f t="shared" si="66"/>
        <v>BAFFO DIOMANDE</v>
      </c>
      <c r="AG1061" s="477" t="str">
        <f t="shared" si="67"/>
        <v>//</v>
      </c>
      <c r="AH1061" s="478">
        <f>COUNTIFS(Z:Z,Z1061,AG:AG,AG1061)</f>
        <v>0</v>
      </c>
      <c r="AI1061" s="479">
        <f t="shared" si="68"/>
        <v>0</v>
      </c>
    </row>
    <row r="1062" spans="1:35" ht="15" x14ac:dyDescent="0.2">
      <c r="A1062" s="415" t="s">
        <v>3634</v>
      </c>
      <c r="B1062" s="146" t="s">
        <v>668</v>
      </c>
      <c r="C1062" s="415" t="s">
        <v>3634</v>
      </c>
      <c r="D1062" s="415" t="s">
        <v>669</v>
      </c>
      <c r="E1062" s="146" t="s">
        <v>670</v>
      </c>
      <c r="F1062" s="146" t="s">
        <v>671</v>
      </c>
      <c r="G1062" s="146" t="s">
        <v>672</v>
      </c>
      <c r="H1062" s="188">
        <v>3.4</v>
      </c>
      <c r="I1062" s="146" t="s">
        <v>673</v>
      </c>
      <c r="J1062" s="419">
        <v>1</v>
      </c>
      <c r="K1062" s="420">
        <v>2022</v>
      </c>
      <c r="L1062" s="188" t="s">
        <v>3575</v>
      </c>
      <c r="M1062" s="421" t="s">
        <v>1193</v>
      </c>
      <c r="N1062" s="329"/>
      <c r="O1062" s="188"/>
      <c r="P1062" s="423" t="s">
        <v>676</v>
      </c>
      <c r="Q1062" s="424"/>
      <c r="R1062" s="425"/>
      <c r="S1062" s="305"/>
      <c r="T1062" s="426"/>
      <c r="U1062" s="305"/>
      <c r="V1062" s="305"/>
      <c r="W1062" s="305"/>
      <c r="X1062" s="418"/>
      <c r="Y1062" s="418"/>
      <c r="Z1062" s="427"/>
      <c r="AA1062" s="428"/>
      <c r="AB1062" s="428"/>
      <c r="AC1062" s="428"/>
      <c r="AD1062" s="398" t="b">
        <f>IF(ISBLANK(GroupMember[[#This Row],[1. Identifiant interne d’exploitation agricole*]]),"",IF(ISERROR(MATCH(GroupMember[[#This Row],[1. Identifiant interne d’exploitation agricole*]],CertifiedCrop[1. Identifiant interne d’exploitation agricole*],0)),FALSE,TRUE))</f>
        <v>1</v>
      </c>
      <c r="AE1062" s="398" t="b">
        <f>IF(ISBLANK(GroupMember[[#This Row],[1. Identifiant interne d’exploitation agricole*]]),"",IF(ISERROR(MATCH(GroupMember[[#This Row],[1. Identifiant interne d’exploitation agricole*]],FarmUnit[1. Identifiant interne d’exploitation agricole*],0)),FALSE,TRUE))</f>
        <v>1</v>
      </c>
      <c r="AF1062" s="373" t="str">
        <f t="shared" si="66"/>
        <v>MEDIAO DIOMANDE</v>
      </c>
      <c r="AG1062" s="429" t="str">
        <f t="shared" si="67"/>
        <v>//</v>
      </c>
      <c r="AH1062" s="430">
        <f>COUNTIFS(Z:Z,Z1062,AG:AG,AG1062)</f>
        <v>0</v>
      </c>
      <c r="AI1062" s="431">
        <f t="shared" si="68"/>
        <v>0</v>
      </c>
    </row>
    <row r="1063" spans="1:35" s="372" customFormat="1" ht="15" x14ac:dyDescent="0.2">
      <c r="A1063" s="465" t="s">
        <v>3635</v>
      </c>
      <c r="B1063" s="466" t="s">
        <v>668</v>
      </c>
      <c r="C1063" s="465" t="s">
        <v>3635</v>
      </c>
      <c r="D1063" s="465" t="s">
        <v>669</v>
      </c>
      <c r="E1063" s="466" t="s">
        <v>670</v>
      </c>
      <c r="F1063" s="466" t="s">
        <v>671</v>
      </c>
      <c r="G1063" s="466" t="s">
        <v>672</v>
      </c>
      <c r="H1063" s="343">
        <v>1.6</v>
      </c>
      <c r="I1063" s="466" t="s">
        <v>673</v>
      </c>
      <c r="J1063" s="467">
        <v>1</v>
      </c>
      <c r="K1063" s="468">
        <v>2022</v>
      </c>
      <c r="L1063" s="343" t="s">
        <v>2199</v>
      </c>
      <c r="M1063" s="469" t="s">
        <v>1193</v>
      </c>
      <c r="N1063" s="342"/>
      <c r="O1063" s="343"/>
      <c r="P1063" s="470" t="s">
        <v>676</v>
      </c>
      <c r="Q1063" s="471"/>
      <c r="R1063" s="472"/>
      <c r="S1063" s="417"/>
      <c r="T1063" s="473"/>
      <c r="U1063" s="417"/>
      <c r="V1063" s="417"/>
      <c r="W1063" s="417"/>
      <c r="X1063" s="474"/>
      <c r="Y1063" s="474"/>
      <c r="Z1063" s="475"/>
      <c r="AA1063" s="476"/>
      <c r="AB1063" s="476"/>
      <c r="AC1063" s="476"/>
      <c r="AD1063" s="406" t="b">
        <f>IF(ISBLANK(GroupMember[[#This Row],[1. Identifiant interne d’exploitation agricole*]]),"",IF(ISERROR(MATCH(GroupMember[[#This Row],[1. Identifiant interne d’exploitation agricole*]],CertifiedCrop[1. Identifiant interne d’exploitation agricole*],0)),FALSE,TRUE))</f>
        <v>1</v>
      </c>
      <c r="AE1063" s="406" t="b">
        <f>IF(ISBLANK(GroupMember[[#This Row],[1. Identifiant interne d’exploitation agricole*]]),"",IF(ISERROR(MATCH(GroupMember[[#This Row],[1. Identifiant interne d’exploitation agricole*]],FarmUnit[1. Identifiant interne d’exploitation agricole*],0)),FALSE,TRUE))</f>
        <v>1</v>
      </c>
      <c r="AF1063" s="409" t="str">
        <f t="shared" si="66"/>
        <v>MOUSSA DIOMANDE</v>
      </c>
      <c r="AG1063" s="477" t="str">
        <f t="shared" si="67"/>
        <v>//</v>
      </c>
      <c r="AH1063" s="478">
        <f>COUNTIFS(Z:Z,Z1063,AG:AG,AG1063)</f>
        <v>0</v>
      </c>
      <c r="AI1063" s="479">
        <f t="shared" si="68"/>
        <v>0</v>
      </c>
    </row>
    <row r="1064" spans="1:35" ht="15" x14ac:dyDescent="0.2">
      <c r="A1064" s="415" t="s">
        <v>3636</v>
      </c>
      <c r="B1064" s="146" t="s">
        <v>668</v>
      </c>
      <c r="C1064" s="415" t="s">
        <v>3636</v>
      </c>
      <c r="D1064" s="415" t="s">
        <v>669</v>
      </c>
      <c r="E1064" s="146" t="s">
        <v>670</v>
      </c>
      <c r="F1064" s="146" t="s">
        <v>671</v>
      </c>
      <c r="G1064" s="146" t="s">
        <v>672</v>
      </c>
      <c r="H1064" s="188">
        <v>1.2</v>
      </c>
      <c r="I1064" s="146" t="s">
        <v>673</v>
      </c>
      <c r="J1064" s="419">
        <v>1</v>
      </c>
      <c r="K1064" s="420">
        <v>2022</v>
      </c>
      <c r="L1064" s="188" t="s">
        <v>2261</v>
      </c>
      <c r="M1064" s="421" t="s">
        <v>1193</v>
      </c>
      <c r="N1064" s="329"/>
      <c r="O1064" s="188"/>
      <c r="P1064" s="423" t="s">
        <v>676</v>
      </c>
      <c r="Q1064" s="424"/>
      <c r="R1064" s="425"/>
      <c r="S1064" s="305"/>
      <c r="T1064" s="426"/>
      <c r="U1064" s="305"/>
      <c r="V1064" s="305"/>
      <c r="W1064" s="305"/>
      <c r="X1064" s="418"/>
      <c r="Y1064" s="418"/>
      <c r="Z1064" s="427"/>
      <c r="AA1064" s="428"/>
      <c r="AB1064" s="428"/>
      <c r="AC1064" s="428"/>
      <c r="AD1064" s="398" t="b">
        <f>IF(ISBLANK(GroupMember[[#This Row],[1. Identifiant interne d’exploitation agricole*]]),"",IF(ISERROR(MATCH(GroupMember[[#This Row],[1. Identifiant interne d’exploitation agricole*]],CertifiedCrop[1. Identifiant interne d’exploitation agricole*],0)),FALSE,TRUE))</f>
        <v>1</v>
      </c>
      <c r="AE1064" s="398" t="b">
        <f>IF(ISBLANK(GroupMember[[#This Row],[1. Identifiant interne d’exploitation agricole*]]),"",IF(ISERROR(MATCH(GroupMember[[#This Row],[1. Identifiant interne d’exploitation agricole*]],FarmUnit[1. Identifiant interne d’exploitation agricole*],0)),FALSE,TRUE))</f>
        <v>1</v>
      </c>
      <c r="AF1064" s="373" t="str">
        <f t="shared" si="66"/>
        <v>SEKOU DIOMANDE</v>
      </c>
      <c r="AG1064" s="429" t="str">
        <f t="shared" si="67"/>
        <v>//</v>
      </c>
      <c r="AH1064" s="430">
        <f>COUNTIFS(Z:Z,Z1064,AG:AG,AG1064)</f>
        <v>0</v>
      </c>
      <c r="AI1064" s="431">
        <f t="shared" si="68"/>
        <v>0</v>
      </c>
    </row>
    <row r="1065" spans="1:35" s="372" customFormat="1" ht="15" x14ac:dyDescent="0.2">
      <c r="A1065" s="465" t="s">
        <v>3637</v>
      </c>
      <c r="B1065" s="466" t="s">
        <v>668</v>
      </c>
      <c r="C1065" s="465" t="s">
        <v>3637</v>
      </c>
      <c r="D1065" s="465" t="s">
        <v>669</v>
      </c>
      <c r="E1065" s="466" t="s">
        <v>670</v>
      </c>
      <c r="F1065" s="466" t="s">
        <v>671</v>
      </c>
      <c r="G1065" s="466" t="s">
        <v>672</v>
      </c>
      <c r="H1065" s="343">
        <v>5.0999999999999996</v>
      </c>
      <c r="I1065" s="466" t="s">
        <v>673</v>
      </c>
      <c r="J1065" s="467">
        <v>1</v>
      </c>
      <c r="K1065" s="468">
        <v>2022</v>
      </c>
      <c r="L1065" s="343" t="s">
        <v>3576</v>
      </c>
      <c r="M1065" s="469" t="s">
        <v>1193</v>
      </c>
      <c r="N1065" s="342"/>
      <c r="O1065" s="343"/>
      <c r="P1065" s="470" t="s">
        <v>676</v>
      </c>
      <c r="Q1065" s="471"/>
      <c r="R1065" s="472"/>
      <c r="S1065" s="417"/>
      <c r="T1065" s="473"/>
      <c r="U1065" s="417"/>
      <c r="V1065" s="417"/>
      <c r="W1065" s="417"/>
      <c r="X1065" s="474"/>
      <c r="Y1065" s="474"/>
      <c r="Z1065" s="475"/>
      <c r="AA1065" s="476"/>
      <c r="AB1065" s="476"/>
      <c r="AC1065" s="476"/>
      <c r="AD1065" s="406" t="b">
        <f>IF(ISBLANK(GroupMember[[#This Row],[1. Identifiant interne d’exploitation agricole*]]),"",IF(ISERROR(MATCH(GroupMember[[#This Row],[1. Identifiant interne d’exploitation agricole*]],CertifiedCrop[1. Identifiant interne d’exploitation agricole*],0)),FALSE,TRUE))</f>
        <v>1</v>
      </c>
      <c r="AE1065" s="406" t="b">
        <f>IF(ISBLANK(GroupMember[[#This Row],[1. Identifiant interne d’exploitation agricole*]]),"",IF(ISERROR(MATCH(GroupMember[[#This Row],[1. Identifiant interne d’exploitation agricole*]],FarmUnit[1. Identifiant interne d’exploitation agricole*],0)),FALSE,TRUE))</f>
        <v>1</v>
      </c>
      <c r="AF1065" s="409" t="str">
        <f t="shared" si="66"/>
        <v>YATIE DIOMANDE</v>
      </c>
      <c r="AG1065" s="477" t="str">
        <f t="shared" si="67"/>
        <v>//</v>
      </c>
      <c r="AH1065" s="478">
        <f>COUNTIFS(Z:Z,Z1065,AG:AG,AG1065)</f>
        <v>0</v>
      </c>
      <c r="AI1065" s="479">
        <f t="shared" si="68"/>
        <v>0</v>
      </c>
    </row>
    <row r="1066" spans="1:35" ht="15" x14ac:dyDescent="0.2">
      <c r="A1066" s="415" t="s">
        <v>3638</v>
      </c>
      <c r="B1066" s="146" t="s">
        <v>668</v>
      </c>
      <c r="C1066" s="415" t="s">
        <v>3638</v>
      </c>
      <c r="D1066" s="415" t="s">
        <v>669</v>
      </c>
      <c r="E1066" s="146" t="s">
        <v>670</v>
      </c>
      <c r="F1066" s="146" t="s">
        <v>671</v>
      </c>
      <c r="G1066" s="146" t="s">
        <v>672</v>
      </c>
      <c r="H1066" s="188">
        <v>1.7</v>
      </c>
      <c r="I1066" s="146" t="s">
        <v>673</v>
      </c>
      <c r="J1066" s="419">
        <v>1</v>
      </c>
      <c r="K1066" s="420">
        <v>2022</v>
      </c>
      <c r="L1066" s="188" t="s">
        <v>1789</v>
      </c>
      <c r="M1066" s="421" t="s">
        <v>1193</v>
      </c>
      <c r="N1066" s="329"/>
      <c r="O1066" s="188"/>
      <c r="P1066" s="423" t="s">
        <v>676</v>
      </c>
      <c r="Q1066" s="424"/>
      <c r="R1066" s="425"/>
      <c r="S1066" s="305"/>
      <c r="T1066" s="426"/>
      <c r="U1066" s="305"/>
      <c r="V1066" s="305"/>
      <c r="W1066" s="305"/>
      <c r="X1066" s="418"/>
      <c r="Y1066" s="418"/>
      <c r="Z1066" s="427"/>
      <c r="AA1066" s="428"/>
      <c r="AB1066" s="428"/>
      <c r="AC1066" s="428"/>
      <c r="AD1066" s="398" t="b">
        <f>IF(ISBLANK(GroupMember[[#This Row],[1. Identifiant interne d’exploitation agricole*]]),"",IF(ISERROR(MATCH(GroupMember[[#This Row],[1. Identifiant interne d’exploitation agricole*]],CertifiedCrop[1. Identifiant interne d’exploitation agricole*],0)),FALSE,TRUE))</f>
        <v>1</v>
      </c>
      <c r="AE1066" s="398" t="b">
        <f>IF(ISBLANK(GroupMember[[#This Row],[1. Identifiant interne d’exploitation agricole*]]),"",IF(ISERROR(MATCH(GroupMember[[#This Row],[1. Identifiant interne d’exploitation agricole*]],FarmUnit[1. Identifiant interne d’exploitation agricole*],0)),FALSE,TRUE))</f>
        <v>1</v>
      </c>
      <c r="AF1066" s="373" t="str">
        <f t="shared" si="66"/>
        <v>IBRAHIM DIOMANDE</v>
      </c>
      <c r="AG1066" s="429" t="str">
        <f t="shared" si="67"/>
        <v>//</v>
      </c>
      <c r="AH1066" s="430">
        <f>COUNTIFS(Z:Z,Z1066,AG:AG,AG1066)</f>
        <v>0</v>
      </c>
      <c r="AI1066" s="431">
        <f t="shared" si="68"/>
        <v>0</v>
      </c>
    </row>
    <row r="1067" spans="1:35" s="372" customFormat="1" ht="15" x14ac:dyDescent="0.2">
      <c r="A1067" s="465" t="s">
        <v>3639</v>
      </c>
      <c r="B1067" s="466" t="s">
        <v>668</v>
      </c>
      <c r="C1067" s="465" t="s">
        <v>3639</v>
      </c>
      <c r="D1067" s="465" t="s">
        <v>669</v>
      </c>
      <c r="E1067" s="466" t="s">
        <v>670</v>
      </c>
      <c r="F1067" s="466" t="s">
        <v>671</v>
      </c>
      <c r="G1067" s="466" t="s">
        <v>672</v>
      </c>
      <c r="H1067" s="343">
        <v>0.6</v>
      </c>
      <c r="I1067" s="466" t="s">
        <v>673</v>
      </c>
      <c r="J1067" s="467">
        <v>1</v>
      </c>
      <c r="K1067" s="468">
        <v>2022</v>
      </c>
      <c r="L1067" s="343" t="s">
        <v>3577</v>
      </c>
      <c r="M1067" s="469" t="s">
        <v>3550</v>
      </c>
      <c r="N1067" s="342"/>
      <c r="O1067" s="343"/>
      <c r="P1067" s="470" t="s">
        <v>676</v>
      </c>
      <c r="Q1067" s="471"/>
      <c r="R1067" s="472"/>
      <c r="S1067" s="417"/>
      <c r="T1067" s="473"/>
      <c r="U1067" s="417"/>
      <c r="V1067" s="417"/>
      <c r="W1067" s="417"/>
      <c r="X1067" s="474"/>
      <c r="Y1067" s="474"/>
      <c r="Z1067" s="475"/>
      <c r="AA1067" s="476"/>
      <c r="AB1067" s="476"/>
      <c r="AC1067" s="476"/>
      <c r="AD1067" s="406" t="b">
        <f>IF(ISBLANK(GroupMember[[#This Row],[1. Identifiant interne d’exploitation agricole*]]),"",IF(ISERROR(MATCH(GroupMember[[#This Row],[1. Identifiant interne d’exploitation agricole*]],CertifiedCrop[1. Identifiant interne d’exploitation agricole*],0)),FALSE,TRUE))</f>
        <v>1</v>
      </c>
      <c r="AE1067" s="406" t="b">
        <f>IF(ISBLANK(GroupMember[[#This Row],[1. Identifiant interne d’exploitation agricole*]]),"",IF(ISERROR(MATCH(GroupMember[[#This Row],[1. Identifiant interne d’exploitation agricole*]],FarmUnit[1. Identifiant interne d’exploitation agricole*],0)),FALSE,TRUE))</f>
        <v>1</v>
      </c>
      <c r="AF1067" s="409" t="str">
        <f t="shared" si="66"/>
        <v>ALEXIS KADEKO</v>
      </c>
      <c r="AG1067" s="477" t="str">
        <f t="shared" si="67"/>
        <v>//</v>
      </c>
      <c r="AH1067" s="478">
        <f>COUNTIFS(Z:Z,Z1067,AG:AG,AG1067)</f>
        <v>0</v>
      </c>
      <c r="AI1067" s="479">
        <f t="shared" si="68"/>
        <v>0</v>
      </c>
    </row>
    <row r="1068" spans="1:35" ht="15" x14ac:dyDescent="0.2">
      <c r="A1068" s="415" t="s">
        <v>3640</v>
      </c>
      <c r="B1068" s="146" t="s">
        <v>668</v>
      </c>
      <c r="C1068" s="415" t="s">
        <v>3640</v>
      </c>
      <c r="D1068" s="415" t="s">
        <v>669</v>
      </c>
      <c r="E1068" s="146" t="s">
        <v>670</v>
      </c>
      <c r="F1068" s="146" t="s">
        <v>671</v>
      </c>
      <c r="G1068" s="146" t="s">
        <v>672</v>
      </c>
      <c r="H1068" s="188">
        <v>6.5</v>
      </c>
      <c r="I1068" s="146" t="s">
        <v>673</v>
      </c>
      <c r="J1068" s="419">
        <v>1</v>
      </c>
      <c r="K1068" s="420">
        <v>2022</v>
      </c>
      <c r="L1068" s="188" t="s">
        <v>3522</v>
      </c>
      <c r="M1068" s="421" t="s">
        <v>2644</v>
      </c>
      <c r="N1068" s="329"/>
      <c r="O1068" s="188"/>
      <c r="P1068" s="423" t="s">
        <v>676</v>
      </c>
      <c r="Q1068" s="424"/>
      <c r="R1068" s="425"/>
      <c r="S1068" s="305"/>
      <c r="T1068" s="426"/>
      <c r="U1068" s="305"/>
      <c r="V1068" s="305"/>
      <c r="W1068" s="305"/>
      <c r="X1068" s="418"/>
      <c r="Y1068" s="418"/>
      <c r="Z1068" s="427"/>
      <c r="AA1068" s="428"/>
      <c r="AB1068" s="428"/>
      <c r="AC1068" s="428"/>
      <c r="AD1068" s="398" t="b">
        <f>IF(ISBLANK(GroupMember[[#This Row],[1. Identifiant interne d’exploitation agricole*]]),"",IF(ISERROR(MATCH(GroupMember[[#This Row],[1. Identifiant interne d’exploitation agricole*]],CertifiedCrop[1. Identifiant interne d’exploitation agricole*],0)),FALSE,TRUE))</f>
        <v>1</v>
      </c>
      <c r="AE1068" s="398" t="b">
        <f>IF(ISBLANK(GroupMember[[#This Row],[1. Identifiant interne d’exploitation agricole*]]),"",IF(ISERROR(MATCH(GroupMember[[#This Row],[1. Identifiant interne d’exploitation agricole*]],FarmUnit[1. Identifiant interne d’exploitation agricole*],0)),FALSE,TRUE))</f>
        <v>1</v>
      </c>
      <c r="AF1068" s="373" t="str">
        <f t="shared" si="66"/>
        <v>JEREMIE KIENDREBEOGO</v>
      </c>
      <c r="AG1068" s="429" t="str">
        <f t="shared" si="67"/>
        <v>//</v>
      </c>
      <c r="AH1068" s="430">
        <f>COUNTIFS(Z:Z,Z1068,AG:AG,AG1068)</f>
        <v>0</v>
      </c>
      <c r="AI1068" s="431">
        <f t="shared" si="68"/>
        <v>0</v>
      </c>
    </row>
    <row r="1069" spans="1:35" s="372" customFormat="1" ht="15" x14ac:dyDescent="0.2">
      <c r="A1069" s="465" t="s">
        <v>3641</v>
      </c>
      <c r="B1069" s="466" t="s">
        <v>668</v>
      </c>
      <c r="C1069" s="465" t="s">
        <v>3641</v>
      </c>
      <c r="D1069" s="465" t="s">
        <v>669</v>
      </c>
      <c r="E1069" s="466" t="s">
        <v>670</v>
      </c>
      <c r="F1069" s="466" t="s">
        <v>671</v>
      </c>
      <c r="G1069" s="466" t="s">
        <v>672</v>
      </c>
      <c r="H1069" s="343">
        <v>2.1</v>
      </c>
      <c r="I1069" s="466" t="s">
        <v>673</v>
      </c>
      <c r="J1069" s="467">
        <v>1</v>
      </c>
      <c r="K1069" s="468">
        <v>2022</v>
      </c>
      <c r="L1069" s="343" t="s">
        <v>1611</v>
      </c>
      <c r="M1069" s="469" t="s">
        <v>757</v>
      </c>
      <c r="N1069" s="342"/>
      <c r="O1069" s="343"/>
      <c r="P1069" s="470" t="s">
        <v>676</v>
      </c>
      <c r="Q1069" s="471"/>
      <c r="R1069" s="472"/>
      <c r="S1069" s="417"/>
      <c r="T1069" s="473"/>
      <c r="U1069" s="417"/>
      <c r="V1069" s="417"/>
      <c r="W1069" s="417"/>
      <c r="X1069" s="474"/>
      <c r="Y1069" s="474"/>
      <c r="Z1069" s="475"/>
      <c r="AA1069" s="476"/>
      <c r="AB1069" s="476"/>
      <c r="AC1069" s="476"/>
      <c r="AD1069" s="406" t="b">
        <f>IF(ISBLANK(GroupMember[[#This Row],[1. Identifiant interne d’exploitation agricole*]]),"",IF(ISERROR(MATCH(GroupMember[[#This Row],[1. Identifiant interne d’exploitation agricole*]],CertifiedCrop[1. Identifiant interne d’exploitation agricole*],0)),FALSE,TRUE))</f>
        <v>1</v>
      </c>
      <c r="AE1069" s="406" t="b">
        <f>IF(ISBLANK(GroupMember[[#This Row],[1. Identifiant interne d’exploitation agricole*]]),"",IF(ISERROR(MATCH(GroupMember[[#This Row],[1. Identifiant interne d’exploitation agricole*]],FarmUnit[1. Identifiant interne d’exploitation agricole*],0)),FALSE,TRUE))</f>
        <v>1</v>
      </c>
      <c r="AF1069" s="409" t="str">
        <f t="shared" si="66"/>
        <v>AMED KIENTEGA</v>
      </c>
      <c r="AG1069" s="477" t="str">
        <f t="shared" si="67"/>
        <v>//</v>
      </c>
      <c r="AH1069" s="478">
        <f>COUNTIFS(Z:Z,Z1069,AG:AG,AG1069)</f>
        <v>0</v>
      </c>
      <c r="AI1069" s="479">
        <f t="shared" si="68"/>
        <v>0</v>
      </c>
    </row>
    <row r="1070" spans="1:35" ht="15" x14ac:dyDescent="0.2">
      <c r="A1070" s="415" t="s">
        <v>3642</v>
      </c>
      <c r="B1070" s="146" t="s">
        <v>668</v>
      </c>
      <c r="C1070" s="415" t="s">
        <v>3642</v>
      </c>
      <c r="D1070" s="415" t="s">
        <v>669</v>
      </c>
      <c r="E1070" s="146" t="s">
        <v>670</v>
      </c>
      <c r="F1070" s="146" t="s">
        <v>671</v>
      </c>
      <c r="G1070" s="146" t="s">
        <v>672</v>
      </c>
      <c r="H1070" s="188">
        <v>1.4</v>
      </c>
      <c r="I1070" s="146" t="s">
        <v>673</v>
      </c>
      <c r="J1070" s="419">
        <v>1</v>
      </c>
      <c r="K1070" s="420">
        <v>2022</v>
      </c>
      <c r="L1070" s="188" t="s">
        <v>3578</v>
      </c>
      <c r="M1070" s="421" t="s">
        <v>757</v>
      </c>
      <c r="N1070" s="329"/>
      <c r="O1070" s="188"/>
      <c r="P1070" s="423" t="s">
        <v>676</v>
      </c>
      <c r="Q1070" s="424"/>
      <c r="R1070" s="425"/>
      <c r="S1070" s="305"/>
      <c r="T1070" s="426"/>
      <c r="U1070" s="305"/>
      <c r="V1070" s="305"/>
      <c r="W1070" s="305"/>
      <c r="X1070" s="418"/>
      <c r="Y1070" s="418"/>
      <c r="Z1070" s="427"/>
      <c r="AA1070" s="428"/>
      <c r="AB1070" s="428"/>
      <c r="AC1070" s="428"/>
      <c r="AD1070" s="398" t="b">
        <f>IF(ISBLANK(GroupMember[[#This Row],[1. Identifiant interne d’exploitation agricole*]]),"",IF(ISERROR(MATCH(GroupMember[[#This Row],[1. Identifiant interne d’exploitation agricole*]],CertifiedCrop[1. Identifiant interne d’exploitation agricole*],0)),FALSE,TRUE))</f>
        <v>1</v>
      </c>
      <c r="AE1070" s="398" t="b">
        <f>IF(ISBLANK(GroupMember[[#This Row],[1. Identifiant interne d’exploitation agricole*]]),"",IF(ISERROR(MATCH(GroupMember[[#This Row],[1. Identifiant interne d’exploitation agricole*]],FarmUnit[1. Identifiant interne d’exploitation agricole*],0)),FALSE,TRUE))</f>
        <v>1</v>
      </c>
      <c r="AF1070" s="373" t="str">
        <f t="shared" si="66"/>
        <v>NICOLAS KIENTEGA</v>
      </c>
      <c r="AG1070" s="429" t="str">
        <f t="shared" si="67"/>
        <v>//</v>
      </c>
      <c r="AH1070" s="430">
        <f>COUNTIFS(Z:Z,Z1070,AG:AG,AG1070)</f>
        <v>0</v>
      </c>
      <c r="AI1070" s="431">
        <f t="shared" si="68"/>
        <v>0</v>
      </c>
    </row>
    <row r="1071" spans="1:35" s="372" customFormat="1" ht="15" x14ac:dyDescent="0.2">
      <c r="A1071" s="465" t="s">
        <v>3643</v>
      </c>
      <c r="B1071" s="466" t="s">
        <v>668</v>
      </c>
      <c r="C1071" s="465" t="s">
        <v>3643</v>
      </c>
      <c r="D1071" s="465" t="s">
        <v>669</v>
      </c>
      <c r="E1071" s="466" t="s">
        <v>670</v>
      </c>
      <c r="F1071" s="466" t="s">
        <v>671</v>
      </c>
      <c r="G1071" s="466" t="s">
        <v>672</v>
      </c>
      <c r="H1071" s="343">
        <v>2.6</v>
      </c>
      <c r="I1071" s="466" t="s">
        <v>673</v>
      </c>
      <c r="J1071" s="467">
        <v>1</v>
      </c>
      <c r="K1071" s="468">
        <v>2022</v>
      </c>
      <c r="L1071" s="343" t="s">
        <v>758</v>
      </c>
      <c r="M1071" s="469" t="s">
        <v>757</v>
      </c>
      <c r="N1071" s="342"/>
      <c r="O1071" s="343"/>
      <c r="P1071" s="470" t="s">
        <v>676</v>
      </c>
      <c r="Q1071" s="471"/>
      <c r="R1071" s="472"/>
      <c r="S1071" s="417"/>
      <c r="T1071" s="473"/>
      <c r="U1071" s="417"/>
      <c r="V1071" s="417"/>
      <c r="W1071" s="417"/>
      <c r="X1071" s="474"/>
      <c r="Y1071" s="474"/>
      <c r="Z1071" s="475"/>
      <c r="AA1071" s="476"/>
      <c r="AB1071" s="476"/>
      <c r="AC1071" s="476"/>
      <c r="AD1071" s="406" t="b">
        <f>IF(ISBLANK(GroupMember[[#This Row],[1. Identifiant interne d’exploitation agricole*]]),"",IF(ISERROR(MATCH(GroupMember[[#This Row],[1. Identifiant interne d’exploitation agricole*]],CertifiedCrop[1. Identifiant interne d’exploitation agricole*],0)),FALSE,TRUE))</f>
        <v>1</v>
      </c>
      <c r="AE1071" s="406" t="b">
        <f>IF(ISBLANK(GroupMember[[#This Row],[1. Identifiant interne d’exploitation agricole*]]),"",IF(ISERROR(MATCH(GroupMember[[#This Row],[1. Identifiant interne d’exploitation agricole*]],FarmUnit[1. Identifiant interne d’exploitation agricole*],0)),FALSE,TRUE))</f>
        <v>1</v>
      </c>
      <c r="AF1071" s="409" t="str">
        <f t="shared" si="66"/>
        <v>PIERRE KIENTEGA</v>
      </c>
      <c r="AG1071" s="477" t="str">
        <f t="shared" si="67"/>
        <v>//</v>
      </c>
      <c r="AH1071" s="478">
        <f>COUNTIFS(Z:Z,Z1071,AG:AG,AG1071)</f>
        <v>0</v>
      </c>
      <c r="AI1071" s="479">
        <f t="shared" si="68"/>
        <v>0</v>
      </c>
    </row>
    <row r="1072" spans="1:35" ht="15" x14ac:dyDescent="0.2">
      <c r="A1072" s="415" t="s">
        <v>3644</v>
      </c>
      <c r="B1072" s="146" t="s">
        <v>668</v>
      </c>
      <c r="C1072" s="415" t="s">
        <v>3644</v>
      </c>
      <c r="D1072" s="415" t="s">
        <v>669</v>
      </c>
      <c r="E1072" s="146" t="s">
        <v>670</v>
      </c>
      <c r="F1072" s="146" t="s">
        <v>671</v>
      </c>
      <c r="G1072" s="146" t="s">
        <v>672</v>
      </c>
      <c r="H1072" s="188">
        <v>0.7</v>
      </c>
      <c r="I1072" s="146" t="s">
        <v>673</v>
      </c>
      <c r="J1072" s="419">
        <v>1</v>
      </c>
      <c r="K1072" s="420">
        <v>2022</v>
      </c>
      <c r="L1072" s="188" t="s">
        <v>3579</v>
      </c>
      <c r="M1072" s="421" t="s">
        <v>2297</v>
      </c>
      <c r="N1072" s="329"/>
      <c r="O1072" s="188"/>
      <c r="P1072" s="423" t="s">
        <v>751</v>
      </c>
      <c r="Q1072" s="424"/>
      <c r="R1072" s="425"/>
      <c r="S1072" s="305"/>
      <c r="T1072" s="426"/>
      <c r="U1072" s="305"/>
      <c r="V1072" s="305"/>
      <c r="W1072" s="305"/>
      <c r="X1072" s="418"/>
      <c r="Y1072" s="418"/>
      <c r="Z1072" s="427"/>
      <c r="AA1072" s="428"/>
      <c r="AB1072" s="428"/>
      <c r="AC1072" s="428"/>
      <c r="AD1072" s="398" t="b">
        <f>IF(ISBLANK(GroupMember[[#This Row],[1. Identifiant interne d’exploitation agricole*]]),"",IF(ISERROR(MATCH(GroupMember[[#This Row],[1. Identifiant interne d’exploitation agricole*]],CertifiedCrop[1. Identifiant interne d’exploitation agricole*],0)),FALSE,TRUE))</f>
        <v>1</v>
      </c>
      <c r="AE1072" s="398" t="b">
        <f>IF(ISBLANK(GroupMember[[#This Row],[1. Identifiant interne d’exploitation agricole*]]),"",IF(ISERROR(MATCH(GroupMember[[#This Row],[1. Identifiant interne d’exploitation agricole*]],FarmUnit[1. Identifiant interne d’exploitation agricole*],0)),FALSE,TRUE))</f>
        <v>1</v>
      </c>
      <c r="AF1072" s="373" t="str">
        <f t="shared" si="66"/>
        <v>AKISSI KONAN</v>
      </c>
      <c r="AG1072" s="429" t="str">
        <f t="shared" si="67"/>
        <v>//</v>
      </c>
      <c r="AH1072" s="430">
        <f>COUNTIFS(Z:Z,Z1072,AG:AG,AG1072)</f>
        <v>0</v>
      </c>
      <c r="AI1072" s="431">
        <f t="shared" si="68"/>
        <v>0</v>
      </c>
    </row>
    <row r="1073" spans="1:35" s="372" customFormat="1" ht="15" x14ac:dyDescent="0.2">
      <c r="A1073" s="465" t="s">
        <v>3645</v>
      </c>
      <c r="B1073" s="466" t="s">
        <v>668</v>
      </c>
      <c r="C1073" s="465" t="s">
        <v>3645</v>
      </c>
      <c r="D1073" s="465" t="s">
        <v>669</v>
      </c>
      <c r="E1073" s="466" t="s">
        <v>670</v>
      </c>
      <c r="F1073" s="466" t="s">
        <v>671</v>
      </c>
      <c r="G1073" s="466" t="s">
        <v>672</v>
      </c>
      <c r="H1073" s="343">
        <v>2.9</v>
      </c>
      <c r="I1073" s="466" t="s">
        <v>673</v>
      </c>
      <c r="J1073" s="467">
        <v>1</v>
      </c>
      <c r="K1073" s="468">
        <v>2022</v>
      </c>
      <c r="L1073" s="343" t="s">
        <v>753</v>
      </c>
      <c r="M1073" s="469" t="s">
        <v>765</v>
      </c>
      <c r="N1073" s="342"/>
      <c r="O1073" s="343"/>
      <c r="P1073" s="470" t="s">
        <v>676</v>
      </c>
      <c r="Q1073" s="471"/>
      <c r="R1073" s="472"/>
      <c r="S1073" s="417"/>
      <c r="T1073" s="473"/>
      <c r="U1073" s="417"/>
      <c r="V1073" s="417"/>
      <c r="W1073" s="417"/>
      <c r="X1073" s="474"/>
      <c r="Y1073" s="474"/>
      <c r="Z1073" s="475"/>
      <c r="AA1073" s="476"/>
      <c r="AB1073" s="476"/>
      <c r="AC1073" s="476"/>
      <c r="AD1073" s="406" t="b">
        <f>IF(ISBLANK(GroupMember[[#This Row],[1. Identifiant interne d’exploitation agricole*]]),"",IF(ISERROR(MATCH(GroupMember[[#This Row],[1. Identifiant interne d’exploitation agricole*]],CertifiedCrop[1. Identifiant interne d’exploitation agricole*],0)),FALSE,TRUE))</f>
        <v>1</v>
      </c>
      <c r="AE1073" s="406" t="b">
        <f>IF(ISBLANK(GroupMember[[#This Row],[1. Identifiant interne d’exploitation agricole*]]),"",IF(ISERROR(MATCH(GroupMember[[#This Row],[1. Identifiant interne d’exploitation agricole*]],FarmUnit[1. Identifiant interne d’exploitation agricole*],0)),FALSE,TRUE))</f>
        <v>1</v>
      </c>
      <c r="AF1073" s="409" t="str">
        <f t="shared" si="66"/>
        <v>ADAMA KONE</v>
      </c>
      <c r="AG1073" s="477" t="str">
        <f t="shared" si="67"/>
        <v>//</v>
      </c>
      <c r="AH1073" s="478">
        <f>COUNTIFS(Z:Z,Z1073,AG:AG,AG1073)</f>
        <v>0</v>
      </c>
      <c r="AI1073" s="479">
        <f t="shared" si="68"/>
        <v>0</v>
      </c>
    </row>
    <row r="1074" spans="1:35" ht="15" x14ac:dyDescent="0.2">
      <c r="A1074" s="415" t="s">
        <v>3646</v>
      </c>
      <c r="B1074" s="146" t="s">
        <v>668</v>
      </c>
      <c r="C1074" s="415" t="s">
        <v>3646</v>
      </c>
      <c r="D1074" s="415" t="s">
        <v>669</v>
      </c>
      <c r="E1074" s="146" t="s">
        <v>670</v>
      </c>
      <c r="F1074" s="146" t="s">
        <v>671</v>
      </c>
      <c r="G1074" s="146" t="s">
        <v>672</v>
      </c>
      <c r="H1074" s="188">
        <v>0.6</v>
      </c>
      <c r="I1074" s="146" t="s">
        <v>673</v>
      </c>
      <c r="J1074" s="419">
        <v>1</v>
      </c>
      <c r="K1074" s="420">
        <v>2022</v>
      </c>
      <c r="L1074" s="188" t="s">
        <v>3580</v>
      </c>
      <c r="M1074" s="421" t="s">
        <v>765</v>
      </c>
      <c r="N1074" s="329"/>
      <c r="O1074" s="188"/>
      <c r="P1074" s="423" t="s">
        <v>676</v>
      </c>
      <c r="Q1074" s="424"/>
      <c r="R1074" s="425"/>
      <c r="S1074" s="305"/>
      <c r="T1074" s="426"/>
      <c r="U1074" s="305"/>
      <c r="V1074" s="305"/>
      <c r="W1074" s="305"/>
      <c r="X1074" s="418"/>
      <c r="Y1074" s="418"/>
      <c r="Z1074" s="427"/>
      <c r="AA1074" s="428"/>
      <c r="AB1074" s="428"/>
      <c r="AC1074" s="428"/>
      <c r="AD1074" s="398" t="b">
        <f>IF(ISBLANK(GroupMember[[#This Row],[1. Identifiant interne d’exploitation agricole*]]),"",IF(ISERROR(MATCH(GroupMember[[#This Row],[1. Identifiant interne d’exploitation agricole*]],CertifiedCrop[1. Identifiant interne d’exploitation agricole*],0)),FALSE,TRUE))</f>
        <v>1</v>
      </c>
      <c r="AE1074" s="398" t="b">
        <f>IF(ISBLANK(GroupMember[[#This Row],[1. Identifiant interne d’exploitation agricole*]]),"",IF(ISERROR(MATCH(GroupMember[[#This Row],[1. Identifiant interne d’exploitation agricole*]],FarmUnit[1. Identifiant interne d’exploitation agricole*],0)),FALSE,TRUE))</f>
        <v>1</v>
      </c>
      <c r="AF1074" s="373" t="str">
        <f t="shared" si="66"/>
        <v>ALPHA KONE</v>
      </c>
      <c r="AG1074" s="429" t="str">
        <f t="shared" si="67"/>
        <v>//</v>
      </c>
      <c r="AH1074" s="430">
        <f>COUNTIFS(Z:Z,Z1074,AG:AG,AG1074)</f>
        <v>0</v>
      </c>
      <c r="AI1074" s="431">
        <f t="shared" si="68"/>
        <v>0</v>
      </c>
    </row>
    <row r="1075" spans="1:35" s="372" customFormat="1" ht="15" x14ac:dyDescent="0.2">
      <c r="A1075" s="465" t="s">
        <v>3647</v>
      </c>
      <c r="B1075" s="466" t="s">
        <v>668</v>
      </c>
      <c r="C1075" s="465" t="s">
        <v>3647</v>
      </c>
      <c r="D1075" s="465" t="s">
        <v>669</v>
      </c>
      <c r="E1075" s="466" t="s">
        <v>670</v>
      </c>
      <c r="F1075" s="466" t="s">
        <v>671</v>
      </c>
      <c r="G1075" s="466" t="s">
        <v>672</v>
      </c>
      <c r="H1075" s="343">
        <v>2.2999999999999998</v>
      </c>
      <c r="I1075" s="466" t="s">
        <v>673</v>
      </c>
      <c r="J1075" s="467">
        <v>1</v>
      </c>
      <c r="K1075" s="468">
        <v>2022</v>
      </c>
      <c r="L1075" s="343" t="s">
        <v>3581</v>
      </c>
      <c r="M1075" s="469" t="s">
        <v>2833</v>
      </c>
      <c r="N1075" s="342"/>
      <c r="O1075" s="343"/>
      <c r="P1075" s="470" t="s">
        <v>676</v>
      </c>
      <c r="Q1075" s="471"/>
      <c r="R1075" s="472"/>
      <c r="S1075" s="417"/>
      <c r="T1075" s="473"/>
      <c r="U1075" s="417"/>
      <c r="V1075" s="417"/>
      <c r="W1075" s="417"/>
      <c r="X1075" s="474"/>
      <c r="Y1075" s="474"/>
      <c r="Z1075" s="475"/>
      <c r="AA1075" s="476"/>
      <c r="AB1075" s="476"/>
      <c r="AC1075" s="476"/>
      <c r="AD1075" s="406" t="b">
        <f>IF(ISBLANK(GroupMember[[#This Row],[1. Identifiant interne d’exploitation agricole*]]),"",IF(ISERROR(MATCH(GroupMember[[#This Row],[1. Identifiant interne d’exploitation agricole*]],CertifiedCrop[1. Identifiant interne d’exploitation agricole*],0)),FALSE,TRUE))</f>
        <v>1</v>
      </c>
      <c r="AE1075" s="406" t="b">
        <f>IF(ISBLANK(GroupMember[[#This Row],[1. Identifiant interne d’exploitation agricole*]]),"",IF(ISERROR(MATCH(GroupMember[[#This Row],[1. Identifiant interne d’exploitation agricole*]],FarmUnit[1. Identifiant interne d’exploitation agricole*],0)),FALSE,TRUE))</f>
        <v>1</v>
      </c>
      <c r="AF1075" s="409" t="str">
        <f t="shared" si="66"/>
        <v>YAO MARIUS KOUADIO</v>
      </c>
      <c r="AG1075" s="477" t="str">
        <f t="shared" si="67"/>
        <v>//</v>
      </c>
      <c r="AH1075" s="478">
        <f>COUNTIFS(Z:Z,Z1075,AG:AG,AG1075)</f>
        <v>0</v>
      </c>
      <c r="AI1075" s="479">
        <f t="shared" si="68"/>
        <v>0</v>
      </c>
    </row>
    <row r="1076" spans="1:35" ht="15" x14ac:dyDescent="0.2">
      <c r="A1076" s="415" t="s">
        <v>3648</v>
      </c>
      <c r="B1076" s="146" t="s">
        <v>668</v>
      </c>
      <c r="C1076" s="415" t="s">
        <v>3648</v>
      </c>
      <c r="D1076" s="415" t="s">
        <v>669</v>
      </c>
      <c r="E1076" s="146" t="s">
        <v>670</v>
      </c>
      <c r="F1076" s="146" t="s">
        <v>671</v>
      </c>
      <c r="G1076" s="146" t="s">
        <v>672</v>
      </c>
      <c r="H1076" s="188">
        <v>2.2000000000000002</v>
      </c>
      <c r="I1076" s="146" t="s">
        <v>673</v>
      </c>
      <c r="J1076" s="419">
        <v>1</v>
      </c>
      <c r="K1076" s="420">
        <v>2022</v>
      </c>
      <c r="L1076" s="188" t="s">
        <v>3582</v>
      </c>
      <c r="M1076" s="421" t="s">
        <v>1502</v>
      </c>
      <c r="N1076" s="329"/>
      <c r="O1076" s="188"/>
      <c r="P1076" s="423" t="s">
        <v>676</v>
      </c>
      <c r="Q1076" s="424"/>
      <c r="R1076" s="425"/>
      <c r="S1076" s="305"/>
      <c r="T1076" s="426"/>
      <c r="U1076" s="305"/>
      <c r="V1076" s="305"/>
      <c r="W1076" s="305"/>
      <c r="X1076" s="418"/>
      <c r="Y1076" s="418"/>
      <c r="Z1076" s="427"/>
      <c r="AA1076" s="428"/>
      <c r="AB1076" s="428"/>
      <c r="AC1076" s="428"/>
      <c r="AD1076" s="398" t="b">
        <f>IF(ISBLANK(GroupMember[[#This Row],[1. Identifiant interne d’exploitation agricole*]]),"",IF(ISERROR(MATCH(GroupMember[[#This Row],[1. Identifiant interne d’exploitation agricole*]],CertifiedCrop[1. Identifiant interne d’exploitation agricole*],0)),FALSE,TRUE))</f>
        <v>1</v>
      </c>
      <c r="AE1076" s="398" t="b">
        <f>IF(ISBLANK(GroupMember[[#This Row],[1. Identifiant interne d’exploitation agricole*]]),"",IF(ISERROR(MATCH(GroupMember[[#This Row],[1. Identifiant interne d’exploitation agricole*]],FarmUnit[1. Identifiant interne d’exploitation agricole*],0)),FALSE,TRUE))</f>
        <v>1</v>
      </c>
      <c r="AF1076" s="373" t="str">
        <f t="shared" si="66"/>
        <v>KOUAME MARUIS KOUAME</v>
      </c>
      <c r="AG1076" s="429" t="str">
        <f t="shared" si="67"/>
        <v>//</v>
      </c>
      <c r="AH1076" s="430">
        <f>COUNTIFS(Z:Z,Z1076,AG:AG,AG1076)</f>
        <v>0</v>
      </c>
      <c r="AI1076" s="431">
        <f t="shared" si="68"/>
        <v>0</v>
      </c>
    </row>
    <row r="1077" spans="1:35" s="372" customFormat="1" ht="15" x14ac:dyDescent="0.2">
      <c r="A1077" s="465" t="s">
        <v>3649</v>
      </c>
      <c r="B1077" s="466" t="s">
        <v>668</v>
      </c>
      <c r="C1077" s="465" t="s">
        <v>3649</v>
      </c>
      <c r="D1077" s="465" t="s">
        <v>669</v>
      </c>
      <c r="E1077" s="466" t="s">
        <v>670</v>
      </c>
      <c r="F1077" s="466" t="s">
        <v>671</v>
      </c>
      <c r="G1077" s="466" t="s">
        <v>672</v>
      </c>
      <c r="H1077" s="343">
        <v>9.5</v>
      </c>
      <c r="I1077" s="466" t="s">
        <v>673</v>
      </c>
      <c r="J1077" s="467">
        <v>2</v>
      </c>
      <c r="K1077" s="468">
        <v>2022</v>
      </c>
      <c r="L1077" s="343" t="s">
        <v>3583</v>
      </c>
      <c r="M1077" s="469" t="s">
        <v>707</v>
      </c>
      <c r="N1077" s="342"/>
      <c r="O1077" s="343"/>
      <c r="P1077" s="470" t="s">
        <v>676</v>
      </c>
      <c r="Q1077" s="471"/>
      <c r="R1077" s="472"/>
      <c r="S1077" s="417"/>
      <c r="T1077" s="473"/>
      <c r="U1077" s="417"/>
      <c r="V1077" s="417"/>
      <c r="W1077" s="417"/>
      <c r="X1077" s="474"/>
      <c r="Y1077" s="474"/>
      <c r="Z1077" s="475"/>
      <c r="AA1077" s="476"/>
      <c r="AB1077" s="476"/>
      <c r="AC1077" s="476"/>
      <c r="AD1077" s="406" t="b">
        <f>IF(ISBLANK(GroupMember[[#This Row],[1. Identifiant interne d’exploitation agricole*]]),"",IF(ISERROR(MATCH(GroupMember[[#This Row],[1. Identifiant interne d’exploitation agricole*]],CertifiedCrop[1. Identifiant interne d’exploitation agricole*],0)),FALSE,TRUE))</f>
        <v>1</v>
      </c>
      <c r="AE1077" s="406" t="b">
        <f>IF(ISBLANK(GroupMember[[#This Row],[1. Identifiant interne d’exploitation agricole*]]),"",IF(ISERROR(MATCH(GroupMember[[#This Row],[1. Identifiant interne d’exploitation agricole*]],FarmUnit[1. Identifiant interne d’exploitation agricole*],0)),FALSE,TRUE))</f>
        <v>1</v>
      </c>
      <c r="AF1077" s="409" t="str">
        <f t="shared" si="66"/>
        <v>SAYOUBA OUEDRAOGO</v>
      </c>
      <c r="AG1077" s="477" t="str">
        <f t="shared" si="67"/>
        <v>//</v>
      </c>
      <c r="AH1077" s="478">
        <f>COUNTIFS(Z:Z,Z1077,AG:AG,AG1077)</f>
        <v>0</v>
      </c>
      <c r="AI1077" s="479">
        <f t="shared" si="68"/>
        <v>0</v>
      </c>
    </row>
    <row r="1078" spans="1:35" ht="15" x14ac:dyDescent="0.2">
      <c r="A1078" s="415" t="s">
        <v>3650</v>
      </c>
      <c r="B1078" s="146" t="s">
        <v>668</v>
      </c>
      <c r="C1078" s="415" t="s">
        <v>3650</v>
      </c>
      <c r="D1078" s="415" t="s">
        <v>669</v>
      </c>
      <c r="E1078" s="146" t="s">
        <v>670</v>
      </c>
      <c r="F1078" s="146" t="s">
        <v>671</v>
      </c>
      <c r="G1078" s="146" t="s">
        <v>672</v>
      </c>
      <c r="H1078" s="188">
        <v>15.4</v>
      </c>
      <c r="I1078" s="146" t="s">
        <v>673</v>
      </c>
      <c r="J1078" s="419">
        <v>1</v>
      </c>
      <c r="K1078" s="420">
        <v>2022</v>
      </c>
      <c r="L1078" s="188" t="s">
        <v>1363</v>
      </c>
      <c r="M1078" s="421" t="s">
        <v>715</v>
      </c>
      <c r="N1078" s="329"/>
      <c r="O1078" s="188"/>
      <c r="P1078" s="423" t="s">
        <v>676</v>
      </c>
      <c r="Q1078" s="424"/>
      <c r="R1078" s="425"/>
      <c r="S1078" s="305"/>
      <c r="T1078" s="426"/>
      <c r="U1078" s="305"/>
      <c r="V1078" s="305"/>
      <c r="W1078" s="305"/>
      <c r="X1078" s="418"/>
      <c r="Y1078" s="418"/>
      <c r="Z1078" s="427"/>
      <c r="AA1078" s="428"/>
      <c r="AB1078" s="428"/>
      <c r="AC1078" s="428"/>
      <c r="AD1078" s="398" t="b">
        <f>IF(ISBLANK(GroupMember[[#This Row],[1. Identifiant interne d’exploitation agricole*]]),"",IF(ISERROR(MATCH(GroupMember[[#This Row],[1. Identifiant interne d’exploitation agricole*]],CertifiedCrop[1. Identifiant interne d’exploitation agricole*],0)),FALSE,TRUE))</f>
        <v>1</v>
      </c>
      <c r="AE1078" s="398" t="b">
        <f>IF(ISBLANK(GroupMember[[#This Row],[1. Identifiant interne d’exploitation agricole*]]),"",IF(ISERROR(MATCH(GroupMember[[#This Row],[1. Identifiant interne d’exploitation agricole*]],FarmUnit[1. Identifiant interne d’exploitation agricole*],0)),FALSE,TRUE))</f>
        <v>1</v>
      </c>
      <c r="AF1078" s="373" t="str">
        <f t="shared" si="66"/>
        <v>OUMAROU TRAORE</v>
      </c>
      <c r="AG1078" s="429" t="str">
        <f t="shared" si="67"/>
        <v>//</v>
      </c>
      <c r="AH1078" s="430">
        <f>COUNTIFS(Z:Z,Z1078,AG:AG,AG1078)</f>
        <v>0</v>
      </c>
      <c r="AI1078" s="431">
        <f t="shared" si="68"/>
        <v>0</v>
      </c>
    </row>
    <row r="1079" spans="1:35" s="372" customFormat="1" ht="15" x14ac:dyDescent="0.2">
      <c r="A1079" s="465" t="s">
        <v>3651</v>
      </c>
      <c r="B1079" s="466" t="s">
        <v>668</v>
      </c>
      <c r="C1079" s="465" t="s">
        <v>3651</v>
      </c>
      <c r="D1079" s="465" t="s">
        <v>669</v>
      </c>
      <c r="E1079" s="466" t="s">
        <v>670</v>
      </c>
      <c r="F1079" s="466" t="s">
        <v>671</v>
      </c>
      <c r="G1079" s="466" t="s">
        <v>672</v>
      </c>
      <c r="H1079" s="343">
        <v>2.1</v>
      </c>
      <c r="I1079" s="466" t="s">
        <v>673</v>
      </c>
      <c r="J1079" s="467">
        <v>1</v>
      </c>
      <c r="K1079" s="468">
        <v>2022</v>
      </c>
      <c r="L1079" s="343" t="s">
        <v>753</v>
      </c>
      <c r="M1079" s="469" t="s">
        <v>3546</v>
      </c>
      <c r="N1079" s="342"/>
      <c r="O1079" s="343"/>
      <c r="P1079" s="470" t="s">
        <v>676</v>
      </c>
      <c r="Q1079" s="471"/>
      <c r="R1079" s="472"/>
      <c r="S1079" s="417"/>
      <c r="T1079" s="473"/>
      <c r="U1079" s="417"/>
      <c r="V1079" s="417"/>
      <c r="W1079" s="417"/>
      <c r="X1079" s="474"/>
      <c r="Y1079" s="474"/>
      <c r="Z1079" s="475"/>
      <c r="AA1079" s="476"/>
      <c r="AB1079" s="476"/>
      <c r="AC1079" s="476"/>
      <c r="AD1079" s="406" t="b">
        <f>IF(ISBLANK(GroupMember[[#This Row],[1. Identifiant interne d’exploitation agricole*]]),"",IF(ISERROR(MATCH(GroupMember[[#This Row],[1. Identifiant interne d’exploitation agricole*]],CertifiedCrop[1. Identifiant interne d’exploitation agricole*],0)),FALSE,TRUE))</f>
        <v>1</v>
      </c>
      <c r="AE1079" s="406" t="b">
        <f>IF(ISBLANK(GroupMember[[#This Row],[1. Identifiant interne d’exploitation agricole*]]),"",IF(ISERROR(MATCH(GroupMember[[#This Row],[1. Identifiant interne d’exploitation agricole*]],FarmUnit[1. Identifiant interne d’exploitation agricole*],0)),FALSE,TRUE))</f>
        <v>1</v>
      </c>
      <c r="AF1079" s="409" t="str">
        <f t="shared" si="66"/>
        <v>ADAMA SOUMAHORO</v>
      </c>
      <c r="AG1079" s="477" t="str">
        <f t="shared" si="67"/>
        <v>//</v>
      </c>
      <c r="AH1079" s="478">
        <f>COUNTIFS(Z:Z,Z1079,AG:AG,AG1079)</f>
        <v>0</v>
      </c>
      <c r="AI1079" s="479">
        <f t="shared" si="68"/>
        <v>0</v>
      </c>
    </row>
    <row r="1080" spans="1:35" ht="15" x14ac:dyDescent="0.2">
      <c r="A1080" s="415" t="s">
        <v>3652</v>
      </c>
      <c r="B1080" s="146" t="s">
        <v>668</v>
      </c>
      <c r="C1080" s="415" t="s">
        <v>3652</v>
      </c>
      <c r="D1080" s="415" t="s">
        <v>669</v>
      </c>
      <c r="E1080" s="146" t="s">
        <v>670</v>
      </c>
      <c r="F1080" s="146" t="s">
        <v>671</v>
      </c>
      <c r="G1080" s="146" t="s">
        <v>672</v>
      </c>
      <c r="H1080" s="188">
        <v>1.3</v>
      </c>
      <c r="I1080" s="146" t="s">
        <v>673</v>
      </c>
      <c r="J1080" s="419">
        <v>1</v>
      </c>
      <c r="K1080" s="420">
        <v>2022</v>
      </c>
      <c r="L1080" s="188" t="s">
        <v>3584</v>
      </c>
      <c r="M1080" s="421" t="s">
        <v>3551</v>
      </c>
      <c r="N1080" s="329"/>
      <c r="O1080" s="188"/>
      <c r="P1080" s="423" t="s">
        <v>676</v>
      </c>
      <c r="Q1080" s="424"/>
      <c r="R1080" s="425"/>
      <c r="S1080" s="305"/>
      <c r="T1080" s="426"/>
      <c r="U1080" s="305"/>
      <c r="V1080" s="305"/>
      <c r="W1080" s="305"/>
      <c r="X1080" s="418"/>
      <c r="Y1080" s="418"/>
      <c r="Z1080" s="427"/>
      <c r="AA1080" s="428"/>
      <c r="AB1080" s="428"/>
      <c r="AC1080" s="428"/>
      <c r="AD1080" s="398" t="b">
        <f>IF(ISBLANK(GroupMember[[#This Row],[1. Identifiant interne d’exploitation agricole*]]),"",IF(ISERROR(MATCH(GroupMember[[#This Row],[1. Identifiant interne d’exploitation agricole*]],CertifiedCrop[1. Identifiant interne d’exploitation agricole*],0)),FALSE,TRUE))</f>
        <v>1</v>
      </c>
      <c r="AE1080" s="398" t="b">
        <f>IF(ISBLANK(GroupMember[[#This Row],[1. Identifiant interne d’exploitation agricole*]]),"",IF(ISERROR(MATCH(GroupMember[[#This Row],[1. Identifiant interne d’exploitation agricole*]],FarmUnit[1. Identifiant interne d’exploitation agricole*],0)),FALSE,TRUE))</f>
        <v>1</v>
      </c>
      <c r="AF1080" s="373" t="str">
        <f t="shared" si="66"/>
        <v>LADI TOGOLA</v>
      </c>
      <c r="AG1080" s="429" t="str">
        <f t="shared" si="67"/>
        <v>//</v>
      </c>
      <c r="AH1080" s="430">
        <f>COUNTIFS(Z:Z,Z1080,AG:AG,AG1080)</f>
        <v>0</v>
      </c>
      <c r="AI1080" s="431">
        <f t="shared" si="68"/>
        <v>0</v>
      </c>
    </row>
    <row r="1081" spans="1:35" s="372" customFormat="1" ht="15" x14ac:dyDescent="0.2">
      <c r="A1081" s="480" t="s">
        <v>3653</v>
      </c>
      <c r="B1081" s="466" t="s">
        <v>668</v>
      </c>
      <c r="C1081" s="480" t="s">
        <v>3653</v>
      </c>
      <c r="D1081" s="465" t="s">
        <v>669</v>
      </c>
      <c r="E1081" s="466" t="s">
        <v>670</v>
      </c>
      <c r="F1081" s="466" t="s">
        <v>671</v>
      </c>
      <c r="G1081" s="466" t="s">
        <v>672</v>
      </c>
      <c r="H1081" s="343">
        <v>2.2999999999999998</v>
      </c>
      <c r="I1081" s="466" t="s">
        <v>673</v>
      </c>
      <c r="J1081" s="467">
        <v>1</v>
      </c>
      <c r="K1081" s="468">
        <v>2022</v>
      </c>
      <c r="L1081" s="343" t="s">
        <v>3585</v>
      </c>
      <c r="M1081" s="481" t="s">
        <v>3552</v>
      </c>
      <c r="N1081" s="342"/>
      <c r="O1081" s="343"/>
      <c r="P1081" s="470" t="s">
        <v>676</v>
      </c>
      <c r="Q1081" s="482"/>
      <c r="R1081" s="483"/>
      <c r="S1081" s="484"/>
      <c r="T1081" s="485"/>
      <c r="U1081" s="484"/>
      <c r="V1081" s="484"/>
      <c r="W1081" s="484"/>
      <c r="X1081" s="486"/>
      <c r="Y1081" s="486"/>
      <c r="Z1081" s="487"/>
      <c r="AA1081" s="488"/>
      <c r="AB1081" s="488"/>
      <c r="AC1081" s="488"/>
      <c r="AD1081" s="489" t="b">
        <f>IF(ISBLANK(GroupMember[[#This Row],[1. Identifiant interne d’exploitation agricole*]]),"",IF(ISERROR(MATCH(GroupMember[[#This Row],[1. Identifiant interne d’exploitation agricole*]],CertifiedCrop[1. Identifiant interne d’exploitation agricole*],0)),FALSE,TRUE))</f>
        <v>1</v>
      </c>
      <c r="AE1081" s="489" t="b">
        <f>IF(ISBLANK(GroupMember[[#This Row],[1. Identifiant interne d’exploitation agricole*]]),"",IF(ISERROR(MATCH(GroupMember[[#This Row],[1. Identifiant interne d’exploitation agricole*]],FarmUnit[1. Identifiant interne d’exploitation agricole*],0)),FALSE,TRUE))</f>
        <v>1</v>
      </c>
      <c r="AF1081" s="490" t="str">
        <f t="shared" si="66"/>
        <v>HONORE TOPKA</v>
      </c>
      <c r="AG1081" s="491" t="str">
        <f t="shared" si="67"/>
        <v>//</v>
      </c>
      <c r="AH1081" s="492">
        <f>COUNTIFS(Z:Z,Z1081,AG:AG,AG1081)</f>
        <v>0</v>
      </c>
      <c r="AI1081" s="493">
        <f t="shared" si="68"/>
        <v>0</v>
      </c>
    </row>
  </sheetData>
  <sheetProtection insertRows="0" deleteRows="0"/>
  <protectedRanges>
    <protectedRange sqref="A3:A22 C3:C22" name="AllowUserToFilter_1"/>
    <protectedRange sqref="O3:O22" name="AllowUserToFilter_5"/>
    <protectedRange sqref="M3:M22" name="AllowUserToFilter_9"/>
    <protectedRange sqref="L3:L22" name="AllowUserToFilter_7"/>
    <protectedRange sqref="P3:P23" name="AllowUserToFilter_1_1"/>
    <protectedRange sqref="Q3:Q22" name="AllowUserToFilter_3_1"/>
    <protectedRange sqref="N3:N22" name="AllowUserToFilter_3"/>
    <protectedRange sqref="K3:K1000" name="AllowUserToFilter_10"/>
    <protectedRange sqref="D3:D33" name="AllowUserToFilter_2"/>
    <protectedRange sqref="A23 C23" name="AllowUserToFilter_4"/>
    <protectedRange sqref="L23:M23" name="AllowUserToFilter_9_1"/>
    <protectedRange sqref="N23" name="AllowUserToFilter_3_2"/>
    <protectedRange sqref="Q23" name="AllowUserToFilter_3_1_1"/>
    <protectedRange sqref="A24 C24" name="AllowUserToFilter_6"/>
    <protectedRange sqref="L24:M24" name="AllowUserToFilter_7_2"/>
    <protectedRange sqref="P24:P25" name="AllowUserToFilter_1_2"/>
    <protectedRange sqref="A25 C25" name="AllowUserToFilter_8"/>
    <protectedRange sqref="L25" name="AllowUserToFilter_7_3"/>
    <protectedRange sqref="M25" name="AllowUserToFilter_9_3"/>
    <protectedRange sqref="A26 C26" name="AllowUserToFilter_11"/>
    <protectedRange sqref="L26" name="AllowUserToFilter_7_4"/>
    <protectedRange sqref="M26" name="AllowUserToFilter_9_4"/>
    <protectedRange sqref="P26:P28" name="AllowUserToFilter_1_3"/>
    <protectedRange sqref="A27:A28 C27:C28" name="AllowUserToFilter_12"/>
    <protectedRange sqref="L27" name="AllowUserToFilter_7_5"/>
    <protectedRange sqref="M27" name="AllowUserToFilter_9_5"/>
    <protectedRange sqref="L28" name="AllowUserToFilter_7_6"/>
    <protectedRange sqref="M28" name="AllowUserToFilter_9_6"/>
    <protectedRange sqref="N28" name="AllowUserToFilter_3_3"/>
    <protectedRange sqref="Q28" name="AllowUserToFilter_3_1_2"/>
    <protectedRange sqref="A29:A32 C29:C32" name="AllowUserToFilter"/>
    <protectedRange sqref="M29:M32" name="AllowUserToFilter_9_2"/>
    <protectedRange sqref="L29:L32" name="AllowUserToFilter_7_1"/>
    <protectedRange sqref="N29:N32" name="AllowUserToFilter_3_4"/>
    <protectedRange sqref="Q29:Q32" name="AllowUserToFilter_3_1_3"/>
    <protectedRange sqref="P29:P32" name="AllowUserToFilter_1_4"/>
    <protectedRange sqref="A33 C33" name="AllowUserToFilter_13"/>
    <protectedRange sqref="L33" name="AllowUserToFilter_7_7"/>
    <protectedRange sqref="M33" name="AllowUserToFilter_9_7"/>
    <protectedRange sqref="N33" name="AllowUserToFilter_3_5"/>
    <protectedRange sqref="P33" name="AllowUserToFilter_1_5"/>
    <protectedRange sqref="A34:A65 C34:C65" name="AllowUserToFilter_14"/>
    <protectedRange sqref="D34:D66" name="AllowUserToFilter_2_1"/>
    <protectedRange sqref="L34:L65" name="AllowUserToFilter_7_8"/>
    <protectedRange sqref="M34:M65" name="AllowUserToFilter_9_8"/>
    <protectedRange sqref="N34:N65" name="AllowUserToFilter_3_6"/>
    <protectedRange sqref="P34:P66" name="AllowUserToFilter_1_6"/>
    <protectedRange sqref="Q34:Q65" name="AllowUserToFilter_3_1_4"/>
    <protectedRange sqref="A66 C66" name="AllowUserToFilter_15"/>
    <protectedRange sqref="L66" name="AllowUserToFilter_7_9"/>
    <protectedRange sqref="M66" name="AllowUserToFilter_9_9"/>
    <protectedRange sqref="A67:A73 C67:C73" name="AllowUserToFilter_16"/>
    <protectedRange sqref="D67:D74" name="AllowUserToFilter_2_2"/>
    <protectedRange sqref="L67:L73" name="AllowUserToFilter_7_10"/>
    <protectedRange sqref="M67:M73" name="AllowUserToFilter_9_10"/>
    <protectedRange sqref="N67:N73" name="AllowUserToFilter_3_7"/>
    <protectedRange sqref="P67:P75" name="AllowUserToFilter_1_7"/>
    <protectedRange sqref="Q67:Q73" name="AllowUserToFilter_3_1_5"/>
    <protectedRange sqref="A74 C74" name="AllowUserToFilter_14_1"/>
    <protectedRange sqref="L74" name="AllowUserToFilter_7_11"/>
    <protectedRange sqref="M74" name="AllowUserToFilter_9_11"/>
    <protectedRange sqref="Q74" name="AllowUserToFilter_3_1_6"/>
    <protectedRange sqref="O23:O46 O49:O73" name="AllowUserToFilter_5_1"/>
    <protectedRange sqref="A75 C75" name="AllowUserToFilter_17"/>
    <protectedRange sqref="L75" name="AllowUserToFilter_7_12"/>
    <protectedRange sqref="M75" name="AllowUserToFilter_9_12"/>
    <protectedRange sqref="N75" name="AllowUserToFilter_3_8"/>
    <protectedRange sqref="Q75" name="AllowUserToFilter_3_1_7"/>
    <protectedRange sqref="A76:A688 C76:C688" name="AllowUserToFilter_18"/>
    <protectedRange sqref="D75:D684" name="AllowUserToFilter_2_3"/>
    <protectedRange sqref="L76:L685" name="AllowUserToFilter_7_13"/>
    <protectedRange sqref="M76:M685" name="AllowUserToFilter_9_13"/>
    <protectedRange sqref="N488:N685 N76:N486" name="AllowUserToFilter_3_9"/>
    <protectedRange sqref="N487" name="AllowUserToFilter_11_1"/>
    <protectedRange sqref="O76:O118 O615:O685 O612 O605:O610 O294:O500 O125:O136 O138:O144 O146:O149 O153:O172 O186:O219 O224:O291 O521:O603" name="AllowUserToFilter_5_2"/>
    <protectedRange sqref="P76:P685" name="AllowUserToFilter_1_8"/>
    <protectedRange sqref="Q637:Q685 Q827" name="AllowUserToFilter_4_1"/>
    <protectedRange sqref="Q76:Q501 Q503:Q510 Q513:Q636" name="AllowUserToFilter_3_1_8"/>
  </protectedRanges>
  <mergeCells count="5">
    <mergeCell ref="B1:K1"/>
    <mergeCell ref="X1:Y1"/>
    <mergeCell ref="S1:W1"/>
    <mergeCell ref="L1:R1"/>
    <mergeCell ref="Z1:AC1"/>
  </mergeCells>
  <conditionalFormatting sqref="AD3:AE1081">
    <cfRule type="containsText" dxfId="109" priority="6" operator="containsText" text="FALSE">
      <formula>NOT(ISERROR(SEARCH("FALSE",AD3)))</formula>
    </cfRule>
  </conditionalFormatting>
  <conditionalFormatting sqref="N1:N1048576">
    <cfRule type="duplicateValues" dxfId="108" priority="5"/>
  </conditionalFormatting>
  <conditionalFormatting sqref="O1:O762 O764:O1048576">
    <cfRule type="duplicateValues" dxfId="107" priority="3"/>
    <cfRule type="duplicateValues" dxfId="106" priority="4"/>
  </conditionalFormatting>
  <dataValidations xWindow="1076" yWindow="497" count="33">
    <dataValidation allowBlank="1" showInputMessage="1" showErrorMessage="1" promptTitle="This should not be higher than 6" prompt="The same internal inspector shall not inspect more than 6 farms per day. _x000a__x000a_Please see Farm Requirements 1.4.2" sqref="AH2" xr:uid="{00000000-0002-0000-0100-000000000000}"/>
    <dataValidation allowBlank="1" showInputMessage="1" showErrorMessage="1" promptTitle="Farm operator name and last name" prompt="Grey means names are empty. Yellow means two or more of the same. _x000a__x000a_The same group member should not repeat. All the farms of the same farm operator/group member should be in one line. _x000a__x000a_You can describe the different crops and farm units in tabs 2 and 3." sqref="AF2" xr:uid="{00000000-0002-0000-0100-000001000000}"/>
    <dataValidation allowBlank="1" showInputMessage="1" showErrorMessage="1" promptTitle="Is a worker list required?" prompt="Farm Req 1.2.5: worker list if 5 or more full-time workers &amp; for all large farms._x000a_Yellow means more than 4.5 workers, assuming temp workers work 1 month/year, permanent =12 m/y._x000a_Please check actual worker time if yellow. You may use the Workers tab." sqref="AI2" xr:uid="{00000000-0002-0000-0100-000002000000}"/>
    <dataValidation allowBlank="1" showInputMessage="1" showErrorMessage="1" promptTitle="Mandatory Information" prompt="This should be unique for each Group Member._x000a__x000a_Repeated IDs may generate errors uploading the file._x000a_This must be the same ID you use in your internal documents &amp; management system. It could be the same as the national ID if that is what you use internally." sqref="A2" xr:uid="{00000000-0002-0000-0100-000003000000}"/>
    <dataValidation allowBlank="1" showInputMessage="1" showErrorMessage="1" promptTitle="Mandatory if available" prompt="If the farm has a National Farm ID, present this information as a mandatory requirement. _x000a__x000a_Obligatory for every group member in Brazil and Turkey as real example._x000a__x000a_" sqref="B2" xr:uid="{00000000-0002-0000-0100-000004000000}"/>
    <dataValidation allowBlank="1" showInputMessage="1" showErrorMessage="1" promptTitle="Definition in Glossary" prompt="Indicate if the farm is _x000a_- Large farm or _x000a_- Small farm_x000a__x000a_For definition of Small Farm: please check Annex 1. Glossary." sqref="I2" xr:uid="{00000000-0002-0000-0100-000005000000}"/>
    <dataValidation allowBlank="1" showInputMessage="1" showErrorMessage="1" promptTitle="RA 2020 Certification" prompt="Please add the year when this Group Member joined the group for the RA 2020 Certification Program (earliest 2021)." sqref="K2" xr:uid="{00000000-0002-0000-0100-000006000000}"/>
    <dataValidation allowBlank="1" showInputMessage="1" showErrorMessage="1" promptTitle="Mandatory if available" prompt="If National ID (in this case, Farmer Operator ID) is available, please present it here._x000a__x000a_It should not be bigger than 50 characteres (including spaces)." sqref="O2" xr:uid="{00000000-0002-0000-0100-000007000000}"/>
    <dataValidation allowBlank="1" showInputMessage="1" showErrorMessage="1" promptTitle="National ID" prompt="If National ID (in this case, Farm Owner ID) is available, please present it here._x000a__x000a_It should not be bigger than 50 characteres (including spaces)." sqref="V2" xr:uid="{00000000-0002-0000-0100-000008000000}"/>
    <dataValidation allowBlank="1" showInputMessage="1" showErrorMessage="1" promptTitle="Permanent Workers" prompt="Make sure to present only entire numbers. Use data format as &quot;Number&quot;_x000a__x000a_Do not present decimals (exemple: 0,5)." sqref="X2" xr:uid="{00000000-0002-0000-0100-000009000000}"/>
    <dataValidation allowBlank="1" showInputMessage="1" showErrorMessage="1" promptTitle="Temporary Workers" prompt="Make sure to present only entire numbers. Use data format as &quot;Number&quot;_x000a__x000a_Do not present decimals (exemple: 0,5)." sqref="Y2" xr:uid="{00000000-0002-0000-0100-00000A000000}"/>
    <dataValidation allowBlank="1" showInputMessage="1" showErrorMessage="1" promptTitle="Full Name" prompt="Please, make sure you present the Internal Inspector's full name and spell it the same way every time." sqref="Z2" xr:uid="{00000000-0002-0000-0100-00000B000000}"/>
    <dataValidation allowBlank="1" showInputMessage="1" showErrorMessage="1" promptTitle="Month" prompt="Please put a number between 1 and 12" sqref="AB2" xr:uid="{00000000-0002-0000-0100-00000C000000}"/>
    <dataValidation allowBlank="1" showInputMessage="1" showErrorMessage="1" promptTitle="Day" prompt="Please put a number between 1 and 31" sqref="AC2" xr:uid="{00000000-0002-0000-0100-00000D000000}"/>
    <dataValidation allowBlank="1" showInputMessage="1" showErrorMessage="1" promptTitle="Total farm area" prompt="All of the farm, includingpastures, protected areas and crops that are not certified" sqref="H2" xr:uid="{00000000-0002-0000-0100-00000E000000}"/>
    <dataValidation allowBlank="1" showInputMessage="1" showErrorMessage="1" promptTitle="Mandatory Information" prompt="Please present here an ID that is used in your internal documentation to identify the farm._x000a__x000a_This number should be unique for each farm. It may be the same as the group member ID, if that is what you use internally._x000a_" sqref="C2" xr:uid="{00000000-0002-0000-0100-00000F000000}"/>
    <dataValidation allowBlank="1" showInputMessage="1" showErrorMessage="1" promptTitle="Mandatory Information" prompt="Please indicate the village closest to the farm" sqref="D2" xr:uid="{00000000-0002-0000-0100-000010000000}"/>
    <dataValidation allowBlank="1" showInputMessage="1" showErrorMessage="1" promptTitle="Mandatory Information" prompt="The number of farm units should include all farm units, including pastures, protected areas, and farm units with non-certified crops." sqref="J2" xr:uid="{00000000-0002-0000-0100-000011000000}"/>
    <dataValidation allowBlank="1" showInputMessage="1" showErrorMessage="1" promptTitle="Who is the Farm Operator?" prompt="It is the person responsible to carry out certification and agricultural activities in the farm, who is involved on the daily tasks of the farm._x000a__x000a_Also considered the Certification Responsible. " sqref="L1:R1" xr:uid="{00000000-0002-0000-0100-000012000000}"/>
    <dataValidation allowBlank="1" showInputMessage="1" showErrorMessage="1" promptTitle="Who is the Farm Owner" prompt="It is the person that owns the land and is the legal responsible for the farm. _x000a_Please only fill in if different from the farm operator/group member._x000a_If the same, you can leave it blank._x000a_" sqref="S1:W1" xr:uid="{00000000-0002-0000-0100-000013000000}"/>
    <dataValidation allowBlank="1" showInputMessage="1" showErrorMessage="1" promptTitle="Internal Inspection Date" prompt="Please check if the Internal Inspection date is correct._x000a_It should only contain numbers, no names of months._x000a__x000a_If not, please review columns AA, AB and AC. " sqref="AG2" xr:uid="{00000000-0002-0000-0100-000014000000}"/>
    <dataValidation allowBlank="1" showInputMessage="1" showErrorMessage="1" promptTitle="City closest to the farm" prompt="Please indicate the city closest to the farm, if applicable." sqref="E2" xr:uid="{00000000-0002-0000-0100-000015000000}"/>
    <dataValidation allowBlank="1" showInputMessage="1" showErrorMessage="1" promptTitle="Mandatory field" prompt="Please indicate the region/district/state/province of the country that the farm is located in. Please ensure the same spelling each time." sqref="F2" xr:uid="{00000000-0002-0000-0100-000016000000}"/>
    <dataValidation allowBlank="1" showInputMessage="1" showErrorMessage="1" prompt="If your group has defined internal inspection regions, or sub-groups, please indicate which group member falls into which region/sub-group." sqref="G2" xr:uid="{00000000-0002-0000-0100-000017000000}"/>
    <dataValidation allowBlank="1" showInputMessage="1" showErrorMessage="1" promptTitle="Mandatory if available" prompt="If the group member has a phone number, you must indicate it._x000a__x000a_You must add the information of the farm operator if is not the member who manage the farm." sqref="N2" xr:uid="{00000000-0002-0000-0100-000018000000}"/>
    <dataValidation allowBlank="1" showInputMessage="1" showErrorMessage="1" promptTitle="Mandatory value" prompt="e.g. 1984" sqref="Q2" xr:uid="{00000000-0002-0000-0100-000019000000}"/>
    <dataValidation allowBlank="1" showInputMessage="1" showErrorMessage="1" promptTitle="Mandatory value" prompt="Releated to family size. e.g. 5" sqref="R2" xr:uid="{00000000-0002-0000-0100-00001A000000}"/>
    <dataValidation allowBlank="1" showInputMessage="1" showErrorMessage="1" promptTitle="Mandatory value" prompt="e.g. male_x000a_e.g. female" sqref="P2 W2" xr:uid="{00000000-0002-0000-0100-00001B000000}"/>
    <dataValidation allowBlank="1" showInputMessage="1" showErrorMessage="1" promptTitle="No need to fill in" prompt="The information indicate here will be automatically presented. There is no need to fill in the colunms._x000a__x000a_You need to interpretate it was described below." sqref="AG1:AI1" xr:uid="{00000000-0002-0000-0100-00001C000000}"/>
    <dataValidation type="list" showInputMessage="1" showErrorMessage="1" errorTitle="Year" error="The year format is not valid." promptTitle="Year Birth" prompt="Please select a year from the list." sqref="Q686:Q757 Q887:Q901 Q903:Q930 Q759:Q764 Q766:Q767 Q769:Q826" xr:uid="{00000000-0002-0000-0100-00001D000000}">
      <formula1>BirthYear</formula1>
    </dataValidation>
    <dataValidation allowBlank="1" showInputMessage="1" showErrorMessage="1" promptTitle="Location" prompt="You should fill in at least one of the 3 fields:_x000a_- Village_x000a_- District/State/region_x000a_- City" sqref="D685:D826" xr:uid="{00000000-0002-0000-0100-00001E000000}"/>
    <dataValidation allowBlank="1" showInputMessage="1" showErrorMessage="1" promptTitle="Number of plots" prompt="For group members that joined the group this year, you can indicate 0. Otherwise, indicate the number of plots. " sqref="J11:J22 J3:J9 J29:J32 J34:J65 J67:J73 J75:J826" xr:uid="{00000000-0002-0000-0100-00001F000000}"/>
    <dataValidation type="list" showInputMessage="1" showErrorMessage="1" errorTitle="Invalid Gender" error="Please select a Gender from the provided list." promptTitle="Please select a Gender" prompt="Please select a Gender from the provided list." sqref="P11:P826 P3:P9" xr:uid="{00000000-0002-0000-0100-000020000000}">
      <formula1>Gender</formula1>
    </dataValidation>
  </dataValidations>
  <pageMargins left="0.7" right="0.7" top="0.75" bottom="0.75" header="0.3" footer="0.3"/>
  <pageSetup paperSize="9" scale="10" orientation="landscape"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94BA29"/>
  </sheetPr>
  <dimension ref="A1:X1081"/>
  <sheetViews>
    <sheetView zoomScale="85" zoomScaleNormal="85" workbookViewId="0">
      <pane xSplit="1" ySplit="2" topLeftCell="B1063" activePane="bottomRight" state="frozen"/>
      <selection pane="bottomLeft" activeCell="B4" sqref="B4"/>
      <selection pane="topRight" activeCell="B4" sqref="B4"/>
      <selection pane="bottomRight" activeCell="A3" sqref="A3:A1081"/>
    </sheetView>
  </sheetViews>
  <sheetFormatPr defaultColWidth="8.7421875" defaultRowHeight="12.75" x14ac:dyDescent="0.15"/>
  <cols>
    <col min="1" max="1" width="17.75390625" style="5" customWidth="1"/>
    <col min="2" max="2" width="16.54296875" style="5" customWidth="1"/>
    <col min="3" max="3" width="18.4296875" style="5" customWidth="1"/>
    <col min="4" max="4" width="16.6796875" style="7" customWidth="1"/>
    <col min="5" max="5" width="25.421875" style="5" customWidth="1"/>
    <col min="6" max="6" width="20.984375" style="5" customWidth="1"/>
    <col min="7" max="7" width="26.76953125" style="5" customWidth="1"/>
    <col min="8" max="8" width="25.69140625" style="5" customWidth="1"/>
    <col min="9" max="9" width="29.32421875" style="5" customWidth="1"/>
    <col min="10" max="10" width="19.7734375" style="3" customWidth="1"/>
    <col min="11" max="11" width="24.6171875" style="3" customWidth="1"/>
    <col min="12" max="12" width="21.25390625" style="3" customWidth="1"/>
    <col min="13" max="13" width="20.3125" style="3" customWidth="1"/>
    <col min="14" max="14" width="20.71484375" style="3" customWidth="1"/>
    <col min="15" max="15" width="16.27734375" style="3" customWidth="1"/>
    <col min="16" max="16" width="16.54296875" style="3" customWidth="1"/>
    <col min="17" max="17" width="12.64453125" style="3" customWidth="1"/>
    <col min="18" max="18" width="27.3046875" style="3" customWidth="1"/>
    <col min="19" max="24" width="8.7421875" style="5"/>
    <col min="25" max="16384" width="8.7421875" style="3"/>
  </cols>
  <sheetData>
    <row r="1" spans="1:24" s="71" customFormat="1" ht="21.6" customHeight="1" x14ac:dyDescent="0.2">
      <c r="A1" s="541" t="s">
        <v>151</v>
      </c>
      <c r="B1" s="541"/>
      <c r="C1" s="541"/>
      <c r="D1" s="541"/>
      <c r="E1" s="541"/>
      <c r="F1" s="541"/>
      <c r="G1" s="541"/>
      <c r="H1" s="541"/>
      <c r="I1" s="541"/>
      <c r="J1" s="69"/>
      <c r="K1" s="60" t="s">
        <v>139</v>
      </c>
      <c r="L1" s="60" t="s">
        <v>140</v>
      </c>
      <c r="M1" s="60" t="s">
        <v>141</v>
      </c>
      <c r="N1" s="69"/>
      <c r="O1" s="69"/>
      <c r="P1" s="69"/>
      <c r="Q1" s="69"/>
      <c r="R1" s="69"/>
      <c r="S1" s="70"/>
      <c r="T1" s="70"/>
      <c r="U1" s="70"/>
      <c r="V1" s="70"/>
      <c r="W1" s="70"/>
      <c r="X1" s="70"/>
    </row>
    <row r="2" spans="1:24" s="71" customFormat="1" ht="87.6" customHeight="1" x14ac:dyDescent="0.2">
      <c r="A2" s="63" t="s">
        <v>100</v>
      </c>
      <c r="B2" s="72" t="s">
        <v>143</v>
      </c>
      <c r="C2" s="72" t="s">
        <v>144</v>
      </c>
      <c r="D2" s="73" t="s">
        <v>145</v>
      </c>
      <c r="E2" s="133" t="s">
        <v>146</v>
      </c>
      <c r="F2" s="133" t="s">
        <v>147</v>
      </c>
      <c r="G2" s="134" t="s">
        <v>148</v>
      </c>
      <c r="H2" s="134" t="s">
        <v>149</v>
      </c>
      <c r="I2" s="134" t="s">
        <v>150</v>
      </c>
      <c r="J2" s="60" t="s">
        <v>152</v>
      </c>
      <c r="K2" s="60" t="s">
        <v>153</v>
      </c>
      <c r="L2" s="69" t="s">
        <v>154</v>
      </c>
      <c r="M2" s="69" t="s">
        <v>155</v>
      </c>
      <c r="N2" s="69" t="s">
        <v>156</v>
      </c>
      <c r="O2" s="69" t="s">
        <v>157</v>
      </c>
      <c r="P2" s="69" t="s">
        <v>158</v>
      </c>
      <c r="Q2" s="69" t="s">
        <v>159</v>
      </c>
      <c r="R2" s="69" t="s">
        <v>160</v>
      </c>
      <c r="S2" s="74" t="s">
        <v>161</v>
      </c>
      <c r="T2" s="70"/>
      <c r="U2" s="70"/>
      <c r="V2" s="70"/>
      <c r="W2" s="70"/>
      <c r="X2" s="70"/>
    </row>
    <row r="3" spans="1:24" ht="15" x14ac:dyDescent="0.2">
      <c r="A3" s="145" t="s">
        <v>667</v>
      </c>
      <c r="B3" s="9" t="s">
        <v>3290</v>
      </c>
      <c r="C3" s="9" t="s">
        <v>3291</v>
      </c>
      <c r="D3" s="244">
        <v>3</v>
      </c>
      <c r="E3" s="245">
        <v>1702</v>
      </c>
      <c r="F3" s="246">
        <v>1625</v>
      </c>
      <c r="G3" s="247">
        <v>1407</v>
      </c>
      <c r="H3" s="248">
        <v>1396</v>
      </c>
      <c r="I3" s="249">
        <v>1571</v>
      </c>
      <c r="J3" s="121" t="b">
        <f>IF(ISBLANK(CertifiedCrop[[#This Row],[1. Identifiant interne d’exploitation agricole*]]),"",IF(ISERROR(MATCH(CertifiedCrop[[#This Row],[1. Identifiant interne d’exploitation agricole*]],GroupMember[1. Identifiant interne d’exploitation agricole*],0)),FALSE,TRUE))</f>
        <v>1</v>
      </c>
      <c r="K3" s="121" t="b">
        <f t="array" ref="K3">IF(ISBLANK(CertifiedCrop[[#This Row],[2. Produit agricole certifié*]]),"",IF(ISERROR(MATCH(1,(#REF!=CertifiedCrop[[#This Row],[2. Produit agricole certifié*]])*(#REF!=CertifiedCrop[[#This Row],[3. Variété**]]),0)),FALSE,TRUE))</f>
        <v>0</v>
      </c>
      <c r="L3" s="20" t="str">
        <f t="shared" ref="L3:L50" si="0">IF((F3-G3)&lt;0,"!","")</f>
        <v/>
      </c>
      <c r="M3" s="54" t="str">
        <f t="shared" ref="M3:M50" si="1">IFERROR(IF((F3-G3)/G3&gt;25%,"!",IF((F3-G3)/G3&lt;-25%,"!","")),"")</f>
        <v/>
      </c>
      <c r="N3" s="54" t="str">
        <f t="shared" ref="N3:N50" si="2">IFERROR(IF((G3-H3)/H3&gt;25%,"!",IF((G3-H3)/H3&lt;-25%,"!","")),"")</f>
        <v/>
      </c>
      <c r="O3" s="55">
        <f t="shared" ref="O3:O50" si="3">IFERROR(E3/D3,"")</f>
        <v>567.33333333333337</v>
      </c>
      <c r="P3" s="55">
        <f t="shared" ref="P3:P50" si="4">IFERROR(F3/D3,"")</f>
        <v>541.66666666666663</v>
      </c>
      <c r="Q3" s="9" t="str">
        <f ca="1">IFERROR((VLOOKUP(A3,GM_Table,8,FALSE)-SUMIFS(D:D,A:A,A3,B:B,B3,C:C,C3)),"")</f>
        <v/>
      </c>
      <c r="R3" s="9" t="str">
        <f ca="1">IFERROR(CONCATENATE(VLOOKUP(A3,GM_Table,12,FALSE)," ",(VLOOKUP(A3,GM_Table,13,FALSE))),"")</f>
        <v/>
      </c>
    </row>
    <row r="4" spans="1:24" ht="15" x14ac:dyDescent="0.2">
      <c r="A4" s="145" t="s">
        <v>678</v>
      </c>
      <c r="B4" s="9" t="s">
        <v>3290</v>
      </c>
      <c r="C4" s="9" t="s">
        <v>3291</v>
      </c>
      <c r="D4" s="244">
        <v>2.2599999999999998</v>
      </c>
      <c r="E4" s="245">
        <v>1418</v>
      </c>
      <c r="F4" s="246">
        <v>1400</v>
      </c>
      <c r="G4" s="247">
        <v>1400</v>
      </c>
      <c r="H4" s="248">
        <v>1370</v>
      </c>
      <c r="I4" s="249">
        <v>1225</v>
      </c>
      <c r="J4" s="122" t="b">
        <f>IF(ISBLANK(CertifiedCrop[[#This Row],[1. Identifiant interne d’exploitation agricole*]]),"",IF(ISERROR(MATCH(CertifiedCrop[[#This Row],[1. Identifiant interne d’exploitation agricole*]],GroupMember[1. Identifiant interne d’exploitation agricole*],0)),FALSE,TRUE))</f>
        <v>1</v>
      </c>
      <c r="K4" s="122" t="b">
        <f t="array" ref="K4">IF(ISBLANK(CertifiedCrop[[#This Row],[2. Produit agricole certifié*]]),"",IF(ISERROR(MATCH(1,(#REF!=CertifiedCrop[[#This Row],[2. Produit agricole certifié*]])*(#REF!=CertifiedCrop[[#This Row],[3. Variété**]]),0)),FALSE,TRUE))</f>
        <v>0</v>
      </c>
      <c r="L4" s="20" t="str">
        <f t="shared" si="0"/>
        <v/>
      </c>
      <c r="M4" s="54" t="str">
        <f t="shared" si="1"/>
        <v/>
      </c>
      <c r="N4" s="54" t="str">
        <f t="shared" si="2"/>
        <v/>
      </c>
      <c r="O4" s="55">
        <f t="shared" si="3"/>
        <v>627.43362831858417</v>
      </c>
      <c r="P4" s="55">
        <f t="shared" si="4"/>
        <v>619.46902654867267</v>
      </c>
      <c r="Q4" s="9" t="str">
        <f ca="1">IFERROR((VLOOKUP(A4,GM_Table,8,FALSE)-SUMIFS(D:D,A:A,A4,B:B,B4,C:C,C4)),"")</f>
        <v/>
      </c>
      <c r="R4" s="9" t="str">
        <f ca="1">IFERROR(CONCATENATE(VLOOKUP(A4,GM_Table,12,FALSE)," ",(VLOOKUP(A4,GM_Table,13,FALSE))),"")</f>
        <v/>
      </c>
    </row>
    <row r="5" spans="1:24" ht="15" x14ac:dyDescent="0.2">
      <c r="A5" s="145" t="s">
        <v>681</v>
      </c>
      <c r="B5" s="9" t="s">
        <v>3290</v>
      </c>
      <c r="C5" s="9" t="s">
        <v>3291</v>
      </c>
      <c r="D5" s="244">
        <v>3</v>
      </c>
      <c r="E5" s="245">
        <v>1877</v>
      </c>
      <c r="F5" s="246">
        <v>1756</v>
      </c>
      <c r="G5" s="247">
        <v>1461</v>
      </c>
      <c r="H5" s="248">
        <v>1762</v>
      </c>
      <c r="I5" s="249">
        <v>1557</v>
      </c>
      <c r="J5" s="122" t="b">
        <f>IF(ISBLANK(CertifiedCrop[[#This Row],[1. Identifiant interne d’exploitation agricole*]]),"",IF(ISERROR(MATCH(CertifiedCrop[[#This Row],[1. Identifiant interne d’exploitation agricole*]],GroupMember[1. Identifiant interne d’exploitation agricole*],0)),FALSE,TRUE))</f>
        <v>1</v>
      </c>
      <c r="K5" s="122" t="b">
        <f t="array" ref="K5">IF(ISBLANK(CertifiedCrop[[#This Row],[2. Produit agricole certifié*]]),"",IF(ISERROR(MATCH(1,(#REF!=CertifiedCrop[[#This Row],[2. Produit agricole certifié*]])*(#REF!=CertifiedCrop[[#This Row],[3. Variété**]]),0)),FALSE,TRUE))</f>
        <v>0</v>
      </c>
      <c r="L5" s="20" t="str">
        <f t="shared" si="0"/>
        <v/>
      </c>
      <c r="M5" s="54" t="str">
        <f t="shared" si="1"/>
        <v/>
      </c>
      <c r="N5" s="54" t="str">
        <f t="shared" si="2"/>
        <v/>
      </c>
      <c r="O5" s="55">
        <f t="shared" si="3"/>
        <v>625.66666666666663</v>
      </c>
      <c r="P5" s="55">
        <f t="shared" si="4"/>
        <v>585.33333333333337</v>
      </c>
      <c r="Q5" s="9" t="str">
        <f ca="1">IFERROR((VLOOKUP(A5,GM_Table,8,FALSE)-SUMIFS(D:D,A:A,A5,B:B,B5,C:C,C5)),"")</f>
        <v/>
      </c>
      <c r="R5" s="9"/>
    </row>
    <row r="6" spans="1:24" ht="15" x14ac:dyDescent="0.2">
      <c r="A6" s="145" t="s">
        <v>685</v>
      </c>
      <c r="B6" s="9" t="s">
        <v>3290</v>
      </c>
      <c r="C6" s="9" t="s">
        <v>3291</v>
      </c>
      <c r="D6" s="244">
        <v>3</v>
      </c>
      <c r="E6" s="245">
        <v>1707</v>
      </c>
      <c r="F6" s="246">
        <v>1569</v>
      </c>
      <c r="G6" s="247">
        <v>1330</v>
      </c>
      <c r="H6" s="248">
        <v>1517</v>
      </c>
      <c r="I6" s="249">
        <v>1703</v>
      </c>
      <c r="J6" s="122" t="b">
        <f>IF(ISBLANK(CertifiedCrop[[#This Row],[1. Identifiant interne d’exploitation agricole*]]),"",IF(ISERROR(MATCH(CertifiedCrop[[#This Row],[1. Identifiant interne d’exploitation agricole*]],GroupMember[1. Identifiant interne d’exploitation agricole*],0)),FALSE,TRUE))</f>
        <v>1</v>
      </c>
      <c r="K6" s="122" t="b">
        <f t="array" ref="K6">IF(ISBLANK(CertifiedCrop[[#This Row],[2. Produit agricole certifié*]]),"",IF(ISERROR(MATCH(1,(#REF!=CertifiedCrop[[#This Row],[2. Produit agricole certifié*]])*(#REF!=CertifiedCrop[[#This Row],[3. Variété**]]),0)),FALSE,TRUE))</f>
        <v>0</v>
      </c>
      <c r="L6" s="20" t="str">
        <f t="shared" si="0"/>
        <v/>
      </c>
      <c r="M6" s="54" t="str">
        <f t="shared" si="1"/>
        <v/>
      </c>
      <c r="N6" s="54" t="str">
        <f t="shared" si="2"/>
        <v/>
      </c>
      <c r="O6" s="55">
        <f t="shared" si="3"/>
        <v>569</v>
      </c>
      <c r="P6" s="55">
        <f t="shared" si="4"/>
        <v>523</v>
      </c>
      <c r="Q6" s="9" t="str">
        <f ca="1">IFERROR((VLOOKUP(A6,GM_Table,8,FALSE)-SUMIFS(D:D,A:A,A6,B:B,B6,C:C,C6)),"")</f>
        <v/>
      </c>
      <c r="R6" s="9"/>
    </row>
    <row r="7" spans="1:24" ht="15" x14ac:dyDescent="0.2">
      <c r="A7" s="145" t="s">
        <v>690</v>
      </c>
      <c r="B7" s="9" t="s">
        <v>3290</v>
      </c>
      <c r="C7" s="9" t="s">
        <v>3291</v>
      </c>
      <c r="D7" s="244">
        <v>2.64</v>
      </c>
      <c r="E7" s="245">
        <v>1550</v>
      </c>
      <c r="F7" s="246">
        <v>1465</v>
      </c>
      <c r="G7" s="247">
        <v>1101</v>
      </c>
      <c r="H7" s="248">
        <v>1678</v>
      </c>
      <c r="I7" s="249">
        <v>2032</v>
      </c>
      <c r="J7" s="122" t="b">
        <f>IF(ISBLANK(CertifiedCrop[[#This Row],[1. Identifiant interne d’exploitation agricole*]]),"",IF(ISERROR(MATCH(CertifiedCrop[[#This Row],[1. Identifiant interne d’exploitation agricole*]],GroupMember[1. Identifiant interne d’exploitation agricole*],0)),FALSE,TRUE))</f>
        <v>1</v>
      </c>
      <c r="K7" s="122" t="b">
        <f t="array" ref="K7">IF(ISBLANK(CertifiedCrop[[#This Row],[2. Produit agricole certifié*]]),"",IF(ISERROR(MATCH(1,(#REF!=CertifiedCrop[[#This Row],[2. Produit agricole certifié*]])*(#REF!=CertifiedCrop[[#This Row],[3. Variété**]]),0)),FALSE,TRUE))</f>
        <v>0</v>
      </c>
      <c r="L7" s="20" t="str">
        <f t="shared" si="0"/>
        <v/>
      </c>
      <c r="M7" s="54" t="str">
        <f t="shared" si="1"/>
        <v>!</v>
      </c>
      <c r="N7" s="54" t="str">
        <f t="shared" si="2"/>
        <v>!</v>
      </c>
      <c r="O7" s="55">
        <f t="shared" si="3"/>
        <v>587.12121212121212</v>
      </c>
      <c r="P7" s="55">
        <f t="shared" si="4"/>
        <v>554.92424242424238</v>
      </c>
      <c r="Q7" s="9" t="str">
        <f ca="1">IFERROR((VLOOKUP(A7,GM_Table,8,FALSE)-SUMIFS(D:D,A:A,A7,B:B,B7,C:C,C7)),"")</f>
        <v/>
      </c>
      <c r="R7" s="9" t="str">
        <f ca="1">IFERROR(CONCATENATE(VLOOKUP(A7,GM_Table,12,FALSE)," ",(VLOOKUP(A7,GM_Table,13,FALSE))),"")</f>
        <v/>
      </c>
    </row>
    <row r="8" spans="1:24" ht="15" x14ac:dyDescent="0.2">
      <c r="A8" s="145" t="s">
        <v>693</v>
      </c>
      <c r="B8" s="9" t="s">
        <v>3290</v>
      </c>
      <c r="C8" s="9" t="s">
        <v>3291</v>
      </c>
      <c r="D8" s="244">
        <v>5</v>
      </c>
      <c r="E8" s="245">
        <v>3168</v>
      </c>
      <c r="F8" s="246">
        <v>3025</v>
      </c>
      <c r="G8" s="247">
        <v>2431</v>
      </c>
      <c r="H8" s="248">
        <v>2306</v>
      </c>
      <c r="I8" s="249">
        <v>2904</v>
      </c>
      <c r="J8" s="122" t="b">
        <f>IF(ISBLANK(CertifiedCrop[[#This Row],[1. Identifiant interne d’exploitation agricole*]]),"",IF(ISERROR(MATCH(CertifiedCrop[[#This Row],[1. Identifiant interne d’exploitation agricole*]],GroupMember[1. Identifiant interne d’exploitation agricole*],0)),FALSE,TRUE))</f>
        <v>1</v>
      </c>
      <c r="K8" s="122" t="b">
        <f t="array" ref="K8">IF(ISBLANK(CertifiedCrop[[#This Row],[2. Produit agricole certifié*]]),"",IF(ISERROR(MATCH(1,(#REF!=CertifiedCrop[[#This Row],[2. Produit agricole certifié*]])*(#REF!=CertifiedCrop[[#This Row],[3. Variété**]]),0)),FALSE,TRUE))</f>
        <v>0</v>
      </c>
      <c r="L8" s="20" t="str">
        <f t="shared" si="0"/>
        <v/>
      </c>
      <c r="M8" s="54" t="str">
        <f t="shared" si="1"/>
        <v/>
      </c>
      <c r="N8" s="54" t="str">
        <f t="shared" si="2"/>
        <v/>
      </c>
      <c r="O8" s="55">
        <f t="shared" si="3"/>
        <v>633.6</v>
      </c>
      <c r="P8" s="55">
        <f t="shared" si="4"/>
        <v>605</v>
      </c>
      <c r="Q8" s="9" t="str">
        <f ca="1">IFERROR((VLOOKUP(A8,GM_Table,8,FALSE)-SUMIFS(D:D,A:A,A8,B:B,B8,C:C,C8)),"")</f>
        <v/>
      </c>
      <c r="R8" s="9" t="str">
        <f ca="1">IFERROR(CONCATENATE(VLOOKUP(A8,GM_Table,12,FALSE)," ",(VLOOKUP(A8,GM_Table,13,FALSE))),"")</f>
        <v/>
      </c>
    </row>
    <row r="9" spans="1:24" ht="15" x14ac:dyDescent="0.2">
      <c r="A9" s="145" t="s">
        <v>696</v>
      </c>
      <c r="B9" s="9" t="s">
        <v>3290</v>
      </c>
      <c r="C9" s="9" t="s">
        <v>3291</v>
      </c>
      <c r="D9" s="244">
        <v>2.62</v>
      </c>
      <c r="E9" s="245">
        <v>1504</v>
      </c>
      <c r="F9" s="246">
        <v>1617</v>
      </c>
      <c r="G9" s="247">
        <v>1617</v>
      </c>
      <c r="H9" s="248">
        <v>1478</v>
      </c>
      <c r="I9" s="249">
        <v>1468</v>
      </c>
      <c r="J9" s="122" t="b">
        <f>IF(ISBLANK(CertifiedCrop[[#This Row],[1. Identifiant interne d’exploitation agricole*]]),"",IF(ISERROR(MATCH(CertifiedCrop[[#This Row],[1. Identifiant interne d’exploitation agricole*]],GroupMember[1. Identifiant interne d’exploitation agricole*],0)),FALSE,TRUE))</f>
        <v>1</v>
      </c>
      <c r="K9" s="122" t="b">
        <f t="array" ref="K9">IF(ISBLANK(CertifiedCrop[[#This Row],[2. Produit agricole certifié*]]),"",IF(ISERROR(MATCH(1,(#REF!=CertifiedCrop[[#This Row],[2. Produit agricole certifié*]])*(#REF!=CertifiedCrop[[#This Row],[3. Variété**]]),0)),FALSE,TRUE))</f>
        <v>0</v>
      </c>
      <c r="L9" s="20" t="str">
        <f t="shared" si="0"/>
        <v/>
      </c>
      <c r="M9" s="54" t="str">
        <f t="shared" si="1"/>
        <v/>
      </c>
      <c r="N9" s="54" t="str">
        <f t="shared" si="2"/>
        <v/>
      </c>
      <c r="O9" s="55">
        <f t="shared" si="3"/>
        <v>574.04580152671758</v>
      </c>
      <c r="P9" s="55">
        <f t="shared" si="4"/>
        <v>617.17557251908397</v>
      </c>
      <c r="Q9" s="9" t="str">
        <f ca="1">IFERROR((VLOOKUP(A9,GM_Table,8,FALSE)-SUMIFS(D:D,A:A,A9,B:B,B9,C:C,C9)),"")</f>
        <v/>
      </c>
      <c r="R9" s="9" t="str">
        <f ca="1">IFERROR(CONCATENATE(VLOOKUP(A9,GM_Table,12,FALSE)," ",(VLOOKUP(A9,GM_Table,13,FALSE))),"")</f>
        <v/>
      </c>
    </row>
    <row r="10" spans="1:24" ht="15" x14ac:dyDescent="0.2">
      <c r="A10" s="145" t="s">
        <v>700</v>
      </c>
      <c r="B10" s="9" t="s">
        <v>3290</v>
      </c>
      <c r="C10" s="9" t="s">
        <v>3291</v>
      </c>
      <c r="D10" s="244">
        <v>3</v>
      </c>
      <c r="E10" s="245">
        <v>1689</v>
      </c>
      <c r="F10" s="246">
        <v>1562</v>
      </c>
      <c r="G10" s="247">
        <v>1181</v>
      </c>
      <c r="H10" s="248">
        <v>1519</v>
      </c>
      <c r="I10" s="249">
        <v>1475</v>
      </c>
      <c r="J10" s="122" t="b">
        <f>IF(ISBLANK(CertifiedCrop[[#This Row],[1. Identifiant interne d’exploitation agricole*]]),"",IF(ISERROR(MATCH(CertifiedCrop[[#This Row],[1. Identifiant interne d’exploitation agricole*]],GroupMember[1. Identifiant interne d’exploitation agricole*],0)),FALSE,TRUE))</f>
        <v>1</v>
      </c>
      <c r="K10" s="122" t="b">
        <f t="array" ref="K10">IF(ISBLANK(CertifiedCrop[[#This Row],[2. Produit agricole certifié*]]),"",IF(ISERROR(MATCH(1,(#REF!=CertifiedCrop[[#This Row],[2. Produit agricole certifié*]])*(#REF!=CertifiedCrop[[#This Row],[3. Variété**]]),0)),FALSE,TRUE))</f>
        <v>0</v>
      </c>
      <c r="L10" s="20" t="str">
        <f t="shared" si="0"/>
        <v/>
      </c>
      <c r="M10" s="54" t="str">
        <f t="shared" si="1"/>
        <v>!</v>
      </c>
      <c r="N10" s="54" t="str">
        <f t="shared" si="2"/>
        <v/>
      </c>
      <c r="O10" s="55">
        <f t="shared" si="3"/>
        <v>563</v>
      </c>
      <c r="P10" s="55">
        <f t="shared" si="4"/>
        <v>520.66666666666663</v>
      </c>
      <c r="Q10" s="9" t="str">
        <f ca="1">IFERROR((VLOOKUP(A10,GM_Table,8,FALSE)-SUMIFS(D:D,A:A,A10,B:B,B10,C:C,C10)),"")</f>
        <v/>
      </c>
      <c r="R10" s="9" t="str">
        <f ca="1">IFERROR(CONCATENATE(VLOOKUP(A10,GM_Table,12,FALSE)," ",(VLOOKUP(A10,GM_Table,13,FALSE))),"")</f>
        <v/>
      </c>
    </row>
    <row r="11" spans="1:24" ht="15" x14ac:dyDescent="0.2">
      <c r="A11" s="145" t="s">
        <v>703</v>
      </c>
      <c r="B11" s="9" t="s">
        <v>3290</v>
      </c>
      <c r="C11" s="9" t="s">
        <v>3291</v>
      </c>
      <c r="D11" s="244">
        <v>1.84</v>
      </c>
      <c r="E11" s="245">
        <v>1155</v>
      </c>
      <c r="F11" s="246">
        <v>1110</v>
      </c>
      <c r="G11" s="247">
        <v>986</v>
      </c>
      <c r="H11" s="248">
        <v>1082</v>
      </c>
      <c r="I11" s="249">
        <v>1754</v>
      </c>
      <c r="J11" s="122" t="b">
        <f>IF(ISBLANK(CertifiedCrop[[#This Row],[1. Identifiant interne d’exploitation agricole*]]),"",IF(ISERROR(MATCH(CertifiedCrop[[#This Row],[1. Identifiant interne d’exploitation agricole*]],GroupMember[1. Identifiant interne d’exploitation agricole*],0)),FALSE,TRUE))</f>
        <v>1</v>
      </c>
      <c r="K11" s="122" t="b">
        <f t="array" ref="K11">IF(ISBLANK(CertifiedCrop[[#This Row],[2. Produit agricole certifié*]]),"",IF(ISERROR(MATCH(1,(#REF!=CertifiedCrop[[#This Row],[2. Produit agricole certifié*]])*(#REF!=CertifiedCrop[[#This Row],[3. Variété**]]),0)),FALSE,TRUE))</f>
        <v>0</v>
      </c>
      <c r="L11" s="20" t="str">
        <f t="shared" si="0"/>
        <v/>
      </c>
      <c r="M11" s="54" t="str">
        <f t="shared" si="1"/>
        <v/>
      </c>
      <c r="N11" s="54" t="str">
        <f t="shared" si="2"/>
        <v/>
      </c>
      <c r="O11" s="55">
        <f t="shared" si="3"/>
        <v>627.71739130434776</v>
      </c>
      <c r="P11" s="55">
        <f t="shared" si="4"/>
        <v>603.26086956521738</v>
      </c>
      <c r="Q11" s="9" t="str">
        <f ca="1">IFERROR((VLOOKUP(A11,GM_Table,8,FALSE)-SUMIFS(D:D,A:A,A11,B:B,B11,C:C,C11)),"")</f>
        <v/>
      </c>
      <c r="R11" s="9" t="str">
        <f ca="1">IFERROR(CONCATENATE(VLOOKUP(A11,GM_Table,12,FALSE)," ",(VLOOKUP(A11,GM_Table,13,FALSE))),"")</f>
        <v/>
      </c>
    </row>
    <row r="12" spans="1:24" ht="15" x14ac:dyDescent="0.2">
      <c r="A12" s="145" t="s">
        <v>706</v>
      </c>
      <c r="B12" s="9" t="s">
        <v>3290</v>
      </c>
      <c r="C12" s="9" t="s">
        <v>3291</v>
      </c>
      <c r="D12" s="244">
        <v>2.79</v>
      </c>
      <c r="E12" s="245">
        <v>1734</v>
      </c>
      <c r="F12" s="246">
        <v>1654</v>
      </c>
      <c r="G12" s="247">
        <v>1552</v>
      </c>
      <c r="H12" s="248">
        <v>1702</v>
      </c>
      <c r="I12" s="249">
        <v>1520</v>
      </c>
      <c r="J12" s="122" t="b">
        <f>IF(ISBLANK(CertifiedCrop[[#This Row],[1. Identifiant interne d’exploitation agricole*]]),"",IF(ISERROR(MATCH(CertifiedCrop[[#This Row],[1. Identifiant interne d’exploitation agricole*]],GroupMember[1. Identifiant interne d’exploitation agricole*],0)),FALSE,TRUE))</f>
        <v>1</v>
      </c>
      <c r="K12" s="122" t="b">
        <f t="array" ref="K12">IF(ISBLANK(CertifiedCrop[[#This Row],[2. Produit agricole certifié*]]),"",IF(ISERROR(MATCH(1,(#REF!=CertifiedCrop[[#This Row],[2. Produit agricole certifié*]])*(#REF!=CertifiedCrop[[#This Row],[3. Variété**]]),0)),FALSE,TRUE))</f>
        <v>0</v>
      </c>
      <c r="L12" s="20" t="str">
        <f t="shared" si="0"/>
        <v/>
      </c>
      <c r="M12" s="54" t="str">
        <f t="shared" si="1"/>
        <v/>
      </c>
      <c r="N12" s="54" t="str">
        <f t="shared" si="2"/>
        <v/>
      </c>
      <c r="O12" s="55">
        <f t="shared" si="3"/>
        <v>621.50537634408602</v>
      </c>
      <c r="P12" s="55">
        <f t="shared" si="4"/>
        <v>592.83154121863799</v>
      </c>
      <c r="Q12" s="9" t="str">
        <f ca="1">IFERROR((VLOOKUP(A12,GM_Table,8,FALSE)-SUMIFS(D:D,A:A,A12,B:B,B12,C:C,C12)),"")</f>
        <v/>
      </c>
      <c r="R12" s="9" t="str">
        <f ca="1">IFERROR(CONCATENATE(VLOOKUP(A12,GM_Table,12,FALSE)," ",(VLOOKUP(A12,GM_Table,13,FALSE))),"")</f>
        <v/>
      </c>
    </row>
    <row r="13" spans="1:24" ht="15" x14ac:dyDescent="0.2">
      <c r="A13" s="145" t="s">
        <v>710</v>
      </c>
      <c r="B13" s="9" t="s">
        <v>3290</v>
      </c>
      <c r="C13" s="9" t="s">
        <v>3291</v>
      </c>
      <c r="D13" s="244">
        <v>3</v>
      </c>
      <c r="E13" s="245">
        <v>1877</v>
      </c>
      <c r="F13" s="246">
        <v>1755</v>
      </c>
      <c r="G13" s="247">
        <v>1612</v>
      </c>
      <c r="H13" s="248">
        <v>1704</v>
      </c>
      <c r="I13" s="249">
        <v>1586</v>
      </c>
      <c r="J13" s="122" t="b">
        <f>IF(ISBLANK(CertifiedCrop[[#This Row],[1. Identifiant interne d’exploitation agricole*]]),"",IF(ISERROR(MATCH(CertifiedCrop[[#This Row],[1. Identifiant interne d’exploitation agricole*]],GroupMember[1. Identifiant interne d’exploitation agricole*],0)),FALSE,TRUE))</f>
        <v>1</v>
      </c>
      <c r="K13" s="122" t="b">
        <f t="array" ref="K13">IF(ISBLANK(CertifiedCrop[[#This Row],[2. Produit agricole certifié*]]),"",IF(ISERROR(MATCH(1,(#REF!=CertifiedCrop[[#This Row],[2. Produit agricole certifié*]])*(#REF!=CertifiedCrop[[#This Row],[3. Variété**]]),0)),FALSE,TRUE))</f>
        <v>0</v>
      </c>
      <c r="L13" s="20" t="str">
        <f t="shared" si="0"/>
        <v/>
      </c>
      <c r="M13" s="54" t="str">
        <f t="shared" si="1"/>
        <v/>
      </c>
      <c r="N13" s="54" t="str">
        <f t="shared" si="2"/>
        <v/>
      </c>
      <c r="O13" s="55">
        <f t="shared" si="3"/>
        <v>625.66666666666663</v>
      </c>
      <c r="P13" s="55">
        <f t="shared" si="4"/>
        <v>585</v>
      </c>
      <c r="Q13" s="9" t="str">
        <f ca="1">IFERROR((VLOOKUP(A13,GM_Table,8,FALSE)-SUMIFS(D:D,A:A,A13,B:B,B13,C:C,C13)),"")</f>
        <v/>
      </c>
      <c r="R13" s="9" t="str">
        <f ca="1">IFERROR(CONCATENATE(VLOOKUP(A13,GM_Table,12,FALSE)," ",(VLOOKUP(A13,GM_Table,13,FALSE))),"")</f>
        <v/>
      </c>
    </row>
    <row r="14" spans="1:24" ht="15" x14ac:dyDescent="0.2">
      <c r="A14" s="145" t="s">
        <v>714</v>
      </c>
      <c r="B14" s="9" t="s">
        <v>3290</v>
      </c>
      <c r="C14" s="9" t="s">
        <v>3291</v>
      </c>
      <c r="D14" s="244">
        <v>3.14</v>
      </c>
      <c r="E14" s="245">
        <v>1718</v>
      </c>
      <c r="F14" s="246">
        <v>1628</v>
      </c>
      <c r="G14" s="247">
        <v>1628</v>
      </c>
      <c r="H14" s="248">
        <v>1924</v>
      </c>
      <c r="I14" s="249">
        <v>2054</v>
      </c>
      <c r="J14" s="122" t="b">
        <f>IF(ISBLANK(CertifiedCrop[[#This Row],[1. Identifiant interne d’exploitation agricole*]]),"",IF(ISERROR(MATCH(CertifiedCrop[[#This Row],[1. Identifiant interne d’exploitation agricole*]],GroupMember[1. Identifiant interne d’exploitation agricole*],0)),FALSE,TRUE))</f>
        <v>1</v>
      </c>
      <c r="K14" s="122" t="b">
        <f t="array" ref="K14">IF(ISBLANK(CertifiedCrop[[#This Row],[2. Produit agricole certifié*]]),"",IF(ISERROR(MATCH(1,(#REF!=CertifiedCrop[[#This Row],[2. Produit agricole certifié*]])*(#REF!=CertifiedCrop[[#This Row],[3. Variété**]]),0)),FALSE,TRUE))</f>
        <v>0</v>
      </c>
      <c r="L14" s="20" t="str">
        <f t="shared" si="0"/>
        <v/>
      </c>
      <c r="M14" s="54" t="str">
        <f t="shared" si="1"/>
        <v/>
      </c>
      <c r="N14" s="54" t="str">
        <f t="shared" si="2"/>
        <v/>
      </c>
      <c r="O14" s="55">
        <f t="shared" si="3"/>
        <v>547.13375796178343</v>
      </c>
      <c r="P14" s="55">
        <f t="shared" si="4"/>
        <v>518.47133757961785</v>
      </c>
      <c r="Q14" s="9" t="str">
        <f ca="1">IFERROR((VLOOKUP(A14,GM_Table,8,FALSE)-SUMIFS(D:D,A:A,A14,B:B,B14,C:C,C14)),"")</f>
        <v/>
      </c>
      <c r="R14" s="9" t="str">
        <f ca="1">IFERROR(CONCATENATE(VLOOKUP(A14,GM_Table,12,FALSE)," ",(VLOOKUP(A14,GM_Table,13,FALSE))),"")</f>
        <v/>
      </c>
    </row>
    <row r="15" spans="1:24" ht="15" x14ac:dyDescent="0.2">
      <c r="A15" s="145" t="s">
        <v>718</v>
      </c>
      <c r="B15" s="9" t="s">
        <v>3290</v>
      </c>
      <c r="C15" s="9" t="s">
        <v>3291</v>
      </c>
      <c r="D15" s="244">
        <v>3</v>
      </c>
      <c r="E15" s="245">
        <v>1662</v>
      </c>
      <c r="F15" s="246">
        <v>1550</v>
      </c>
      <c r="G15" s="247">
        <v>1343</v>
      </c>
      <c r="H15" s="248">
        <v>1820</v>
      </c>
      <c r="I15" s="249">
        <v>1405</v>
      </c>
      <c r="J15" s="122" t="b">
        <f>IF(ISBLANK(CertifiedCrop[[#This Row],[1. Identifiant interne d’exploitation agricole*]]),"",IF(ISERROR(MATCH(CertifiedCrop[[#This Row],[1. Identifiant interne d’exploitation agricole*]],GroupMember[1. Identifiant interne d’exploitation agricole*],0)),FALSE,TRUE))</f>
        <v>1</v>
      </c>
      <c r="K15" s="122" t="b">
        <f t="array" ref="K15">IF(ISBLANK(CertifiedCrop[[#This Row],[2. Produit agricole certifié*]]),"",IF(ISERROR(MATCH(1,(#REF!=CertifiedCrop[[#This Row],[2. Produit agricole certifié*]])*(#REF!=CertifiedCrop[[#This Row],[3. Variété**]]),0)),FALSE,TRUE))</f>
        <v>0</v>
      </c>
      <c r="L15" s="20" t="str">
        <f t="shared" si="0"/>
        <v/>
      </c>
      <c r="M15" s="54" t="str">
        <f t="shared" si="1"/>
        <v/>
      </c>
      <c r="N15" s="54" t="str">
        <f t="shared" si="2"/>
        <v>!</v>
      </c>
      <c r="O15" s="55">
        <f t="shared" si="3"/>
        <v>554</v>
      </c>
      <c r="P15" s="55">
        <f t="shared" si="4"/>
        <v>516.66666666666663</v>
      </c>
      <c r="Q15" s="9" t="str">
        <f ca="1">IFERROR((VLOOKUP(A15,GM_Table,8,FALSE)-SUMIFS(D:D,A:A,A15,B:B,B15,C:C,C15)),"")</f>
        <v/>
      </c>
      <c r="R15" s="9" t="str">
        <f ca="1">IFERROR(CONCATENATE(VLOOKUP(A15,GM_Table,12,FALSE)," ",(VLOOKUP(A15,GM_Table,13,FALSE))),"")</f>
        <v/>
      </c>
    </row>
    <row r="16" spans="1:24" ht="15" x14ac:dyDescent="0.2">
      <c r="A16" s="145" t="s">
        <v>721</v>
      </c>
      <c r="B16" s="9" t="s">
        <v>3290</v>
      </c>
      <c r="C16" s="9" t="s">
        <v>3291</v>
      </c>
      <c r="D16" s="244">
        <v>1.05</v>
      </c>
      <c r="E16" s="221">
        <v>659</v>
      </c>
      <c r="F16" s="246">
        <v>600</v>
      </c>
      <c r="G16" s="247">
        <v>508</v>
      </c>
      <c r="H16" s="248">
        <v>631</v>
      </c>
      <c r="I16" s="249">
        <v>525</v>
      </c>
      <c r="J16" s="122" t="b">
        <f>IF(ISBLANK(CertifiedCrop[[#This Row],[1. Identifiant interne d’exploitation agricole*]]),"",IF(ISERROR(MATCH(CertifiedCrop[[#This Row],[1. Identifiant interne d’exploitation agricole*]],GroupMember[1. Identifiant interne d’exploitation agricole*],0)),FALSE,TRUE))</f>
        <v>1</v>
      </c>
      <c r="K16" s="122" t="b">
        <f t="array" ref="K16">IF(ISBLANK(CertifiedCrop[[#This Row],[2. Produit agricole certifié*]]),"",IF(ISERROR(MATCH(1,(#REF!=CertifiedCrop[[#This Row],[2. Produit agricole certifié*]])*(#REF!=CertifiedCrop[[#This Row],[3. Variété**]]),0)),FALSE,TRUE))</f>
        <v>0</v>
      </c>
      <c r="L16" s="20" t="str">
        <f t="shared" si="0"/>
        <v/>
      </c>
      <c r="M16" s="54" t="str">
        <f t="shared" si="1"/>
        <v/>
      </c>
      <c r="N16" s="54" t="str">
        <f t="shared" si="2"/>
        <v/>
      </c>
      <c r="O16" s="55">
        <f t="shared" si="3"/>
        <v>627.61904761904759</v>
      </c>
      <c r="P16" s="55">
        <f t="shared" si="4"/>
        <v>571.42857142857144</v>
      </c>
      <c r="Q16" s="9" t="str">
        <f ca="1">IFERROR((VLOOKUP(A16,GM_Table,8,FALSE)-SUMIFS(D:D,A:A,A16,B:B,B16,C:C,C16)),"")</f>
        <v/>
      </c>
      <c r="R16" s="9" t="str">
        <f ca="1">IFERROR(CONCATENATE(VLOOKUP(A16,GM_Table,12,FALSE)," ",(VLOOKUP(A16,GM_Table,13,FALSE))),"")</f>
        <v/>
      </c>
    </row>
    <row r="17" spans="1:18" ht="15" x14ac:dyDescent="0.2">
      <c r="A17" s="145" t="s">
        <v>725</v>
      </c>
      <c r="B17" s="9" t="s">
        <v>3290</v>
      </c>
      <c r="C17" s="9" t="s">
        <v>3291</v>
      </c>
      <c r="D17" s="244">
        <v>2.59</v>
      </c>
      <c r="E17" s="245">
        <v>1487</v>
      </c>
      <c r="F17" s="246">
        <v>1405</v>
      </c>
      <c r="G17" s="247">
        <v>1143</v>
      </c>
      <c r="H17" s="248">
        <v>1266</v>
      </c>
      <c r="I17" s="249">
        <v>1999</v>
      </c>
      <c r="J17" s="122" t="b">
        <f>IF(ISBLANK(CertifiedCrop[[#This Row],[1. Identifiant interne d’exploitation agricole*]]),"",IF(ISERROR(MATCH(CertifiedCrop[[#This Row],[1. Identifiant interne d’exploitation agricole*]],GroupMember[1. Identifiant interne d’exploitation agricole*],0)),FALSE,TRUE))</f>
        <v>1</v>
      </c>
      <c r="K17" s="122" t="b">
        <f t="array" ref="K17">IF(ISBLANK(CertifiedCrop[[#This Row],[2. Produit agricole certifié*]]),"",IF(ISERROR(MATCH(1,(#REF!=CertifiedCrop[[#This Row],[2. Produit agricole certifié*]])*(#REF!=CertifiedCrop[[#This Row],[3. Variété**]]),0)),FALSE,TRUE))</f>
        <v>0</v>
      </c>
      <c r="L17" s="20" t="str">
        <f t="shared" si="0"/>
        <v/>
      </c>
      <c r="M17" s="54" t="str">
        <f t="shared" si="1"/>
        <v/>
      </c>
      <c r="N17" s="54" t="str">
        <f t="shared" si="2"/>
        <v/>
      </c>
      <c r="O17" s="55">
        <f t="shared" si="3"/>
        <v>574.13127413127415</v>
      </c>
      <c r="P17" s="55">
        <f t="shared" si="4"/>
        <v>542.47104247104255</v>
      </c>
      <c r="Q17" s="9" t="str">
        <f ca="1">IFERROR((VLOOKUP(A17,GM_Table,8,FALSE)-SUMIFS(D:D,A:A,A17,B:B,B17,C:C,C17)),"")</f>
        <v/>
      </c>
      <c r="R17" s="9" t="str">
        <f ca="1">IFERROR(CONCATENATE(VLOOKUP(A17,GM_Table,12,FALSE)," ",(VLOOKUP(A17,GM_Table,13,FALSE))),"")</f>
        <v/>
      </c>
    </row>
    <row r="18" spans="1:18" ht="15" x14ac:dyDescent="0.2">
      <c r="A18" s="145" t="s">
        <v>728</v>
      </c>
      <c r="B18" s="9" t="s">
        <v>3290</v>
      </c>
      <c r="C18" s="9" t="s">
        <v>3291</v>
      </c>
      <c r="D18" s="244">
        <v>3.51</v>
      </c>
      <c r="E18" s="245">
        <v>2050</v>
      </c>
      <c r="F18" s="246">
        <v>2072</v>
      </c>
      <c r="G18" s="247">
        <v>2072</v>
      </c>
      <c r="H18" s="248">
        <v>2114</v>
      </c>
      <c r="I18" s="249">
        <v>1598</v>
      </c>
      <c r="J18" s="122" t="b">
        <f>IF(ISBLANK(CertifiedCrop[[#This Row],[1. Identifiant interne d’exploitation agricole*]]),"",IF(ISERROR(MATCH(CertifiedCrop[[#This Row],[1. Identifiant interne d’exploitation agricole*]],GroupMember[1. Identifiant interne d’exploitation agricole*],0)),FALSE,TRUE))</f>
        <v>1</v>
      </c>
      <c r="K18" s="122" t="b">
        <f t="array" ref="K18">IF(ISBLANK(CertifiedCrop[[#This Row],[2. Produit agricole certifié*]]),"",IF(ISERROR(MATCH(1,(#REF!=CertifiedCrop[[#This Row],[2. Produit agricole certifié*]])*(#REF!=CertifiedCrop[[#This Row],[3. Variété**]]),0)),FALSE,TRUE))</f>
        <v>0</v>
      </c>
      <c r="L18" s="20" t="str">
        <f t="shared" si="0"/>
        <v/>
      </c>
      <c r="M18" s="54" t="str">
        <f t="shared" si="1"/>
        <v/>
      </c>
      <c r="N18" s="54" t="str">
        <f t="shared" si="2"/>
        <v/>
      </c>
      <c r="O18" s="55">
        <f t="shared" si="3"/>
        <v>584.04558404558406</v>
      </c>
      <c r="P18" s="55">
        <f t="shared" si="4"/>
        <v>590.3133903133903</v>
      </c>
      <c r="Q18" s="9" t="str">
        <f ca="1">IFERROR((VLOOKUP(A18,GM_Table,8,FALSE)-SUMIFS(D:D,A:A,A18,B:B,B18,C:C,C18)),"")</f>
        <v/>
      </c>
      <c r="R18" s="9" t="str">
        <f ca="1">IFERROR(CONCATENATE(VLOOKUP(A18,GM_Table,12,FALSE)," ",(VLOOKUP(A18,GM_Table,13,FALSE))),"")</f>
        <v/>
      </c>
    </row>
    <row r="19" spans="1:18" ht="15" x14ac:dyDescent="0.2">
      <c r="A19" s="145" t="s">
        <v>733</v>
      </c>
      <c r="B19" s="9" t="s">
        <v>3290</v>
      </c>
      <c r="C19" s="9" t="s">
        <v>3291</v>
      </c>
      <c r="D19" s="244">
        <v>0.72</v>
      </c>
      <c r="E19" s="221">
        <v>457</v>
      </c>
      <c r="F19" s="246">
        <v>430</v>
      </c>
      <c r="G19" s="247">
        <v>214</v>
      </c>
      <c r="H19" s="248">
        <v>326</v>
      </c>
      <c r="I19" s="249">
        <v>412</v>
      </c>
      <c r="J19" s="122" t="b">
        <f>IF(ISBLANK(CertifiedCrop[[#This Row],[1. Identifiant interne d’exploitation agricole*]]),"",IF(ISERROR(MATCH(CertifiedCrop[[#This Row],[1. Identifiant interne d’exploitation agricole*]],GroupMember[1. Identifiant interne d’exploitation agricole*],0)),FALSE,TRUE))</f>
        <v>1</v>
      </c>
      <c r="K19" s="122" t="b">
        <f t="array" ref="K19">IF(ISBLANK(CertifiedCrop[[#This Row],[2. Produit agricole certifié*]]),"",IF(ISERROR(MATCH(1,(#REF!=CertifiedCrop[[#This Row],[2. Produit agricole certifié*]])*(#REF!=CertifiedCrop[[#This Row],[3. Variété**]]),0)),FALSE,TRUE))</f>
        <v>0</v>
      </c>
      <c r="L19" s="20" t="str">
        <f t="shared" si="0"/>
        <v/>
      </c>
      <c r="M19" s="54" t="str">
        <f t="shared" si="1"/>
        <v>!</v>
      </c>
      <c r="N19" s="54" t="str">
        <f t="shared" si="2"/>
        <v>!</v>
      </c>
      <c r="O19" s="55">
        <f t="shared" si="3"/>
        <v>634.72222222222229</v>
      </c>
      <c r="P19" s="55">
        <f t="shared" si="4"/>
        <v>597.22222222222229</v>
      </c>
      <c r="Q19" s="9" t="str">
        <f ca="1">IFERROR((VLOOKUP(A19,GM_Table,8,FALSE)-SUMIFS(D:D,A:A,A19,B:B,B19,C:C,C19)),"")</f>
        <v/>
      </c>
      <c r="R19" s="9" t="str">
        <f ca="1">IFERROR(CONCATENATE(VLOOKUP(A19,GM_Table,12,FALSE)," ",(VLOOKUP(A19,GM_Table,13,FALSE))),"")</f>
        <v/>
      </c>
    </row>
    <row r="20" spans="1:18" ht="15" x14ac:dyDescent="0.2">
      <c r="A20" s="145" t="s">
        <v>737</v>
      </c>
      <c r="B20" s="9" t="s">
        <v>3290</v>
      </c>
      <c r="C20" s="9" t="s">
        <v>3291</v>
      </c>
      <c r="D20" s="244">
        <v>1.1200000000000001</v>
      </c>
      <c r="E20" s="221">
        <v>703</v>
      </c>
      <c r="F20" s="246">
        <v>700</v>
      </c>
      <c r="G20" s="247">
        <v>566</v>
      </c>
      <c r="H20" s="248">
        <v>683</v>
      </c>
      <c r="I20" s="249">
        <v>511</v>
      </c>
      <c r="J20" s="122" t="b">
        <f>IF(ISBLANK(CertifiedCrop[[#This Row],[1. Identifiant interne d’exploitation agricole*]]),"",IF(ISERROR(MATCH(CertifiedCrop[[#This Row],[1. Identifiant interne d’exploitation agricole*]],GroupMember[1. Identifiant interne d’exploitation agricole*],0)),FALSE,TRUE))</f>
        <v>1</v>
      </c>
      <c r="K20" s="122" t="b">
        <f t="array" ref="K20">IF(ISBLANK(CertifiedCrop[[#This Row],[2. Produit agricole certifié*]]),"",IF(ISERROR(MATCH(1,(#REF!=CertifiedCrop[[#This Row],[2. Produit agricole certifié*]])*(#REF!=CertifiedCrop[[#This Row],[3. Variété**]]),0)),FALSE,TRUE))</f>
        <v>0</v>
      </c>
      <c r="L20" s="20" t="str">
        <f t="shared" si="0"/>
        <v/>
      </c>
      <c r="M20" s="54" t="str">
        <f t="shared" si="1"/>
        <v/>
      </c>
      <c r="N20" s="54" t="str">
        <f t="shared" si="2"/>
        <v/>
      </c>
      <c r="O20" s="55">
        <f t="shared" si="3"/>
        <v>627.67857142857133</v>
      </c>
      <c r="P20" s="55">
        <f t="shared" si="4"/>
        <v>624.99999999999989</v>
      </c>
      <c r="Q20" s="9" t="str">
        <f ca="1">IFERROR((VLOOKUP(A20,GM_Table,8,FALSE)-SUMIFS(D:D,A:A,A20,B:B,B20,C:C,C20)),"")</f>
        <v/>
      </c>
      <c r="R20" s="9" t="str">
        <f ca="1">IFERROR(CONCATENATE(VLOOKUP(A20,GM_Table,12,FALSE)," ",(VLOOKUP(A20,GM_Table,13,FALSE))),"")</f>
        <v/>
      </c>
    </row>
    <row r="21" spans="1:18" ht="15" x14ac:dyDescent="0.2">
      <c r="A21" s="145" t="s">
        <v>741</v>
      </c>
      <c r="B21" s="9" t="s">
        <v>3290</v>
      </c>
      <c r="C21" s="9" t="s">
        <v>3291</v>
      </c>
      <c r="D21" s="244">
        <v>1.75</v>
      </c>
      <c r="E21" s="245">
        <v>1006</v>
      </c>
      <c r="F21" s="246">
        <v>980</v>
      </c>
      <c r="G21" s="247">
        <v>900</v>
      </c>
      <c r="H21" s="248">
        <v>946</v>
      </c>
      <c r="I21" s="249">
        <v>876</v>
      </c>
      <c r="J21" s="122" t="b">
        <f>IF(ISBLANK(CertifiedCrop[[#This Row],[1. Identifiant interne d’exploitation agricole*]]),"",IF(ISERROR(MATCH(CertifiedCrop[[#This Row],[1. Identifiant interne d’exploitation agricole*]],GroupMember[1. Identifiant interne d’exploitation agricole*],0)),FALSE,TRUE))</f>
        <v>1</v>
      </c>
      <c r="K21" s="122" t="b">
        <f t="array" ref="K21">IF(ISBLANK(CertifiedCrop[[#This Row],[2. Produit agricole certifié*]]),"",IF(ISERROR(MATCH(1,(#REF!=CertifiedCrop[[#This Row],[2. Produit agricole certifié*]])*(#REF!=CertifiedCrop[[#This Row],[3. Variété**]]),0)),FALSE,TRUE))</f>
        <v>0</v>
      </c>
      <c r="L21" s="20" t="str">
        <f t="shared" si="0"/>
        <v/>
      </c>
      <c r="M21" s="54" t="str">
        <f t="shared" si="1"/>
        <v/>
      </c>
      <c r="N21" s="54" t="str">
        <f t="shared" si="2"/>
        <v/>
      </c>
      <c r="O21" s="55">
        <f t="shared" si="3"/>
        <v>574.85714285714289</v>
      </c>
      <c r="P21" s="55">
        <f t="shared" si="4"/>
        <v>560</v>
      </c>
      <c r="Q21" s="9" t="str">
        <f ca="1">IFERROR((VLOOKUP(A21,GM_Table,8,FALSE)-SUMIFS(D:D,A:A,A21,B:B,B21,C:C,C21)),"")</f>
        <v/>
      </c>
      <c r="R21" s="9" t="str">
        <f ca="1">IFERROR(CONCATENATE(VLOOKUP(A21,GM_Table,12,FALSE)," ",(VLOOKUP(A21,GM_Table,13,FALSE))),"")</f>
        <v/>
      </c>
    </row>
    <row r="22" spans="1:18" ht="15" x14ac:dyDescent="0.2">
      <c r="A22" s="145" t="s">
        <v>746</v>
      </c>
      <c r="B22" s="9" t="s">
        <v>3290</v>
      </c>
      <c r="C22" s="9" t="s">
        <v>3291</v>
      </c>
      <c r="D22" s="244">
        <v>0.56999999999999995</v>
      </c>
      <c r="E22" s="221">
        <v>355</v>
      </c>
      <c r="F22" s="246">
        <v>350</v>
      </c>
      <c r="G22" s="247">
        <v>287</v>
      </c>
      <c r="H22" s="248">
        <v>336</v>
      </c>
      <c r="I22" s="249">
        <v>301</v>
      </c>
      <c r="J22" s="122" t="b">
        <f>IF(ISBLANK(CertifiedCrop[[#This Row],[1. Identifiant interne d’exploitation agricole*]]),"",IF(ISERROR(MATCH(CertifiedCrop[[#This Row],[1. Identifiant interne d’exploitation agricole*]],GroupMember[1. Identifiant interne d’exploitation agricole*],0)),FALSE,TRUE))</f>
        <v>1</v>
      </c>
      <c r="K22" s="122" t="b">
        <f t="array" ref="K22">IF(ISBLANK(CertifiedCrop[[#This Row],[2. Produit agricole certifié*]]),"",IF(ISERROR(MATCH(1,(#REF!=CertifiedCrop[[#This Row],[2. Produit agricole certifié*]])*(#REF!=CertifiedCrop[[#This Row],[3. Variété**]]),0)),FALSE,TRUE))</f>
        <v>0</v>
      </c>
      <c r="L22" s="20" t="str">
        <f t="shared" si="0"/>
        <v/>
      </c>
      <c r="M22" s="54" t="str">
        <f t="shared" si="1"/>
        <v/>
      </c>
      <c r="N22" s="54" t="str">
        <f t="shared" si="2"/>
        <v/>
      </c>
      <c r="O22" s="55">
        <f t="shared" si="3"/>
        <v>622.80701754385973</v>
      </c>
      <c r="P22" s="55">
        <f t="shared" si="4"/>
        <v>614.0350877192983</v>
      </c>
      <c r="Q22" s="9" t="str">
        <f ca="1">IFERROR((VLOOKUP(A22,GM_Table,8,FALSE)-SUMIFS(D:D,A:A,A22,B:B,B22,C:C,C22)),"")</f>
        <v/>
      </c>
      <c r="R22" s="9" t="str">
        <f ca="1">IFERROR(CONCATENATE(VLOOKUP(A22,GM_Table,12,FALSE)," ",(VLOOKUP(A22,GM_Table,13,FALSE))),"")</f>
        <v/>
      </c>
    </row>
    <row r="23" spans="1:18" ht="15" x14ac:dyDescent="0.2">
      <c r="A23" s="145" t="s">
        <v>752</v>
      </c>
      <c r="B23" s="9" t="s">
        <v>3290</v>
      </c>
      <c r="C23" s="9" t="s">
        <v>3291</v>
      </c>
      <c r="D23" s="250">
        <v>7.45</v>
      </c>
      <c r="E23" s="245">
        <v>4053</v>
      </c>
      <c r="F23" s="246">
        <v>3865</v>
      </c>
      <c r="G23" s="247">
        <v>3233</v>
      </c>
      <c r="H23" s="248">
        <v>3908</v>
      </c>
      <c r="I23" s="249">
        <v>4235</v>
      </c>
      <c r="J23" s="122" t="b">
        <f>IF(ISBLANK(CertifiedCrop[[#This Row],[1. Identifiant interne d’exploitation agricole*]]),"",IF(ISERROR(MATCH(CertifiedCrop[[#This Row],[1. Identifiant interne d’exploitation agricole*]],GroupMember[1. Identifiant interne d’exploitation agricole*],0)),FALSE,TRUE))</f>
        <v>1</v>
      </c>
      <c r="K23" s="122" t="b">
        <f t="array" ref="K23">IF(ISBLANK(CertifiedCrop[[#This Row],[2. Produit agricole certifié*]]),"",IF(ISERROR(MATCH(1,(#REF!=CertifiedCrop[[#This Row],[2. Produit agricole certifié*]])*(#REF!=CertifiedCrop[[#This Row],[3. Variété**]]),0)),FALSE,TRUE))</f>
        <v>0</v>
      </c>
      <c r="L23" s="20" t="str">
        <f t="shared" si="0"/>
        <v/>
      </c>
      <c r="M23" s="54" t="str">
        <f t="shared" si="1"/>
        <v/>
      </c>
      <c r="N23" s="54" t="str">
        <f t="shared" si="2"/>
        <v/>
      </c>
      <c r="O23" s="55">
        <f t="shared" si="3"/>
        <v>544.02684563758385</v>
      </c>
      <c r="P23" s="55">
        <f t="shared" si="4"/>
        <v>518.79194630872485</v>
      </c>
      <c r="Q23" s="9" t="str">
        <f ca="1">IFERROR((VLOOKUP(A23,GM_Table,8,FALSE)-SUMIFS(D:D,A:A,A23,B:B,B23,C:C,C23)),"")</f>
        <v/>
      </c>
      <c r="R23" s="9" t="str">
        <f ca="1">IFERROR(CONCATENATE(VLOOKUP(A23,GM_Table,12,FALSE)," ",(VLOOKUP(A23,GM_Table,13,FALSE))),"")</f>
        <v/>
      </c>
    </row>
    <row r="24" spans="1:18" ht="15" x14ac:dyDescent="0.2">
      <c r="A24" s="145" t="s">
        <v>756</v>
      </c>
      <c r="B24" s="9" t="s">
        <v>3290</v>
      </c>
      <c r="C24" s="9" t="s">
        <v>3291</v>
      </c>
      <c r="D24" s="251">
        <v>13.34</v>
      </c>
      <c r="E24" s="245">
        <v>7208</v>
      </c>
      <c r="F24" s="246">
        <v>6859</v>
      </c>
      <c r="G24" s="247">
        <v>5996</v>
      </c>
      <c r="H24" s="248">
        <v>6008</v>
      </c>
      <c r="I24" s="249">
        <v>4736</v>
      </c>
      <c r="J24" s="122" t="b">
        <f>IF(ISBLANK(CertifiedCrop[[#This Row],[1. Identifiant interne d’exploitation agricole*]]),"",IF(ISERROR(MATCH(CertifiedCrop[[#This Row],[1. Identifiant interne d’exploitation agricole*]],GroupMember[1. Identifiant interne d’exploitation agricole*],0)),FALSE,TRUE))</f>
        <v>1</v>
      </c>
      <c r="K24" s="122" t="b">
        <f t="array" ref="K24">IF(ISBLANK(CertifiedCrop[[#This Row],[2. Produit agricole certifié*]]),"",IF(ISERROR(MATCH(1,(#REF!=CertifiedCrop[[#This Row],[2. Produit agricole certifié*]])*(#REF!=CertifiedCrop[[#This Row],[3. Variété**]]),0)),FALSE,TRUE))</f>
        <v>0</v>
      </c>
      <c r="L24" s="20" t="str">
        <f t="shared" si="0"/>
        <v/>
      </c>
      <c r="M24" s="54" t="str">
        <f t="shared" si="1"/>
        <v/>
      </c>
      <c r="N24" s="54" t="str">
        <f t="shared" si="2"/>
        <v/>
      </c>
      <c r="O24" s="55">
        <f t="shared" si="3"/>
        <v>540.32983508245877</v>
      </c>
      <c r="P24" s="55">
        <f t="shared" si="4"/>
        <v>514.16791604197897</v>
      </c>
      <c r="Q24" s="9" t="str">
        <f ca="1">IFERROR((VLOOKUP(A24,GM_Table,8,FALSE)-SUMIFS(D:D,A:A,A24,B:B,B24,C:C,C24)),"")</f>
        <v/>
      </c>
      <c r="R24" s="9" t="str">
        <f ca="1">IFERROR(CONCATENATE(VLOOKUP(A24,GM_Table,12,FALSE)," ",(VLOOKUP(A24,GM_Table,13,FALSE))),"")</f>
        <v/>
      </c>
    </row>
    <row r="25" spans="1:18" ht="15" x14ac:dyDescent="0.2">
      <c r="A25" s="145" t="s">
        <v>759</v>
      </c>
      <c r="B25" s="9" t="s">
        <v>3290</v>
      </c>
      <c r="C25" s="9" t="s">
        <v>3291</v>
      </c>
      <c r="D25" s="250">
        <v>4.38</v>
      </c>
      <c r="E25" s="245">
        <v>2551</v>
      </c>
      <c r="F25" s="246">
        <v>2450</v>
      </c>
      <c r="G25" s="247">
        <v>2296</v>
      </c>
      <c r="H25" s="248">
        <v>2499</v>
      </c>
      <c r="I25" s="249">
        <v>2769</v>
      </c>
      <c r="J25" s="122" t="b">
        <f>IF(ISBLANK(CertifiedCrop[[#This Row],[1. Identifiant interne d’exploitation agricole*]]),"",IF(ISERROR(MATCH(CertifiedCrop[[#This Row],[1. Identifiant interne d’exploitation agricole*]],GroupMember[1. Identifiant interne d’exploitation agricole*],0)),FALSE,TRUE))</f>
        <v>1</v>
      </c>
      <c r="K25" s="122" t="b">
        <f t="array" ref="K25">IF(ISBLANK(CertifiedCrop[[#This Row],[2. Produit agricole certifié*]]),"",IF(ISERROR(MATCH(1,(#REF!=CertifiedCrop[[#This Row],[2. Produit agricole certifié*]])*(#REF!=CertifiedCrop[[#This Row],[3. Variété**]]),0)),FALSE,TRUE))</f>
        <v>0</v>
      </c>
      <c r="L25" s="20" t="str">
        <f t="shared" si="0"/>
        <v/>
      </c>
      <c r="M25" s="54" t="str">
        <f t="shared" si="1"/>
        <v/>
      </c>
      <c r="N25" s="54" t="str">
        <f t="shared" si="2"/>
        <v/>
      </c>
      <c r="O25" s="55">
        <f t="shared" si="3"/>
        <v>582.42009132420094</v>
      </c>
      <c r="P25" s="55">
        <f t="shared" si="4"/>
        <v>559.36073059360729</v>
      </c>
      <c r="Q25" s="9" t="str">
        <f ca="1">IFERROR((VLOOKUP(A25,GM_Table,8,FALSE)-SUMIFS(D:D,A:A,A25,B:B,B25,C:C,C25)),"")</f>
        <v/>
      </c>
      <c r="R25" s="9" t="str">
        <f ca="1">IFERROR(CONCATENATE(VLOOKUP(A25,GM_Table,12,FALSE)," ",(VLOOKUP(A25,GM_Table,13,FALSE))),"")</f>
        <v/>
      </c>
    </row>
    <row r="26" spans="1:18" ht="15" x14ac:dyDescent="0.2">
      <c r="A26" s="145" t="s">
        <v>762</v>
      </c>
      <c r="B26" s="9" t="s">
        <v>3290</v>
      </c>
      <c r="C26" s="9" t="s">
        <v>3291</v>
      </c>
      <c r="D26" s="251">
        <v>14</v>
      </c>
      <c r="E26" s="245">
        <v>7635</v>
      </c>
      <c r="F26" s="246">
        <v>7545</v>
      </c>
      <c r="G26" s="247">
        <v>6750</v>
      </c>
      <c r="H26" s="248">
        <v>7114</v>
      </c>
      <c r="I26" s="249">
        <v>8075</v>
      </c>
      <c r="J26" s="122" t="b">
        <f>IF(ISBLANK(CertifiedCrop[[#This Row],[1. Identifiant interne d’exploitation agricole*]]),"",IF(ISERROR(MATCH(CertifiedCrop[[#This Row],[1. Identifiant interne d’exploitation agricole*]],GroupMember[1. Identifiant interne d’exploitation agricole*],0)),FALSE,TRUE))</f>
        <v>1</v>
      </c>
      <c r="K26" s="122" t="b">
        <f t="array" ref="K26">IF(ISBLANK(CertifiedCrop[[#This Row],[2. Produit agricole certifié*]]),"",IF(ISERROR(MATCH(1,(#REF!=CertifiedCrop[[#This Row],[2. Produit agricole certifié*]])*(#REF!=CertifiedCrop[[#This Row],[3. Variété**]]),0)),FALSE,TRUE))</f>
        <v>0</v>
      </c>
      <c r="L26" s="20" t="str">
        <f t="shared" si="0"/>
        <v/>
      </c>
      <c r="M26" s="54" t="str">
        <f t="shared" si="1"/>
        <v/>
      </c>
      <c r="N26" s="54" t="str">
        <f t="shared" si="2"/>
        <v/>
      </c>
      <c r="O26" s="55">
        <f t="shared" si="3"/>
        <v>545.35714285714289</v>
      </c>
      <c r="P26" s="55">
        <f t="shared" si="4"/>
        <v>538.92857142857144</v>
      </c>
      <c r="Q26" s="9" t="str">
        <f ca="1">IFERROR((VLOOKUP(A26,GM_Table,8,FALSE)-SUMIFS(D:D,A:A,A26,B:B,B26,C:C,C26)),"")</f>
        <v/>
      </c>
      <c r="R26" s="9" t="str">
        <f ca="1">IFERROR(CONCATENATE(VLOOKUP(A26,GM_Table,12,FALSE)," ",(VLOOKUP(A26,GM_Table,13,FALSE))),"")</f>
        <v/>
      </c>
    </row>
    <row r="27" spans="1:18" ht="15" x14ac:dyDescent="0.2">
      <c r="A27" s="145" t="s">
        <v>764</v>
      </c>
      <c r="B27" s="9" t="s">
        <v>3290</v>
      </c>
      <c r="C27" s="9" t="s">
        <v>3291</v>
      </c>
      <c r="D27" s="250">
        <v>3.13</v>
      </c>
      <c r="E27" s="245">
        <v>1964</v>
      </c>
      <c r="F27" s="246">
        <v>1865</v>
      </c>
      <c r="G27" s="247">
        <v>1360</v>
      </c>
      <c r="H27" s="248">
        <v>1145</v>
      </c>
      <c r="I27" s="249">
        <v>1560</v>
      </c>
      <c r="J27" s="122" t="b">
        <f>IF(ISBLANK(CertifiedCrop[[#This Row],[1. Identifiant interne d’exploitation agricole*]]),"",IF(ISERROR(MATCH(CertifiedCrop[[#This Row],[1. Identifiant interne d’exploitation agricole*]],GroupMember[1. Identifiant interne d’exploitation agricole*],0)),FALSE,TRUE))</f>
        <v>1</v>
      </c>
      <c r="K27" s="122" t="b">
        <f t="array" ref="K27">IF(ISBLANK(CertifiedCrop[[#This Row],[2. Produit agricole certifié*]]),"",IF(ISERROR(MATCH(1,(#REF!=CertifiedCrop[[#This Row],[2. Produit agricole certifié*]])*(#REF!=CertifiedCrop[[#This Row],[3. Variété**]]),0)),FALSE,TRUE))</f>
        <v>0</v>
      </c>
      <c r="L27" s="20" t="str">
        <f t="shared" si="0"/>
        <v/>
      </c>
      <c r="M27" s="54" t="str">
        <f t="shared" si="1"/>
        <v>!</v>
      </c>
      <c r="N27" s="54" t="str">
        <f t="shared" si="2"/>
        <v/>
      </c>
      <c r="O27" s="55">
        <f t="shared" si="3"/>
        <v>627.47603833865821</v>
      </c>
      <c r="P27" s="55">
        <f t="shared" si="4"/>
        <v>595.84664536741218</v>
      </c>
      <c r="Q27" s="9" t="str">
        <f ca="1">IFERROR((VLOOKUP(A27,GM_Table,8,FALSE)-SUMIFS(D:D,A:A,A27,B:B,B27,C:C,C27)),"")</f>
        <v/>
      </c>
      <c r="R27" s="9" t="str">
        <f ca="1">IFERROR(CONCATENATE(VLOOKUP(A27,GM_Table,12,FALSE)," ",(VLOOKUP(A27,GM_Table,13,FALSE))),"")</f>
        <v/>
      </c>
    </row>
    <row r="28" spans="1:18" ht="15" x14ac:dyDescent="0.2">
      <c r="A28" s="145" t="s">
        <v>767</v>
      </c>
      <c r="B28" s="9" t="s">
        <v>3290</v>
      </c>
      <c r="C28" s="9" t="s">
        <v>3291</v>
      </c>
      <c r="D28" s="252">
        <v>7</v>
      </c>
      <c r="E28" s="245">
        <v>4049</v>
      </c>
      <c r="F28" s="246">
        <v>3956</v>
      </c>
      <c r="G28" s="247">
        <v>3445</v>
      </c>
      <c r="H28" s="248">
        <v>3830</v>
      </c>
      <c r="I28" s="249">
        <v>3685</v>
      </c>
      <c r="J28" s="122" t="b">
        <f>IF(ISBLANK(CertifiedCrop[[#This Row],[1. Identifiant interne d’exploitation agricole*]]),"",IF(ISERROR(MATCH(CertifiedCrop[[#This Row],[1. Identifiant interne d’exploitation agricole*]],GroupMember[1. Identifiant interne d’exploitation agricole*],0)),FALSE,TRUE))</f>
        <v>1</v>
      </c>
      <c r="K28" s="122" t="b">
        <f t="array" ref="K28">IF(ISBLANK(CertifiedCrop[[#This Row],[2. Produit agricole certifié*]]),"",IF(ISERROR(MATCH(1,(#REF!=CertifiedCrop[[#This Row],[2. Produit agricole certifié*]])*(#REF!=CertifiedCrop[[#This Row],[3. Variété**]]),0)),FALSE,TRUE))</f>
        <v>0</v>
      </c>
      <c r="L28" s="20" t="str">
        <f t="shared" si="0"/>
        <v/>
      </c>
      <c r="M28" s="54" t="str">
        <f t="shared" si="1"/>
        <v/>
      </c>
      <c r="N28" s="54" t="str">
        <f t="shared" si="2"/>
        <v/>
      </c>
      <c r="O28" s="55">
        <f t="shared" si="3"/>
        <v>578.42857142857144</v>
      </c>
      <c r="P28" s="55">
        <f t="shared" si="4"/>
        <v>565.14285714285711</v>
      </c>
      <c r="Q28" s="9" t="str">
        <f ca="1">IFERROR((VLOOKUP(A28,GM_Table,8,FALSE)-SUMIFS(D:D,A:A,A28,B:B,B28,C:C,C28)),"")</f>
        <v/>
      </c>
      <c r="R28" s="9" t="str">
        <f ca="1">IFERROR(CONCATENATE(VLOOKUP(A28,GM_Table,12,FALSE)," ",(VLOOKUP(A28,GM_Table,13,FALSE))),"")</f>
        <v/>
      </c>
    </row>
    <row r="29" spans="1:18" ht="15" x14ac:dyDescent="0.2">
      <c r="A29" s="145" t="s">
        <v>771</v>
      </c>
      <c r="B29" s="9" t="s">
        <v>3290</v>
      </c>
      <c r="C29" s="9" t="s">
        <v>3291</v>
      </c>
      <c r="D29" s="252">
        <v>4.29</v>
      </c>
      <c r="E29" s="245">
        <v>2215</v>
      </c>
      <c r="F29" s="246">
        <v>2050</v>
      </c>
      <c r="G29" s="247">
        <v>2050</v>
      </c>
      <c r="H29" s="248">
        <v>1655</v>
      </c>
      <c r="I29" s="249">
        <v>2458</v>
      </c>
      <c r="J29" s="122" t="b">
        <f>IF(ISBLANK(CertifiedCrop[[#This Row],[1. Identifiant interne d’exploitation agricole*]]),"",IF(ISERROR(MATCH(CertifiedCrop[[#This Row],[1. Identifiant interne d’exploitation agricole*]],GroupMember[1. Identifiant interne d’exploitation agricole*],0)),FALSE,TRUE))</f>
        <v>1</v>
      </c>
      <c r="K29" s="122" t="b">
        <f t="array" ref="K29">IF(ISBLANK(CertifiedCrop[[#This Row],[2. Produit agricole certifié*]]),"",IF(ISERROR(MATCH(1,(#REF!=CertifiedCrop[[#This Row],[2. Produit agricole certifié*]])*(#REF!=CertifiedCrop[[#This Row],[3. Variété**]]),0)),FALSE,TRUE))</f>
        <v>0</v>
      </c>
      <c r="L29" s="20" t="str">
        <f t="shared" si="0"/>
        <v/>
      </c>
      <c r="M29" s="54" t="str">
        <f t="shared" si="1"/>
        <v/>
      </c>
      <c r="N29" s="54" t="str">
        <f t="shared" si="2"/>
        <v/>
      </c>
      <c r="O29" s="55">
        <f t="shared" si="3"/>
        <v>516.31701631701628</v>
      </c>
      <c r="P29" s="55">
        <f t="shared" si="4"/>
        <v>477.85547785547783</v>
      </c>
      <c r="Q29" s="9" t="str">
        <f ca="1">IFERROR((VLOOKUP(A29,GM_Table,8,FALSE)-SUMIFS(D:D,A:A,A29,B:B,B29,C:C,C29)),"")</f>
        <v/>
      </c>
      <c r="R29" s="9" t="str">
        <f ca="1">IFERROR(CONCATENATE(VLOOKUP(A29,GM_Table,12,FALSE)," ",(VLOOKUP(A29,GM_Table,13,FALSE))),"")</f>
        <v/>
      </c>
    </row>
    <row r="30" spans="1:18" ht="15" x14ac:dyDescent="0.2">
      <c r="A30" s="145" t="s">
        <v>773</v>
      </c>
      <c r="B30" s="9" t="s">
        <v>3290</v>
      </c>
      <c r="C30" s="9" t="s">
        <v>3291</v>
      </c>
      <c r="D30" s="252">
        <v>3.5</v>
      </c>
      <c r="E30" s="245">
        <v>2091</v>
      </c>
      <c r="F30" s="246">
        <v>1965</v>
      </c>
      <c r="G30" s="247">
        <v>1006</v>
      </c>
      <c r="H30" s="248">
        <v>1411</v>
      </c>
      <c r="I30" s="249">
        <v>1773</v>
      </c>
      <c r="J30" s="122" t="b">
        <f>IF(ISBLANK(CertifiedCrop[[#This Row],[1. Identifiant interne d’exploitation agricole*]]),"",IF(ISERROR(MATCH(CertifiedCrop[[#This Row],[1. Identifiant interne d’exploitation agricole*]],GroupMember[1. Identifiant interne d’exploitation agricole*],0)),FALSE,TRUE))</f>
        <v>1</v>
      </c>
      <c r="K30" s="122" t="b">
        <f t="array" ref="K30">IF(ISBLANK(CertifiedCrop[[#This Row],[2. Produit agricole certifié*]]),"",IF(ISERROR(MATCH(1,(#REF!=CertifiedCrop[[#This Row],[2. Produit agricole certifié*]])*(#REF!=CertifiedCrop[[#This Row],[3. Variété**]]),0)),FALSE,TRUE))</f>
        <v>0</v>
      </c>
      <c r="L30" s="20" t="str">
        <f t="shared" si="0"/>
        <v/>
      </c>
      <c r="M30" s="54" t="str">
        <f t="shared" si="1"/>
        <v>!</v>
      </c>
      <c r="N30" s="54" t="str">
        <f t="shared" si="2"/>
        <v>!</v>
      </c>
      <c r="O30" s="55">
        <f t="shared" si="3"/>
        <v>597.42857142857144</v>
      </c>
      <c r="P30" s="55">
        <f t="shared" si="4"/>
        <v>561.42857142857144</v>
      </c>
      <c r="Q30" s="9" t="str">
        <f ca="1">IFERROR((VLOOKUP(A30,GM_Table,8,FALSE)-SUMIFS(D:D,A:A,A30,B:B,B30,C:C,C30)),"")</f>
        <v/>
      </c>
      <c r="R30" s="9" t="str">
        <f ca="1">IFERROR(CONCATENATE(VLOOKUP(A30,GM_Table,12,FALSE)," ",(VLOOKUP(A30,GM_Table,13,FALSE))),"")</f>
        <v/>
      </c>
    </row>
    <row r="31" spans="1:18" ht="15" x14ac:dyDescent="0.2">
      <c r="A31" s="145" t="s">
        <v>775</v>
      </c>
      <c r="B31" s="9" t="s">
        <v>3290</v>
      </c>
      <c r="C31" s="9" t="s">
        <v>3291</v>
      </c>
      <c r="D31" s="252">
        <v>1.38</v>
      </c>
      <c r="E31" s="221">
        <v>865</v>
      </c>
      <c r="F31" s="253">
        <v>850</v>
      </c>
      <c r="G31" s="247">
        <v>717</v>
      </c>
      <c r="H31" s="248">
        <v>608</v>
      </c>
      <c r="I31" s="249">
        <v>754</v>
      </c>
      <c r="J31" s="122" t="b">
        <f>IF(ISBLANK(CertifiedCrop[[#This Row],[1. Identifiant interne d’exploitation agricole*]]),"",IF(ISERROR(MATCH(CertifiedCrop[[#This Row],[1. Identifiant interne d’exploitation agricole*]],GroupMember[1. Identifiant interne d’exploitation agricole*],0)),FALSE,TRUE))</f>
        <v>1</v>
      </c>
      <c r="K31" s="122" t="b">
        <f t="array" ref="K31">IF(ISBLANK(CertifiedCrop[[#This Row],[2. Produit agricole certifié*]]),"",IF(ISERROR(MATCH(1,(#REF!=CertifiedCrop[[#This Row],[2. Produit agricole certifié*]])*(#REF!=CertifiedCrop[[#This Row],[3. Variété**]]),0)),FALSE,TRUE))</f>
        <v>0</v>
      </c>
      <c r="L31" s="20" t="str">
        <f t="shared" si="0"/>
        <v/>
      </c>
      <c r="M31" s="54" t="str">
        <f t="shared" si="1"/>
        <v/>
      </c>
      <c r="N31" s="54" t="str">
        <f t="shared" si="2"/>
        <v/>
      </c>
      <c r="O31" s="55">
        <f t="shared" si="3"/>
        <v>626.81159420289862</v>
      </c>
      <c r="P31" s="55">
        <f t="shared" si="4"/>
        <v>615.94202898550725</v>
      </c>
      <c r="Q31" s="9" t="str">
        <f ca="1">IFERROR((VLOOKUP(A31,GM_Table,8,FALSE)-SUMIFS(D:D,A:A,A31,B:B,B31,C:C,C31)),"")</f>
        <v/>
      </c>
      <c r="R31" s="9" t="str">
        <f ca="1">IFERROR(CONCATENATE(VLOOKUP(A31,GM_Table,12,FALSE)," ",(VLOOKUP(A31,GM_Table,13,FALSE))),"")</f>
        <v/>
      </c>
    </row>
    <row r="32" spans="1:18" ht="15" x14ac:dyDescent="0.2">
      <c r="A32" s="145" t="s">
        <v>780</v>
      </c>
      <c r="B32" s="9" t="s">
        <v>3290</v>
      </c>
      <c r="C32" s="9" t="s">
        <v>3291</v>
      </c>
      <c r="D32" s="252">
        <v>4.24</v>
      </c>
      <c r="E32" s="245">
        <v>2499</v>
      </c>
      <c r="F32" s="253">
        <v>2365</v>
      </c>
      <c r="G32" s="247">
        <v>1144</v>
      </c>
      <c r="H32" s="248">
        <v>1990</v>
      </c>
      <c r="I32" s="249">
        <v>2242</v>
      </c>
      <c r="J32" s="122" t="b">
        <f>IF(ISBLANK(CertifiedCrop[[#This Row],[1. Identifiant interne d’exploitation agricole*]]),"",IF(ISERROR(MATCH(CertifiedCrop[[#This Row],[1. Identifiant interne d’exploitation agricole*]],GroupMember[1. Identifiant interne d’exploitation agricole*],0)),FALSE,TRUE))</f>
        <v>1</v>
      </c>
      <c r="K32" s="122" t="b">
        <f t="array" ref="K32">IF(ISBLANK(CertifiedCrop[[#This Row],[2. Produit agricole certifié*]]),"",IF(ISERROR(MATCH(1,(#REF!=CertifiedCrop[[#This Row],[2. Produit agricole certifié*]])*(#REF!=CertifiedCrop[[#This Row],[3. Variété**]]),0)),FALSE,TRUE))</f>
        <v>0</v>
      </c>
      <c r="L32" s="20" t="str">
        <f t="shared" si="0"/>
        <v/>
      </c>
      <c r="M32" s="54" t="str">
        <f t="shared" si="1"/>
        <v>!</v>
      </c>
      <c r="N32" s="54" t="str">
        <f t="shared" si="2"/>
        <v>!</v>
      </c>
      <c r="O32" s="55">
        <f t="shared" si="3"/>
        <v>589.38679245283015</v>
      </c>
      <c r="P32" s="55">
        <f t="shared" si="4"/>
        <v>557.78301886792451</v>
      </c>
      <c r="Q32" s="9" t="str">
        <f ca="1">IFERROR((VLOOKUP(A32,GM_Table,8,FALSE)-SUMIFS(D:D,A:A,A32,B:B,B32,C:C,C32)),"")</f>
        <v/>
      </c>
      <c r="R32" s="9" t="str">
        <f ca="1">IFERROR(CONCATENATE(VLOOKUP(A32,GM_Table,12,FALSE)," ",(VLOOKUP(A32,GM_Table,13,FALSE))),"")</f>
        <v/>
      </c>
    </row>
    <row r="33" spans="1:18" ht="15" x14ac:dyDescent="0.2">
      <c r="A33" s="145" t="s">
        <v>785</v>
      </c>
      <c r="B33" s="9" t="s">
        <v>3290</v>
      </c>
      <c r="C33" s="9" t="s">
        <v>3291</v>
      </c>
      <c r="D33" s="250">
        <v>5.09</v>
      </c>
      <c r="E33" s="245">
        <v>2791</v>
      </c>
      <c r="F33" s="253">
        <v>2695</v>
      </c>
      <c r="G33" s="247">
        <v>2225</v>
      </c>
      <c r="H33" s="248">
        <v>2146</v>
      </c>
      <c r="I33" s="249">
        <v>2920</v>
      </c>
      <c r="J33" s="122" t="b">
        <f>IF(ISBLANK(CertifiedCrop[[#This Row],[1. Identifiant interne d’exploitation agricole*]]),"",IF(ISERROR(MATCH(CertifiedCrop[[#This Row],[1. Identifiant interne d’exploitation agricole*]],GroupMember[1. Identifiant interne d’exploitation agricole*],0)),FALSE,TRUE))</f>
        <v>1</v>
      </c>
      <c r="K33" s="122" t="b">
        <f t="array" ref="K33">IF(ISBLANK(CertifiedCrop[[#This Row],[2. Produit agricole certifié*]]),"",IF(ISERROR(MATCH(1,(#REF!=CertifiedCrop[[#This Row],[2. Produit agricole certifié*]])*(#REF!=CertifiedCrop[[#This Row],[3. Variété**]]),0)),FALSE,TRUE))</f>
        <v>0</v>
      </c>
      <c r="L33" s="20" t="str">
        <f t="shared" si="0"/>
        <v/>
      </c>
      <c r="M33" s="54" t="str">
        <f t="shared" si="1"/>
        <v/>
      </c>
      <c r="N33" s="54" t="str">
        <f t="shared" si="2"/>
        <v/>
      </c>
      <c r="O33" s="55">
        <f t="shared" si="3"/>
        <v>548.33005893909626</v>
      </c>
      <c r="P33" s="55">
        <f t="shared" si="4"/>
        <v>529.46954813359525</v>
      </c>
      <c r="Q33" s="9" t="str">
        <f ca="1">IFERROR((VLOOKUP(A33,GM_Table,8,FALSE)-SUMIFS(D:D,A:A,A33,B:B,B33,C:C,C33)),"")</f>
        <v/>
      </c>
      <c r="R33" s="9" t="str">
        <f ca="1">IFERROR(CONCATENATE(VLOOKUP(A33,GM_Table,12,FALSE)," ",(VLOOKUP(A33,GM_Table,13,FALSE))),"")</f>
        <v/>
      </c>
    </row>
    <row r="34" spans="1:18" ht="15" x14ac:dyDescent="0.2">
      <c r="A34" s="145" t="s">
        <v>789</v>
      </c>
      <c r="B34" s="9" t="s">
        <v>3290</v>
      </c>
      <c r="C34" s="9" t="s">
        <v>3291</v>
      </c>
      <c r="D34" s="244">
        <v>3.5</v>
      </c>
      <c r="E34" s="245">
        <v>1990</v>
      </c>
      <c r="F34" s="253">
        <v>1831</v>
      </c>
      <c r="G34" s="247">
        <v>1831</v>
      </c>
      <c r="H34" s="248">
        <v>1781</v>
      </c>
      <c r="I34" s="249">
        <v>1885</v>
      </c>
      <c r="J34" s="122" t="b">
        <f>IF(ISBLANK(CertifiedCrop[[#This Row],[1. Identifiant interne d’exploitation agricole*]]),"",IF(ISERROR(MATCH(CertifiedCrop[[#This Row],[1. Identifiant interne d’exploitation agricole*]],GroupMember[1. Identifiant interne d’exploitation agricole*],0)),FALSE,TRUE))</f>
        <v>1</v>
      </c>
      <c r="K34" s="122" t="b">
        <f t="array" ref="K34">IF(ISBLANK(CertifiedCrop[[#This Row],[2. Produit agricole certifié*]]),"",IF(ISERROR(MATCH(1,(#REF!=CertifiedCrop[[#This Row],[2. Produit agricole certifié*]])*(#REF!=CertifiedCrop[[#This Row],[3. Variété**]]),0)),FALSE,TRUE))</f>
        <v>0</v>
      </c>
      <c r="L34" s="20" t="str">
        <f t="shared" si="0"/>
        <v/>
      </c>
      <c r="M34" s="54" t="str">
        <f t="shared" si="1"/>
        <v/>
      </c>
      <c r="N34" s="54" t="str">
        <f t="shared" si="2"/>
        <v/>
      </c>
      <c r="O34" s="55">
        <f t="shared" si="3"/>
        <v>568.57142857142856</v>
      </c>
      <c r="P34" s="55">
        <f t="shared" si="4"/>
        <v>523.14285714285711</v>
      </c>
      <c r="Q34" s="9" t="str">
        <f ca="1">IFERROR((VLOOKUP(A34,GM_Table,8,FALSE)-SUMIFS(D:D,A:A,A34,B:B,B34,C:C,C34)),"")</f>
        <v/>
      </c>
      <c r="R34" s="9" t="str">
        <f ca="1">IFERROR(CONCATENATE(VLOOKUP(A34,GM_Table,12,FALSE)," ",(VLOOKUP(A34,GM_Table,13,FALSE))),"")</f>
        <v/>
      </c>
    </row>
    <row r="35" spans="1:18" ht="15" x14ac:dyDescent="0.2">
      <c r="A35" s="145" t="s">
        <v>794</v>
      </c>
      <c r="B35" s="9" t="s">
        <v>3290</v>
      </c>
      <c r="C35" s="9" t="s">
        <v>3291</v>
      </c>
      <c r="D35" s="244">
        <v>1.95</v>
      </c>
      <c r="E35" s="245">
        <v>1062</v>
      </c>
      <c r="F35" s="246">
        <v>1025</v>
      </c>
      <c r="G35" s="247">
        <v>594</v>
      </c>
      <c r="H35" s="248">
        <v>990</v>
      </c>
      <c r="I35" s="249">
        <v>1099</v>
      </c>
      <c r="J35" s="122" t="b">
        <f>IF(ISBLANK(CertifiedCrop[[#This Row],[1. Identifiant interne d’exploitation agricole*]]),"",IF(ISERROR(MATCH(CertifiedCrop[[#This Row],[1. Identifiant interne d’exploitation agricole*]],GroupMember[1. Identifiant interne d’exploitation agricole*],0)),FALSE,TRUE))</f>
        <v>1</v>
      </c>
      <c r="K35" s="122" t="b">
        <f t="array" ref="K35">IF(ISBLANK(CertifiedCrop[[#This Row],[2. Produit agricole certifié*]]),"",IF(ISERROR(MATCH(1,(#REF!=CertifiedCrop[[#This Row],[2. Produit agricole certifié*]])*(#REF!=CertifiedCrop[[#This Row],[3. Variété**]]),0)),FALSE,TRUE))</f>
        <v>0</v>
      </c>
      <c r="L35" s="20" t="str">
        <f t="shared" si="0"/>
        <v/>
      </c>
      <c r="M35" s="54" t="str">
        <f t="shared" si="1"/>
        <v>!</v>
      </c>
      <c r="N35" s="54" t="str">
        <f t="shared" si="2"/>
        <v>!</v>
      </c>
      <c r="O35" s="55">
        <f t="shared" si="3"/>
        <v>544.61538461538464</v>
      </c>
      <c r="P35" s="55">
        <f t="shared" si="4"/>
        <v>525.64102564102564</v>
      </c>
      <c r="Q35" s="9" t="str">
        <f ca="1">IFERROR((VLOOKUP(A35,GM_Table,8,FALSE)-SUMIFS(D:D,A:A,A35,B:B,B35,C:C,C35)),"")</f>
        <v/>
      </c>
      <c r="R35" s="9" t="str">
        <f ca="1">IFERROR(CONCATENATE(VLOOKUP(A35,GM_Table,12,FALSE)," ",(VLOOKUP(A35,GM_Table,13,FALSE))),"")</f>
        <v/>
      </c>
    </row>
    <row r="36" spans="1:18" ht="15" x14ac:dyDescent="0.2">
      <c r="A36" s="145" t="s">
        <v>798</v>
      </c>
      <c r="B36" s="9" t="s">
        <v>3290</v>
      </c>
      <c r="C36" s="9" t="s">
        <v>3291</v>
      </c>
      <c r="D36" s="244">
        <v>2.33</v>
      </c>
      <c r="E36" s="245">
        <v>1373</v>
      </c>
      <c r="F36" s="246">
        <v>1288</v>
      </c>
      <c r="G36" s="247">
        <v>765</v>
      </c>
      <c r="H36" s="248">
        <v>1113</v>
      </c>
      <c r="I36" s="249">
        <v>1603</v>
      </c>
      <c r="J36" s="122" t="b">
        <f>IF(ISBLANK(CertifiedCrop[[#This Row],[1. Identifiant interne d’exploitation agricole*]]),"",IF(ISERROR(MATCH(CertifiedCrop[[#This Row],[1. Identifiant interne d’exploitation agricole*]],GroupMember[1. Identifiant interne d’exploitation agricole*],0)),FALSE,TRUE))</f>
        <v>1</v>
      </c>
      <c r="K36" s="122" t="b">
        <f t="array" ref="K36">IF(ISBLANK(CertifiedCrop[[#This Row],[2. Produit agricole certifié*]]),"",IF(ISERROR(MATCH(1,(#REF!=CertifiedCrop[[#This Row],[2. Produit agricole certifié*]])*(#REF!=CertifiedCrop[[#This Row],[3. Variété**]]),0)),FALSE,TRUE))</f>
        <v>0</v>
      </c>
      <c r="L36" s="20" t="str">
        <f t="shared" si="0"/>
        <v/>
      </c>
      <c r="M36" s="54" t="str">
        <f t="shared" si="1"/>
        <v>!</v>
      </c>
      <c r="N36" s="54" t="str">
        <f t="shared" si="2"/>
        <v>!</v>
      </c>
      <c r="O36" s="55">
        <f t="shared" si="3"/>
        <v>589.27038626609442</v>
      </c>
      <c r="P36" s="55">
        <f t="shared" si="4"/>
        <v>552.7896995708154</v>
      </c>
      <c r="Q36" s="9" t="str">
        <f ca="1">IFERROR((VLOOKUP(A36,GM_Table,8,FALSE)-SUMIFS(D:D,A:A,A36,B:B,B36,C:C,C36)),"")</f>
        <v/>
      </c>
      <c r="R36" s="9" t="str">
        <f ca="1">IFERROR(CONCATENATE(VLOOKUP(A36,GM_Table,12,FALSE)," ",(VLOOKUP(A36,GM_Table,13,FALSE))),"")</f>
        <v/>
      </c>
    </row>
    <row r="37" spans="1:18" ht="15" x14ac:dyDescent="0.2">
      <c r="A37" s="145" t="s">
        <v>802</v>
      </c>
      <c r="B37" s="9" t="s">
        <v>3290</v>
      </c>
      <c r="C37" s="9" t="s">
        <v>3291</v>
      </c>
      <c r="D37" s="244">
        <v>2.23</v>
      </c>
      <c r="E37" s="245">
        <v>1116</v>
      </c>
      <c r="F37" s="246">
        <v>1105</v>
      </c>
      <c r="G37" s="247">
        <v>764</v>
      </c>
      <c r="H37" s="248">
        <v>1055</v>
      </c>
      <c r="I37" s="249">
        <v>1133</v>
      </c>
      <c r="J37" s="122" t="b">
        <f>IF(ISBLANK(CertifiedCrop[[#This Row],[1. Identifiant interne d’exploitation agricole*]]),"",IF(ISERROR(MATCH(CertifiedCrop[[#This Row],[1. Identifiant interne d’exploitation agricole*]],GroupMember[1. Identifiant interne d’exploitation agricole*],0)),FALSE,TRUE))</f>
        <v>1</v>
      </c>
      <c r="K37" s="122" t="b">
        <f t="array" ref="K37">IF(ISBLANK(CertifiedCrop[[#This Row],[2. Produit agricole certifié*]]),"",IF(ISERROR(MATCH(1,(#REF!=CertifiedCrop[[#This Row],[2. Produit agricole certifié*]])*(#REF!=CertifiedCrop[[#This Row],[3. Variété**]]),0)),FALSE,TRUE))</f>
        <v>0</v>
      </c>
      <c r="L37" s="20" t="str">
        <f t="shared" si="0"/>
        <v/>
      </c>
      <c r="M37" s="54" t="str">
        <f t="shared" si="1"/>
        <v>!</v>
      </c>
      <c r="N37" s="54" t="str">
        <f t="shared" si="2"/>
        <v>!</v>
      </c>
      <c r="O37" s="55">
        <f t="shared" si="3"/>
        <v>500.44843049327352</v>
      </c>
      <c r="P37" s="55">
        <f t="shared" si="4"/>
        <v>495.51569506726457</v>
      </c>
      <c r="Q37" s="9" t="str">
        <f ca="1">IFERROR((VLOOKUP(A37,GM_Table,8,FALSE)-SUMIFS(D:D,A:A,A37,B:B,B37,C:C,C37)),"")</f>
        <v/>
      </c>
      <c r="R37" s="9" t="str">
        <f ca="1">IFERROR(CONCATENATE(VLOOKUP(A37,GM_Table,12,FALSE)," ",(VLOOKUP(A37,GM_Table,13,FALSE))),"")</f>
        <v/>
      </c>
    </row>
    <row r="38" spans="1:18" ht="15" x14ac:dyDescent="0.2">
      <c r="A38" s="145" t="s">
        <v>807</v>
      </c>
      <c r="B38" s="9" t="s">
        <v>3290</v>
      </c>
      <c r="C38" s="9" t="s">
        <v>3291</v>
      </c>
      <c r="D38" s="244">
        <v>2.2799999999999998</v>
      </c>
      <c r="E38" s="245">
        <v>1255</v>
      </c>
      <c r="F38" s="246">
        <v>1165</v>
      </c>
      <c r="G38" s="247">
        <v>634</v>
      </c>
      <c r="H38" s="248">
        <v>1080</v>
      </c>
      <c r="I38" s="249">
        <v>1410</v>
      </c>
      <c r="J38" s="122" t="b">
        <f>IF(ISBLANK(CertifiedCrop[[#This Row],[1. Identifiant interne d’exploitation agricole*]]),"",IF(ISERROR(MATCH(CertifiedCrop[[#This Row],[1. Identifiant interne d’exploitation agricole*]],GroupMember[1. Identifiant interne d’exploitation agricole*],0)),FALSE,TRUE))</f>
        <v>1</v>
      </c>
      <c r="K38" s="122" t="b">
        <f t="array" ref="K38">IF(ISBLANK(CertifiedCrop[[#This Row],[2. Produit agricole certifié*]]),"",IF(ISERROR(MATCH(1,(#REF!=CertifiedCrop[[#This Row],[2. Produit agricole certifié*]])*(#REF!=CertifiedCrop[[#This Row],[3. Variété**]]),0)),FALSE,TRUE))</f>
        <v>0</v>
      </c>
      <c r="L38" s="20" t="str">
        <f t="shared" si="0"/>
        <v/>
      </c>
      <c r="M38" s="54" t="str">
        <f t="shared" si="1"/>
        <v>!</v>
      </c>
      <c r="N38" s="54" t="str">
        <f t="shared" si="2"/>
        <v>!</v>
      </c>
      <c r="O38" s="55">
        <f t="shared" si="3"/>
        <v>550.43859649122817</v>
      </c>
      <c r="P38" s="55">
        <f t="shared" si="4"/>
        <v>510.96491228070181</v>
      </c>
      <c r="Q38" s="9" t="str">
        <f ca="1">IFERROR((VLOOKUP(A38,GM_Table,8,FALSE)-SUMIFS(D:D,A:A,A38,B:B,B38,C:C,C38)),"")</f>
        <v/>
      </c>
      <c r="R38" s="9" t="str">
        <f ca="1">IFERROR(CONCATENATE(VLOOKUP(A38,GM_Table,12,FALSE)," ",(VLOOKUP(A38,GM_Table,13,FALSE))),"")</f>
        <v/>
      </c>
    </row>
    <row r="39" spans="1:18" ht="15" x14ac:dyDescent="0.2">
      <c r="A39" s="145" t="s">
        <v>812</v>
      </c>
      <c r="B39" s="9" t="s">
        <v>3290</v>
      </c>
      <c r="C39" s="9" t="s">
        <v>3291</v>
      </c>
      <c r="D39" s="244">
        <v>0.91</v>
      </c>
      <c r="E39" s="221">
        <v>570</v>
      </c>
      <c r="F39" s="246">
        <v>554</v>
      </c>
      <c r="G39" s="247">
        <v>554</v>
      </c>
      <c r="H39" s="248">
        <v>254</v>
      </c>
      <c r="I39" s="249">
        <v>460</v>
      </c>
      <c r="J39" s="122" t="b">
        <f>IF(ISBLANK(CertifiedCrop[[#This Row],[1. Identifiant interne d’exploitation agricole*]]),"",IF(ISERROR(MATCH(CertifiedCrop[[#This Row],[1. Identifiant interne d’exploitation agricole*]],GroupMember[1. Identifiant interne d’exploitation agricole*],0)),FALSE,TRUE))</f>
        <v>1</v>
      </c>
      <c r="K39" s="122" t="b">
        <f t="array" ref="K39">IF(ISBLANK(CertifiedCrop[[#This Row],[2. Produit agricole certifié*]]),"",IF(ISERROR(MATCH(1,(#REF!=CertifiedCrop[[#This Row],[2. Produit agricole certifié*]])*(#REF!=CertifiedCrop[[#This Row],[3. Variété**]]),0)),FALSE,TRUE))</f>
        <v>0</v>
      </c>
      <c r="L39" s="20" t="str">
        <f t="shared" si="0"/>
        <v/>
      </c>
      <c r="M39" s="54" t="str">
        <f t="shared" si="1"/>
        <v/>
      </c>
      <c r="N39" s="54" t="str">
        <f t="shared" si="2"/>
        <v>!</v>
      </c>
      <c r="O39" s="55">
        <f t="shared" si="3"/>
        <v>626.37362637362639</v>
      </c>
      <c r="P39" s="55">
        <f t="shared" si="4"/>
        <v>608.79120879120876</v>
      </c>
      <c r="Q39" s="9" t="str">
        <f ca="1">IFERROR((VLOOKUP(A39,GM_Table,8,FALSE)-SUMIFS(D:D,A:A,A39,B:B,B39,C:C,C39)),"")</f>
        <v/>
      </c>
      <c r="R39" s="9" t="str">
        <f ca="1">IFERROR(CONCATENATE(VLOOKUP(A39,GM_Table,12,FALSE)," ",(VLOOKUP(A39,GM_Table,13,FALSE))),"")</f>
        <v/>
      </c>
    </row>
    <row r="40" spans="1:18" ht="15" x14ac:dyDescent="0.2">
      <c r="A40" s="145" t="s">
        <v>816</v>
      </c>
      <c r="B40" s="9" t="s">
        <v>3290</v>
      </c>
      <c r="C40" s="9" t="s">
        <v>3291</v>
      </c>
      <c r="D40" s="244">
        <v>3</v>
      </c>
      <c r="E40" s="245">
        <v>1886</v>
      </c>
      <c r="F40" s="246">
        <v>1785</v>
      </c>
      <c r="G40" s="247">
        <v>1238</v>
      </c>
      <c r="H40" s="248">
        <v>1758</v>
      </c>
      <c r="I40" s="249">
        <v>1295</v>
      </c>
      <c r="J40" s="122" t="b">
        <f>IF(ISBLANK(CertifiedCrop[[#This Row],[1. Identifiant interne d’exploitation agricole*]]),"",IF(ISERROR(MATCH(CertifiedCrop[[#This Row],[1. Identifiant interne d’exploitation agricole*]],GroupMember[1. Identifiant interne d’exploitation agricole*],0)),FALSE,TRUE))</f>
        <v>1</v>
      </c>
      <c r="K40" s="122" t="b">
        <f t="array" ref="K40">IF(ISBLANK(CertifiedCrop[[#This Row],[2. Produit agricole certifié*]]),"",IF(ISERROR(MATCH(1,(#REF!=CertifiedCrop[[#This Row],[2. Produit agricole certifié*]])*(#REF!=CertifiedCrop[[#This Row],[3. Variété**]]),0)),FALSE,TRUE))</f>
        <v>0</v>
      </c>
      <c r="L40" s="20" t="str">
        <f t="shared" si="0"/>
        <v/>
      </c>
      <c r="M40" s="54" t="str">
        <f t="shared" si="1"/>
        <v>!</v>
      </c>
      <c r="N40" s="54" t="str">
        <f t="shared" si="2"/>
        <v>!</v>
      </c>
      <c r="O40" s="55">
        <f t="shared" si="3"/>
        <v>628.66666666666663</v>
      </c>
      <c r="P40" s="55">
        <f t="shared" si="4"/>
        <v>595</v>
      </c>
      <c r="Q40" s="9" t="str">
        <f ca="1">IFERROR((VLOOKUP(A40,GM_Table,8,FALSE)-SUMIFS(D:D,A:A,A40,B:B,B40,C:C,C40)),"")</f>
        <v/>
      </c>
      <c r="R40" s="9" t="str">
        <f ca="1">IFERROR(CONCATENATE(VLOOKUP(A40,GM_Table,12,FALSE)," ",(VLOOKUP(A40,GM_Table,13,FALSE))),"")</f>
        <v/>
      </c>
    </row>
    <row r="41" spans="1:18" ht="15" x14ac:dyDescent="0.2">
      <c r="A41" s="145" t="s">
        <v>820</v>
      </c>
      <c r="B41" s="9" t="s">
        <v>3290</v>
      </c>
      <c r="C41" s="9" t="s">
        <v>3291</v>
      </c>
      <c r="D41" s="244">
        <v>4.93</v>
      </c>
      <c r="E41" s="245">
        <v>2689</v>
      </c>
      <c r="F41" s="246">
        <v>2466</v>
      </c>
      <c r="G41" s="247">
        <v>2466</v>
      </c>
      <c r="H41" s="248">
        <v>2266</v>
      </c>
      <c r="I41" s="249">
        <v>2185</v>
      </c>
      <c r="J41" s="122" t="b">
        <f>IF(ISBLANK(CertifiedCrop[[#This Row],[1. Identifiant interne d’exploitation agricole*]]),"",IF(ISERROR(MATCH(CertifiedCrop[[#This Row],[1. Identifiant interne d’exploitation agricole*]],GroupMember[1. Identifiant interne d’exploitation agricole*],0)),FALSE,TRUE))</f>
        <v>1</v>
      </c>
      <c r="K41" s="122" t="b">
        <f t="array" ref="K41">IF(ISBLANK(CertifiedCrop[[#This Row],[2. Produit agricole certifié*]]),"",IF(ISERROR(MATCH(1,(#REF!=CertifiedCrop[[#This Row],[2. Produit agricole certifié*]])*(#REF!=CertifiedCrop[[#This Row],[3. Variété**]]),0)),FALSE,TRUE))</f>
        <v>0</v>
      </c>
      <c r="L41" s="20" t="str">
        <f t="shared" si="0"/>
        <v/>
      </c>
      <c r="M41" s="54" t="str">
        <f t="shared" si="1"/>
        <v/>
      </c>
      <c r="N41" s="54" t="str">
        <f t="shared" si="2"/>
        <v/>
      </c>
      <c r="O41" s="55">
        <f t="shared" si="3"/>
        <v>545.43610547667345</v>
      </c>
      <c r="P41" s="55">
        <f t="shared" si="4"/>
        <v>500.20283975659231</v>
      </c>
      <c r="Q41" s="9" t="str">
        <f ca="1">IFERROR((VLOOKUP(A41,GM_Table,8,FALSE)-SUMIFS(D:D,A:A,A41,B:B,B41,C:C,C41)),"")</f>
        <v/>
      </c>
      <c r="R41" s="9" t="str">
        <f ca="1">IFERROR(CONCATENATE(VLOOKUP(A41,GM_Table,12,FALSE)," ",(VLOOKUP(A41,GM_Table,13,FALSE))),"")</f>
        <v/>
      </c>
    </row>
    <row r="42" spans="1:18" ht="15" x14ac:dyDescent="0.2">
      <c r="A42" s="145" t="s">
        <v>824</v>
      </c>
      <c r="B42" s="9" t="s">
        <v>3290</v>
      </c>
      <c r="C42" s="9" t="s">
        <v>3291</v>
      </c>
      <c r="D42" s="244">
        <v>4.3899999999999997</v>
      </c>
      <c r="E42" s="245">
        <v>2416</v>
      </c>
      <c r="F42" s="246">
        <v>2366</v>
      </c>
      <c r="G42" s="247">
        <v>2081</v>
      </c>
      <c r="H42" s="248">
        <v>2088</v>
      </c>
      <c r="I42" s="249">
        <v>1958</v>
      </c>
      <c r="J42" s="122" t="b">
        <f>IF(ISBLANK(CertifiedCrop[[#This Row],[1. Identifiant interne d’exploitation agricole*]]),"",IF(ISERROR(MATCH(CertifiedCrop[[#This Row],[1. Identifiant interne d’exploitation agricole*]],GroupMember[1. Identifiant interne d’exploitation agricole*],0)),FALSE,TRUE))</f>
        <v>1</v>
      </c>
      <c r="K42" s="122" t="b">
        <f t="array" ref="K42">IF(ISBLANK(CertifiedCrop[[#This Row],[2. Produit agricole certifié*]]),"",IF(ISERROR(MATCH(1,(#REF!=CertifiedCrop[[#This Row],[2. Produit agricole certifié*]])*(#REF!=CertifiedCrop[[#This Row],[3. Variété**]]),0)),FALSE,TRUE))</f>
        <v>0</v>
      </c>
      <c r="L42" s="20" t="str">
        <f t="shared" si="0"/>
        <v/>
      </c>
      <c r="M42" s="54" t="str">
        <f t="shared" si="1"/>
        <v/>
      </c>
      <c r="N42" s="54" t="str">
        <f t="shared" si="2"/>
        <v/>
      </c>
      <c r="O42" s="55">
        <f t="shared" si="3"/>
        <v>550.34168564920276</v>
      </c>
      <c r="P42" s="55">
        <f t="shared" si="4"/>
        <v>538.9521640091117</v>
      </c>
      <c r="Q42" s="9" t="str">
        <f ca="1">IFERROR((VLOOKUP(A42,GM_Table,8,FALSE)-SUMIFS(D:D,A:A,A42,B:B,B42,C:C,C42)),"")</f>
        <v/>
      </c>
      <c r="R42" s="9" t="str">
        <f ca="1">IFERROR(CONCATENATE(VLOOKUP(A42,GM_Table,12,FALSE)," ",(VLOOKUP(A42,GM_Table,13,FALSE))),"")</f>
        <v/>
      </c>
    </row>
    <row r="43" spans="1:18" ht="15" x14ac:dyDescent="0.2">
      <c r="A43" s="145" t="s">
        <v>827</v>
      </c>
      <c r="B43" s="9" t="s">
        <v>3290</v>
      </c>
      <c r="C43" s="9" t="s">
        <v>3291</v>
      </c>
      <c r="D43" s="244">
        <v>3.97</v>
      </c>
      <c r="E43" s="245">
        <v>2416</v>
      </c>
      <c r="F43" s="246">
        <v>2355</v>
      </c>
      <c r="G43" s="247">
        <v>1884</v>
      </c>
      <c r="H43" s="248">
        <v>2172</v>
      </c>
      <c r="I43" s="249">
        <v>1305</v>
      </c>
      <c r="J43" s="122" t="b">
        <f>IF(ISBLANK(CertifiedCrop[[#This Row],[1. Identifiant interne d’exploitation agricole*]]),"",IF(ISERROR(MATCH(CertifiedCrop[[#This Row],[1. Identifiant interne d’exploitation agricole*]],GroupMember[1. Identifiant interne d’exploitation agricole*],0)),FALSE,TRUE))</f>
        <v>1</v>
      </c>
      <c r="K43" s="122" t="b">
        <f t="array" ref="K43">IF(ISBLANK(CertifiedCrop[[#This Row],[2. Produit agricole certifié*]]),"",IF(ISERROR(MATCH(1,(#REF!=CertifiedCrop[[#This Row],[2. Produit agricole certifié*]])*(#REF!=CertifiedCrop[[#This Row],[3. Variété**]]),0)),FALSE,TRUE))</f>
        <v>0</v>
      </c>
      <c r="L43" s="20" t="str">
        <f t="shared" si="0"/>
        <v/>
      </c>
      <c r="M43" s="54" t="str">
        <f t="shared" si="1"/>
        <v/>
      </c>
      <c r="N43" s="54" t="str">
        <f t="shared" si="2"/>
        <v/>
      </c>
      <c r="O43" s="55">
        <f t="shared" si="3"/>
        <v>608.56423173803523</v>
      </c>
      <c r="P43" s="55">
        <f t="shared" si="4"/>
        <v>593.19899244332487</v>
      </c>
      <c r="Q43" s="9" t="str">
        <f ca="1">IFERROR((VLOOKUP(A43,GM_Table,8,FALSE)-SUMIFS(D:D,A:A,A43,B:B,B43,C:C,C43)),"")</f>
        <v/>
      </c>
      <c r="R43" s="9" t="str">
        <f ca="1">IFERROR(CONCATENATE(VLOOKUP(A43,GM_Table,12,FALSE)," ",(VLOOKUP(A43,GM_Table,13,FALSE))),"")</f>
        <v/>
      </c>
    </row>
    <row r="44" spans="1:18" ht="15" x14ac:dyDescent="0.2">
      <c r="A44" s="145" t="s">
        <v>831</v>
      </c>
      <c r="B44" s="9" t="s">
        <v>3290</v>
      </c>
      <c r="C44" s="9" t="s">
        <v>3291</v>
      </c>
      <c r="D44" s="244">
        <v>1.64</v>
      </c>
      <c r="E44" s="245">
        <v>1031</v>
      </c>
      <c r="F44" s="246">
        <v>1000</v>
      </c>
      <c r="G44" s="247">
        <v>562</v>
      </c>
      <c r="H44" s="248">
        <v>950</v>
      </c>
      <c r="I44" s="249">
        <v>898</v>
      </c>
      <c r="J44" s="122" t="b">
        <f>IF(ISBLANK(CertifiedCrop[[#This Row],[1. Identifiant interne d’exploitation agricole*]]),"",IF(ISERROR(MATCH(CertifiedCrop[[#This Row],[1. Identifiant interne d’exploitation agricole*]],GroupMember[1. Identifiant interne d’exploitation agricole*],0)),FALSE,TRUE))</f>
        <v>1</v>
      </c>
      <c r="K44" s="122" t="b">
        <f t="array" ref="K44">IF(ISBLANK(CertifiedCrop[[#This Row],[2. Produit agricole certifié*]]),"",IF(ISERROR(MATCH(1,(#REF!=CertifiedCrop[[#This Row],[2. Produit agricole certifié*]])*(#REF!=CertifiedCrop[[#This Row],[3. Variété**]]),0)),FALSE,TRUE))</f>
        <v>0</v>
      </c>
      <c r="L44" s="20" t="str">
        <f t="shared" si="0"/>
        <v/>
      </c>
      <c r="M44" s="54" t="str">
        <f t="shared" si="1"/>
        <v>!</v>
      </c>
      <c r="N44" s="54" t="str">
        <f t="shared" si="2"/>
        <v>!</v>
      </c>
      <c r="O44" s="55">
        <f t="shared" si="3"/>
        <v>628.65853658536594</v>
      </c>
      <c r="P44" s="55">
        <f t="shared" si="4"/>
        <v>609.7560975609756</v>
      </c>
      <c r="Q44" s="9" t="str">
        <f ca="1">IFERROR((VLOOKUP(A44,GM_Table,8,FALSE)-SUMIFS(D:D,A:A,A44,B:B,B44,C:C,C44)),"")</f>
        <v/>
      </c>
      <c r="R44" s="9" t="str">
        <f ca="1">IFERROR(CONCATENATE(VLOOKUP(A44,GM_Table,12,FALSE)," ",(VLOOKUP(A44,GM_Table,13,FALSE))),"")</f>
        <v/>
      </c>
    </row>
    <row r="45" spans="1:18" ht="15" x14ac:dyDescent="0.2">
      <c r="A45" s="145" t="s">
        <v>832</v>
      </c>
      <c r="B45" s="9" t="s">
        <v>3290</v>
      </c>
      <c r="C45" s="9" t="s">
        <v>3291</v>
      </c>
      <c r="D45" s="244">
        <v>0.88</v>
      </c>
      <c r="E45" s="221">
        <v>517</v>
      </c>
      <c r="F45" s="246">
        <v>500</v>
      </c>
      <c r="G45" s="247">
        <v>367</v>
      </c>
      <c r="H45" s="248">
        <v>458</v>
      </c>
      <c r="I45" s="249">
        <v>2265</v>
      </c>
      <c r="J45" s="122" t="b">
        <f>IF(ISBLANK(CertifiedCrop[[#This Row],[1. Identifiant interne d’exploitation agricole*]]),"",IF(ISERROR(MATCH(CertifiedCrop[[#This Row],[1. Identifiant interne d’exploitation agricole*]],GroupMember[1. Identifiant interne d’exploitation agricole*],0)),FALSE,TRUE))</f>
        <v>1</v>
      </c>
      <c r="K45" s="122" t="b">
        <f t="array" ref="K45">IF(ISBLANK(CertifiedCrop[[#This Row],[2. Produit agricole certifié*]]),"",IF(ISERROR(MATCH(1,(#REF!=CertifiedCrop[[#This Row],[2. Produit agricole certifié*]])*(#REF!=CertifiedCrop[[#This Row],[3. Variété**]]),0)),FALSE,TRUE))</f>
        <v>0</v>
      </c>
      <c r="L45" s="20" t="str">
        <f t="shared" si="0"/>
        <v/>
      </c>
      <c r="M45" s="54" t="str">
        <f t="shared" si="1"/>
        <v>!</v>
      </c>
      <c r="N45" s="54" t="str">
        <f t="shared" si="2"/>
        <v/>
      </c>
      <c r="O45" s="55">
        <f t="shared" si="3"/>
        <v>587.5</v>
      </c>
      <c r="P45" s="55">
        <f t="shared" si="4"/>
        <v>568.18181818181813</v>
      </c>
      <c r="Q45" s="9" t="str">
        <f ca="1">IFERROR((VLOOKUP(A45,GM_Table,8,FALSE)-SUMIFS(D:D,A:A,A45,B:B,B45,C:C,C45)),"")</f>
        <v/>
      </c>
      <c r="R45" s="9" t="str">
        <f ca="1">IFERROR(CONCATENATE(VLOOKUP(A45,GM_Table,12,FALSE)," ",(VLOOKUP(A45,GM_Table,13,FALSE))),"")</f>
        <v/>
      </c>
    </row>
    <row r="46" spans="1:18" ht="15" x14ac:dyDescent="0.2">
      <c r="A46" s="145" t="s">
        <v>835</v>
      </c>
      <c r="B46" s="9" t="s">
        <v>3290</v>
      </c>
      <c r="C46" s="9" t="s">
        <v>3291</v>
      </c>
      <c r="D46" s="244">
        <v>0.91</v>
      </c>
      <c r="E46" s="221">
        <v>502</v>
      </c>
      <c r="F46" s="246">
        <v>500</v>
      </c>
      <c r="G46" s="247">
        <v>433</v>
      </c>
      <c r="H46" s="248">
        <v>206</v>
      </c>
      <c r="I46" s="249">
        <v>489</v>
      </c>
      <c r="J46" s="122" t="b">
        <f>IF(ISBLANK(CertifiedCrop[[#This Row],[1. Identifiant interne d’exploitation agricole*]]),"",IF(ISERROR(MATCH(CertifiedCrop[[#This Row],[1. Identifiant interne d’exploitation agricole*]],GroupMember[1. Identifiant interne d’exploitation agricole*],0)),FALSE,TRUE))</f>
        <v>1</v>
      </c>
      <c r="K46" s="122" t="b">
        <f t="array" ref="K46">IF(ISBLANK(CertifiedCrop[[#This Row],[2. Produit agricole certifié*]]),"",IF(ISERROR(MATCH(1,(#REF!=CertifiedCrop[[#This Row],[2. Produit agricole certifié*]])*(#REF!=CertifiedCrop[[#This Row],[3. Variété**]]),0)),FALSE,TRUE))</f>
        <v>0</v>
      </c>
      <c r="L46" s="20" t="str">
        <f t="shared" si="0"/>
        <v/>
      </c>
      <c r="M46" s="54" t="str">
        <f t="shared" si="1"/>
        <v/>
      </c>
      <c r="N46" s="54" t="str">
        <f t="shared" si="2"/>
        <v>!</v>
      </c>
      <c r="O46" s="55">
        <f t="shared" si="3"/>
        <v>551.64835164835165</v>
      </c>
      <c r="P46" s="55">
        <f t="shared" si="4"/>
        <v>549.45054945054949</v>
      </c>
      <c r="Q46" s="9" t="str">
        <f ca="1">IFERROR((VLOOKUP(A46,GM_Table,8,FALSE)-SUMIFS(D:D,A:A,A46,B:B,B46,C:C,C46)),"")</f>
        <v/>
      </c>
      <c r="R46" s="9" t="str">
        <f ca="1">IFERROR(CONCATENATE(VLOOKUP(A46,GM_Table,12,FALSE)," ",(VLOOKUP(A46,GM_Table,13,FALSE))),"")</f>
        <v/>
      </c>
    </row>
    <row r="47" spans="1:18" ht="15" x14ac:dyDescent="0.2">
      <c r="A47" s="145" t="s">
        <v>838</v>
      </c>
      <c r="B47" s="9" t="s">
        <v>3290</v>
      </c>
      <c r="C47" s="9" t="s">
        <v>3291</v>
      </c>
      <c r="D47" s="244">
        <v>1.17</v>
      </c>
      <c r="E47" s="221">
        <v>734</v>
      </c>
      <c r="F47" s="246">
        <v>700</v>
      </c>
      <c r="G47" s="247">
        <v>573</v>
      </c>
      <c r="H47" s="248">
        <v>575</v>
      </c>
      <c r="I47" s="249">
        <v>1417</v>
      </c>
      <c r="J47" s="122" t="b">
        <f>IF(ISBLANK(CertifiedCrop[[#This Row],[1. Identifiant interne d’exploitation agricole*]]),"",IF(ISERROR(MATCH(CertifiedCrop[[#This Row],[1. Identifiant interne d’exploitation agricole*]],GroupMember[1. Identifiant interne d’exploitation agricole*],0)),FALSE,TRUE))</f>
        <v>1</v>
      </c>
      <c r="K47" s="122" t="b">
        <f t="array" ref="K47">IF(ISBLANK(CertifiedCrop[[#This Row],[2. Produit agricole certifié*]]),"",IF(ISERROR(MATCH(1,(#REF!=CertifiedCrop[[#This Row],[2. Produit agricole certifié*]])*(#REF!=CertifiedCrop[[#This Row],[3. Variété**]]),0)),FALSE,TRUE))</f>
        <v>0</v>
      </c>
      <c r="L47" s="20" t="str">
        <f t="shared" si="0"/>
        <v/>
      </c>
      <c r="M47" s="54" t="str">
        <f t="shared" si="1"/>
        <v/>
      </c>
      <c r="N47" s="54" t="str">
        <f t="shared" si="2"/>
        <v/>
      </c>
      <c r="O47" s="55">
        <f t="shared" si="3"/>
        <v>627.35042735042737</v>
      </c>
      <c r="P47" s="55">
        <f t="shared" si="4"/>
        <v>598.29059829059838</v>
      </c>
      <c r="Q47" s="9" t="str">
        <f ca="1">IFERROR((VLOOKUP(A47,GM_Table,8,FALSE)-SUMIFS(D:D,A:A,A47,B:B,B47,C:C,C47)),"")</f>
        <v/>
      </c>
      <c r="R47" s="9" t="str">
        <f ca="1">IFERROR(CONCATENATE(VLOOKUP(A47,GM_Table,12,FALSE)," ",(VLOOKUP(A47,GM_Table,13,FALSE))),"")</f>
        <v/>
      </c>
    </row>
    <row r="48" spans="1:18" ht="15" x14ac:dyDescent="0.2">
      <c r="A48" s="145" t="s">
        <v>842</v>
      </c>
      <c r="B48" s="9" t="s">
        <v>3290</v>
      </c>
      <c r="C48" s="9" t="s">
        <v>3291</v>
      </c>
      <c r="D48" s="244">
        <v>4</v>
      </c>
      <c r="E48" s="245">
        <v>2177</v>
      </c>
      <c r="F48" s="246">
        <v>2024</v>
      </c>
      <c r="G48" s="247">
        <v>2024</v>
      </c>
      <c r="H48" s="248">
        <v>1681</v>
      </c>
      <c r="I48" s="249">
        <v>2241</v>
      </c>
      <c r="J48" s="122" t="b">
        <f>IF(ISBLANK(CertifiedCrop[[#This Row],[1. Identifiant interne d’exploitation agricole*]]),"",IF(ISERROR(MATCH(CertifiedCrop[[#This Row],[1. Identifiant interne d’exploitation agricole*]],GroupMember[1. Identifiant interne d’exploitation agricole*],0)),FALSE,TRUE))</f>
        <v>1</v>
      </c>
      <c r="K48" s="122" t="b">
        <f t="array" ref="K48">IF(ISBLANK(CertifiedCrop[[#This Row],[2. Produit agricole certifié*]]),"",IF(ISERROR(MATCH(1,(#REF!=CertifiedCrop[[#This Row],[2. Produit agricole certifié*]])*(#REF!=CertifiedCrop[[#This Row],[3. Variété**]]),0)),FALSE,TRUE))</f>
        <v>0</v>
      </c>
      <c r="L48" s="20" t="str">
        <f t="shared" si="0"/>
        <v/>
      </c>
      <c r="M48" s="54" t="str">
        <f t="shared" si="1"/>
        <v/>
      </c>
      <c r="N48" s="54" t="str">
        <f t="shared" si="2"/>
        <v/>
      </c>
      <c r="O48" s="55">
        <f t="shared" si="3"/>
        <v>544.25</v>
      </c>
      <c r="P48" s="55">
        <f t="shared" si="4"/>
        <v>506</v>
      </c>
      <c r="Q48" s="9" t="str">
        <f ca="1">IFERROR((VLOOKUP(A48,GM_Table,8,FALSE)-SUMIFS(D:D,A:A,A48,B:B,B48,C:C,C48)),"")</f>
        <v/>
      </c>
      <c r="R48" s="9" t="str">
        <f ca="1">IFERROR(CONCATENATE(VLOOKUP(A48,GM_Table,12,FALSE)," ",(VLOOKUP(A48,GM_Table,13,FALSE))),"")</f>
        <v/>
      </c>
    </row>
    <row r="49" spans="1:18" ht="15" x14ac:dyDescent="0.2">
      <c r="A49" s="145" t="s">
        <v>845</v>
      </c>
      <c r="B49" s="9" t="s">
        <v>3290</v>
      </c>
      <c r="C49" s="9" t="s">
        <v>3291</v>
      </c>
      <c r="D49" s="244">
        <v>4</v>
      </c>
      <c r="E49" s="245">
        <v>2065</v>
      </c>
      <c r="F49" s="246">
        <v>1985</v>
      </c>
      <c r="G49" s="247">
        <v>1543</v>
      </c>
      <c r="H49" s="248">
        <v>1535</v>
      </c>
      <c r="I49" s="249">
        <v>1802</v>
      </c>
      <c r="J49" s="122" t="b">
        <f>IF(ISBLANK(CertifiedCrop[[#This Row],[1. Identifiant interne d’exploitation agricole*]]),"",IF(ISERROR(MATCH(CertifiedCrop[[#This Row],[1. Identifiant interne d’exploitation agricole*]],GroupMember[1. Identifiant interne d’exploitation agricole*],0)),FALSE,TRUE))</f>
        <v>1</v>
      </c>
      <c r="K49" s="122" t="b">
        <f t="array" ref="K49">IF(ISBLANK(CertifiedCrop[[#This Row],[2. Produit agricole certifié*]]),"",IF(ISERROR(MATCH(1,(#REF!=CertifiedCrop[[#This Row],[2. Produit agricole certifié*]])*(#REF!=CertifiedCrop[[#This Row],[3. Variété**]]),0)),FALSE,TRUE))</f>
        <v>0</v>
      </c>
      <c r="L49" s="20" t="str">
        <f t="shared" si="0"/>
        <v/>
      </c>
      <c r="M49" s="54" t="str">
        <f t="shared" si="1"/>
        <v>!</v>
      </c>
      <c r="N49" s="54" t="str">
        <f t="shared" si="2"/>
        <v/>
      </c>
      <c r="O49" s="55">
        <f t="shared" si="3"/>
        <v>516.25</v>
      </c>
      <c r="P49" s="55">
        <f t="shared" si="4"/>
        <v>496.25</v>
      </c>
      <c r="Q49" s="9" t="str">
        <f ca="1">IFERROR((VLOOKUP(A49,GM_Table,8,FALSE)-SUMIFS(D:D,A:A,A49,B:B,B49,C:C,C49)),"")</f>
        <v/>
      </c>
      <c r="R49" s="9" t="str">
        <f ca="1">IFERROR(CONCATENATE(VLOOKUP(A49,GM_Table,12,FALSE)," ",(VLOOKUP(A49,GM_Table,13,FALSE))),"")</f>
        <v/>
      </c>
    </row>
    <row r="50" spans="1:18" ht="15" x14ac:dyDescent="0.2">
      <c r="A50" s="145" t="s">
        <v>848</v>
      </c>
      <c r="B50" s="9" t="s">
        <v>3290</v>
      </c>
      <c r="C50" s="9" t="s">
        <v>3291</v>
      </c>
      <c r="D50" s="244">
        <v>3</v>
      </c>
      <c r="E50" s="245">
        <v>1651</v>
      </c>
      <c r="F50" s="246">
        <v>1565</v>
      </c>
      <c r="G50" s="247">
        <v>1195</v>
      </c>
      <c r="H50" s="248">
        <v>1143</v>
      </c>
      <c r="I50" s="249">
        <v>1475</v>
      </c>
      <c r="J50" s="123" t="b">
        <f>IF(ISBLANK(CertifiedCrop[[#This Row],[1. Identifiant interne d’exploitation agricole*]]),"",IF(ISERROR(MATCH(CertifiedCrop[[#This Row],[1. Identifiant interne d’exploitation agricole*]],GroupMember[1. Identifiant interne d’exploitation agricole*],0)),FALSE,TRUE))</f>
        <v>1</v>
      </c>
      <c r="K50" s="123" t="b">
        <f t="array" ref="K50">IF(ISBLANK(CertifiedCrop[[#This Row],[2. Produit agricole certifié*]]),"",IF(ISERROR(MATCH(1,(#REF!=CertifiedCrop[[#This Row],[2. Produit agricole certifié*]])*(#REF!=CertifiedCrop[[#This Row],[3. Variété**]]),0)),FALSE,TRUE))</f>
        <v>0</v>
      </c>
      <c r="L50" s="56" t="str">
        <f t="shared" si="0"/>
        <v/>
      </c>
      <c r="M50" s="54" t="str">
        <f t="shared" si="1"/>
        <v>!</v>
      </c>
      <c r="N50" s="57" t="str">
        <f t="shared" si="2"/>
        <v/>
      </c>
      <c r="O50" s="58">
        <f t="shared" si="3"/>
        <v>550.33333333333337</v>
      </c>
      <c r="P50" s="58">
        <f t="shared" si="4"/>
        <v>521.66666666666663</v>
      </c>
      <c r="Q50" s="36" t="str">
        <f ca="1">IFERROR((VLOOKUP(A50,GM_Table,8,FALSE)-SUMIFS(D:D,A:A,A50,B:B,B50,C:C,C50)),"")</f>
        <v/>
      </c>
      <c r="R50" s="36" t="str">
        <f ca="1">IFERROR(CONCATENATE(VLOOKUP(A50,GM_Table,12,FALSE)," ",(VLOOKUP(A50,GM_Table,13,FALSE))),"")</f>
        <v/>
      </c>
    </row>
    <row r="51" spans="1:18" ht="15" x14ac:dyDescent="0.2">
      <c r="A51" s="145" t="s">
        <v>851</v>
      </c>
      <c r="B51" s="9" t="s">
        <v>3290</v>
      </c>
      <c r="C51" s="9" t="s">
        <v>3291</v>
      </c>
      <c r="D51" s="244">
        <v>2.5</v>
      </c>
      <c r="E51" s="245">
        <v>1532</v>
      </c>
      <c r="F51" s="246">
        <v>1475</v>
      </c>
      <c r="G51" s="247">
        <v>1223</v>
      </c>
      <c r="H51" s="248">
        <v>1453</v>
      </c>
      <c r="I51" s="249">
        <v>1085</v>
      </c>
      <c r="J51" s="122" t="b">
        <f>IF(ISBLANK(CertifiedCrop[[#This Row],[1. Identifiant interne d’exploitation agricole*]]),"",IF(ISERROR(MATCH(CertifiedCrop[[#This Row],[1. Identifiant interne d’exploitation agricole*]],GroupMember[1. Identifiant interne d’exploitation agricole*],0)),FALSE,TRUE))</f>
        <v>1</v>
      </c>
      <c r="K51" s="122" t="b">
        <f t="array" ref="K51">IF(ISBLANK(CertifiedCrop[[#This Row],[2. Produit agricole certifié*]]),"",IF(ISERROR(MATCH(1,(#REF!=CertifiedCrop[[#This Row],[2. Produit agricole certifié*]])*(#REF!=CertifiedCrop[[#This Row],[3. Variété**]]),0)),FALSE,TRUE))</f>
        <v>0</v>
      </c>
      <c r="L51" s="20" t="str">
        <f t="shared" ref="L51:L114" si="5">IF((F51-G51)&lt;0,"!","")</f>
        <v/>
      </c>
      <c r="M51" s="54" t="str">
        <f t="shared" ref="M51:M114" si="6">IFERROR(IF((F51-G51)/G51&gt;25%,"!",IF((F51-G51)/G51&lt;-25%,"!","")),"")</f>
        <v/>
      </c>
      <c r="N51" s="54" t="str">
        <f t="shared" ref="N51:N114" si="7">IFERROR(IF((G51-H51)/H51&gt;25%,"!",IF((G51-H51)/H51&lt;-25%,"!","")),"")</f>
        <v/>
      </c>
      <c r="O51" s="55">
        <f t="shared" ref="O51:O114" si="8">IFERROR(E51/D51,"")</f>
        <v>612.79999999999995</v>
      </c>
      <c r="P51" s="55">
        <f t="shared" ref="P51:P114" si="9">IFERROR(F51/D51,"")</f>
        <v>590</v>
      </c>
      <c r="Q51" s="9" t="str">
        <f ca="1">IFERROR((VLOOKUP(A51,GM_Table,8,FALSE)-SUMIFS(D:D,A:A,A51,B:B,B51,C:C,C51)),"")</f>
        <v/>
      </c>
      <c r="R51" s="9" t="str">
        <f ca="1">IFERROR(CONCATENATE(VLOOKUP(A51,GM_Table,12,FALSE)," ",(VLOOKUP(A51,GM_Table,13,FALSE))),"")</f>
        <v/>
      </c>
    </row>
    <row r="52" spans="1:18" ht="15" x14ac:dyDescent="0.2">
      <c r="A52" s="145" t="s">
        <v>854</v>
      </c>
      <c r="B52" s="9" t="s">
        <v>3290</v>
      </c>
      <c r="C52" s="9" t="s">
        <v>3291</v>
      </c>
      <c r="D52" s="244">
        <v>2.5</v>
      </c>
      <c r="E52" s="245">
        <v>1291</v>
      </c>
      <c r="F52" s="246">
        <v>1195</v>
      </c>
      <c r="G52" s="247">
        <v>902</v>
      </c>
      <c r="H52" s="248">
        <v>1099</v>
      </c>
      <c r="I52" s="249">
        <v>1105</v>
      </c>
      <c r="J52" s="122" t="b">
        <f>IF(ISBLANK(CertifiedCrop[[#This Row],[1. Identifiant interne d’exploitation agricole*]]),"",IF(ISERROR(MATCH(CertifiedCrop[[#This Row],[1. Identifiant interne d’exploitation agricole*]],GroupMember[1. Identifiant interne d’exploitation agricole*],0)),FALSE,TRUE))</f>
        <v>1</v>
      </c>
      <c r="K52" s="122" t="b">
        <f t="array" ref="K52">IF(ISBLANK(CertifiedCrop[[#This Row],[2. Produit agricole certifié*]]),"",IF(ISERROR(MATCH(1,(#REF!=CertifiedCrop[[#This Row],[2. Produit agricole certifié*]])*(#REF!=CertifiedCrop[[#This Row],[3. Variété**]]),0)),FALSE,TRUE))</f>
        <v>0</v>
      </c>
      <c r="L52" s="20" t="str">
        <f t="shared" si="5"/>
        <v/>
      </c>
      <c r="M52" s="54" t="str">
        <f t="shared" si="6"/>
        <v>!</v>
      </c>
      <c r="N52" s="54" t="str">
        <f t="shared" si="7"/>
        <v/>
      </c>
      <c r="O52" s="55">
        <f t="shared" si="8"/>
        <v>516.4</v>
      </c>
      <c r="P52" s="55">
        <f t="shared" si="9"/>
        <v>478</v>
      </c>
      <c r="Q52" s="9" t="str">
        <f ca="1">IFERROR((VLOOKUP(A52,GM_Table,8,FALSE)-SUMIFS(D:D,A:A,A52,B:B,B52,C:C,C52)),"")</f>
        <v/>
      </c>
      <c r="R52" s="9" t="str">
        <f ca="1">IFERROR(CONCATENATE(VLOOKUP(A52,GM_Table,12,FALSE)," ",(VLOOKUP(A52,GM_Table,13,FALSE))),"")</f>
        <v/>
      </c>
    </row>
    <row r="53" spans="1:18" ht="15" x14ac:dyDescent="0.2">
      <c r="A53" s="145" t="s">
        <v>856</v>
      </c>
      <c r="B53" s="9" t="s">
        <v>3290</v>
      </c>
      <c r="C53" s="9" t="s">
        <v>3291</v>
      </c>
      <c r="D53" s="244">
        <v>2.5</v>
      </c>
      <c r="E53" s="245">
        <v>1323</v>
      </c>
      <c r="F53" s="246">
        <v>1265</v>
      </c>
      <c r="G53" s="247">
        <v>1159</v>
      </c>
      <c r="H53" s="248">
        <v>955</v>
      </c>
      <c r="I53" s="249">
        <v>1065</v>
      </c>
      <c r="J53" s="122" t="b">
        <f>IF(ISBLANK(CertifiedCrop[[#This Row],[1. Identifiant interne d’exploitation agricole*]]),"",IF(ISERROR(MATCH(CertifiedCrop[[#This Row],[1. Identifiant interne d’exploitation agricole*]],GroupMember[1. Identifiant interne d’exploitation agricole*],0)),FALSE,TRUE))</f>
        <v>1</v>
      </c>
      <c r="K53" s="122" t="b">
        <f t="array" ref="K53">IF(ISBLANK(CertifiedCrop[[#This Row],[2. Produit agricole certifié*]]),"",IF(ISERROR(MATCH(1,(#REF!=CertifiedCrop[[#This Row],[2. Produit agricole certifié*]])*(#REF!=CertifiedCrop[[#This Row],[3. Variété**]]),0)),FALSE,TRUE))</f>
        <v>0</v>
      </c>
      <c r="L53" s="20" t="str">
        <f t="shared" si="5"/>
        <v/>
      </c>
      <c r="M53" s="54" t="str">
        <f t="shared" si="6"/>
        <v/>
      </c>
      <c r="N53" s="54" t="str">
        <f t="shared" si="7"/>
        <v/>
      </c>
      <c r="O53" s="55">
        <f t="shared" si="8"/>
        <v>529.20000000000005</v>
      </c>
      <c r="P53" s="55">
        <f t="shared" si="9"/>
        <v>506</v>
      </c>
      <c r="Q53" s="9" t="str">
        <f ca="1">IFERROR((VLOOKUP(A53,GM_Table,8,FALSE)-SUMIFS(D:D,A:A,A53,B:B,B53,C:C,C53)),"")</f>
        <v/>
      </c>
      <c r="R53" s="9" t="str">
        <f ca="1">IFERROR(CONCATENATE(VLOOKUP(A53,GM_Table,12,FALSE)," ",(VLOOKUP(A53,GM_Table,13,FALSE))),"")</f>
        <v/>
      </c>
    </row>
    <row r="54" spans="1:18" ht="15" x14ac:dyDescent="0.2">
      <c r="A54" s="145" t="s">
        <v>859</v>
      </c>
      <c r="B54" s="9" t="s">
        <v>3290</v>
      </c>
      <c r="C54" s="9" t="s">
        <v>3291</v>
      </c>
      <c r="D54" s="244">
        <v>2.5</v>
      </c>
      <c r="E54" s="245">
        <v>1457</v>
      </c>
      <c r="F54" s="246">
        <v>1396</v>
      </c>
      <c r="G54" s="247">
        <v>1263</v>
      </c>
      <c r="H54" s="248">
        <v>1392</v>
      </c>
      <c r="I54" s="249">
        <v>1058</v>
      </c>
      <c r="J54" s="122" t="b">
        <f>IF(ISBLANK(CertifiedCrop[[#This Row],[1. Identifiant interne d’exploitation agricole*]]),"",IF(ISERROR(MATCH(CertifiedCrop[[#This Row],[1. Identifiant interne d’exploitation agricole*]],GroupMember[1. Identifiant interne d’exploitation agricole*],0)),FALSE,TRUE))</f>
        <v>1</v>
      </c>
      <c r="K54" s="122" t="b">
        <f t="array" ref="K54">IF(ISBLANK(CertifiedCrop[[#This Row],[2. Produit agricole certifié*]]),"",IF(ISERROR(MATCH(1,(#REF!=CertifiedCrop[[#This Row],[2. Produit agricole certifié*]])*(#REF!=CertifiedCrop[[#This Row],[3. Variété**]]),0)),FALSE,TRUE))</f>
        <v>0</v>
      </c>
      <c r="L54" s="20" t="str">
        <f t="shared" si="5"/>
        <v/>
      </c>
      <c r="M54" s="54" t="str">
        <f t="shared" si="6"/>
        <v/>
      </c>
      <c r="N54" s="54" t="str">
        <f t="shared" si="7"/>
        <v/>
      </c>
      <c r="O54" s="55">
        <f t="shared" si="8"/>
        <v>582.79999999999995</v>
      </c>
      <c r="P54" s="55">
        <f t="shared" si="9"/>
        <v>558.4</v>
      </c>
      <c r="Q54" s="9" t="str">
        <f ca="1">IFERROR((VLOOKUP(A54,GM_Table,8,FALSE)-SUMIFS(D:D,A:A,A54,B:B,B54,C:C,C54)),"")</f>
        <v/>
      </c>
      <c r="R54" s="9" t="str">
        <f ca="1">IFERROR(CONCATENATE(VLOOKUP(A54,GM_Table,12,FALSE)," ",(VLOOKUP(A54,GM_Table,13,FALSE))),"")</f>
        <v/>
      </c>
    </row>
    <row r="55" spans="1:18" ht="15" x14ac:dyDescent="0.2">
      <c r="A55" s="145" t="s">
        <v>862</v>
      </c>
      <c r="B55" s="9" t="s">
        <v>3290</v>
      </c>
      <c r="C55" s="9" t="s">
        <v>3291</v>
      </c>
      <c r="D55" s="244">
        <v>1.01</v>
      </c>
      <c r="E55" s="221">
        <v>583</v>
      </c>
      <c r="F55" s="246">
        <v>550</v>
      </c>
      <c r="G55" s="247">
        <v>481</v>
      </c>
      <c r="H55" s="248">
        <v>380</v>
      </c>
      <c r="I55" s="249">
        <v>525</v>
      </c>
      <c r="J55" s="122" t="b">
        <f>IF(ISBLANK(CertifiedCrop[[#This Row],[1. Identifiant interne d’exploitation agricole*]]),"",IF(ISERROR(MATCH(CertifiedCrop[[#This Row],[1. Identifiant interne d’exploitation agricole*]],GroupMember[1. Identifiant interne d’exploitation agricole*],0)),FALSE,TRUE))</f>
        <v>1</v>
      </c>
      <c r="K55" s="122" t="b">
        <f t="array" ref="K55">IF(ISBLANK(CertifiedCrop[[#This Row],[2. Produit agricole certifié*]]),"",IF(ISERROR(MATCH(1,(#REF!=CertifiedCrop[[#This Row],[2. Produit agricole certifié*]])*(#REF!=CertifiedCrop[[#This Row],[3. Variété**]]),0)),FALSE,TRUE))</f>
        <v>0</v>
      </c>
      <c r="L55" s="20" t="str">
        <f t="shared" si="5"/>
        <v/>
      </c>
      <c r="M55" s="54" t="str">
        <f t="shared" si="6"/>
        <v/>
      </c>
      <c r="N55" s="54" t="str">
        <f t="shared" si="7"/>
        <v>!</v>
      </c>
      <c r="O55" s="55">
        <f t="shared" si="8"/>
        <v>577.22772277227727</v>
      </c>
      <c r="P55" s="55">
        <f t="shared" si="9"/>
        <v>544.55445544554459</v>
      </c>
      <c r="Q55" s="9" t="str">
        <f ca="1">IFERROR((VLOOKUP(A55,GM_Table,8,FALSE)-SUMIFS(D:D,A:A,A55,B:B,B55,C:C,C55)),"")</f>
        <v/>
      </c>
      <c r="R55" s="9" t="str">
        <f ca="1">IFERROR(CONCATENATE(VLOOKUP(A55,GM_Table,12,FALSE)," ",(VLOOKUP(A55,GM_Table,13,FALSE))),"")</f>
        <v/>
      </c>
    </row>
    <row r="56" spans="1:18" ht="15" x14ac:dyDescent="0.2">
      <c r="A56" s="145" t="s">
        <v>867</v>
      </c>
      <c r="B56" s="9" t="s">
        <v>3290</v>
      </c>
      <c r="C56" s="9" t="s">
        <v>3291</v>
      </c>
      <c r="D56" s="244">
        <v>3.22</v>
      </c>
      <c r="E56" s="245">
        <v>1801</v>
      </c>
      <c r="F56" s="246">
        <v>1745</v>
      </c>
      <c r="G56" s="247">
        <v>1264</v>
      </c>
      <c r="H56" s="248">
        <v>1486</v>
      </c>
      <c r="I56" s="249">
        <v>1777</v>
      </c>
      <c r="J56" s="122" t="b">
        <f>IF(ISBLANK(CertifiedCrop[[#This Row],[1. Identifiant interne d’exploitation agricole*]]),"",IF(ISERROR(MATCH(CertifiedCrop[[#This Row],[1. Identifiant interne d’exploitation agricole*]],GroupMember[1. Identifiant interne d’exploitation agricole*],0)),FALSE,TRUE))</f>
        <v>1</v>
      </c>
      <c r="K56" s="122" t="b">
        <f t="array" ref="K56">IF(ISBLANK(CertifiedCrop[[#This Row],[2. Produit agricole certifié*]]),"",IF(ISERROR(MATCH(1,(#REF!=CertifiedCrop[[#This Row],[2. Produit agricole certifié*]])*(#REF!=CertifiedCrop[[#This Row],[3. Variété**]]),0)),FALSE,TRUE))</f>
        <v>0</v>
      </c>
      <c r="L56" s="20" t="str">
        <f t="shared" si="5"/>
        <v/>
      </c>
      <c r="M56" s="54" t="str">
        <f t="shared" si="6"/>
        <v>!</v>
      </c>
      <c r="N56" s="54" t="str">
        <f t="shared" si="7"/>
        <v/>
      </c>
      <c r="O56" s="55">
        <f t="shared" si="8"/>
        <v>559.31677018633536</v>
      </c>
      <c r="P56" s="55">
        <f t="shared" si="9"/>
        <v>541.92546583850924</v>
      </c>
      <c r="Q56" s="9" t="str">
        <f ca="1">IFERROR((VLOOKUP(A56,GM_Table,8,FALSE)-SUMIFS(D:D,A:A,A56,B:B,B56,C:C,C56)),"")</f>
        <v/>
      </c>
      <c r="R56" s="9" t="str">
        <f ca="1">IFERROR(CONCATENATE(VLOOKUP(A56,GM_Table,12,FALSE)," ",(VLOOKUP(A56,GM_Table,13,FALSE))),"")</f>
        <v/>
      </c>
    </row>
    <row r="57" spans="1:18" ht="15" x14ac:dyDescent="0.2">
      <c r="A57" s="145" t="s">
        <v>871</v>
      </c>
      <c r="B57" s="9" t="s">
        <v>3290</v>
      </c>
      <c r="C57" s="9" t="s">
        <v>3291</v>
      </c>
      <c r="D57" s="244">
        <v>3.24</v>
      </c>
      <c r="E57" s="245">
        <v>2004</v>
      </c>
      <c r="F57" s="246">
        <v>1898</v>
      </c>
      <c r="G57" s="247">
        <v>1756</v>
      </c>
      <c r="H57" s="248">
        <v>1434</v>
      </c>
      <c r="I57" s="249">
        <v>1425</v>
      </c>
      <c r="J57" s="122" t="b">
        <f>IF(ISBLANK(CertifiedCrop[[#This Row],[1. Identifiant interne d’exploitation agricole*]]),"",IF(ISERROR(MATCH(CertifiedCrop[[#This Row],[1. Identifiant interne d’exploitation agricole*]],GroupMember[1. Identifiant interne d’exploitation agricole*],0)),FALSE,TRUE))</f>
        <v>1</v>
      </c>
      <c r="K57" s="122" t="b">
        <f t="array" ref="K57">IF(ISBLANK(CertifiedCrop[[#This Row],[2. Produit agricole certifié*]]),"",IF(ISERROR(MATCH(1,(#REF!=CertifiedCrop[[#This Row],[2. Produit agricole certifié*]])*(#REF!=CertifiedCrop[[#This Row],[3. Variété**]]),0)),FALSE,TRUE))</f>
        <v>0</v>
      </c>
      <c r="L57" s="20" t="str">
        <f t="shared" si="5"/>
        <v/>
      </c>
      <c r="M57" s="54" t="str">
        <f t="shared" si="6"/>
        <v/>
      </c>
      <c r="N57" s="54" t="str">
        <f t="shared" si="7"/>
        <v/>
      </c>
      <c r="O57" s="55">
        <f t="shared" si="8"/>
        <v>618.51851851851848</v>
      </c>
      <c r="P57" s="55">
        <f t="shared" si="9"/>
        <v>585.80246913580243</v>
      </c>
      <c r="Q57" s="9" t="str">
        <f ca="1">IFERROR((VLOOKUP(A57,GM_Table,8,FALSE)-SUMIFS(D:D,A:A,A57,B:B,B57,C:C,C57)),"")</f>
        <v/>
      </c>
      <c r="R57" s="9" t="str">
        <f ca="1">IFERROR(CONCATENATE(VLOOKUP(A57,GM_Table,12,FALSE)," ",(VLOOKUP(A57,GM_Table,13,FALSE))),"")</f>
        <v/>
      </c>
    </row>
    <row r="58" spans="1:18" ht="15" x14ac:dyDescent="0.2">
      <c r="A58" s="145" t="s">
        <v>874</v>
      </c>
      <c r="B58" s="9" t="s">
        <v>3290</v>
      </c>
      <c r="C58" s="9" t="s">
        <v>3291</v>
      </c>
      <c r="D58" s="244">
        <v>3.5</v>
      </c>
      <c r="E58" s="245">
        <v>2025</v>
      </c>
      <c r="F58" s="246">
        <v>1875</v>
      </c>
      <c r="G58" s="247">
        <v>1684</v>
      </c>
      <c r="H58" s="248">
        <v>1602</v>
      </c>
      <c r="I58" s="249">
        <v>1425</v>
      </c>
      <c r="J58" s="122" t="b">
        <f>IF(ISBLANK(CertifiedCrop[[#This Row],[1. Identifiant interne d’exploitation agricole*]]),"",IF(ISERROR(MATCH(CertifiedCrop[[#This Row],[1. Identifiant interne d’exploitation agricole*]],GroupMember[1. Identifiant interne d’exploitation agricole*],0)),FALSE,TRUE))</f>
        <v>1</v>
      </c>
      <c r="K58" s="122" t="b">
        <f t="array" ref="K58">IF(ISBLANK(CertifiedCrop[[#This Row],[2. Produit agricole certifié*]]),"",IF(ISERROR(MATCH(1,(#REF!=CertifiedCrop[[#This Row],[2. Produit agricole certifié*]])*(#REF!=CertifiedCrop[[#This Row],[3. Variété**]]),0)),FALSE,TRUE))</f>
        <v>0</v>
      </c>
      <c r="L58" s="20" t="str">
        <f t="shared" si="5"/>
        <v/>
      </c>
      <c r="M58" s="54" t="str">
        <f t="shared" si="6"/>
        <v/>
      </c>
      <c r="N58" s="54" t="str">
        <f t="shared" si="7"/>
        <v/>
      </c>
      <c r="O58" s="55">
        <f t="shared" si="8"/>
        <v>578.57142857142856</v>
      </c>
      <c r="P58" s="55">
        <f t="shared" si="9"/>
        <v>535.71428571428567</v>
      </c>
      <c r="Q58" s="9" t="str">
        <f ca="1">IFERROR((VLOOKUP(A58,GM_Table,8,FALSE)-SUMIFS(D:D,A:A,A58,B:B,B58,C:C,C58)),"")</f>
        <v/>
      </c>
      <c r="R58" s="9" t="str">
        <f ca="1">IFERROR(CONCATENATE(VLOOKUP(A58,GM_Table,12,FALSE)," ",(VLOOKUP(A58,GM_Table,13,FALSE))),"")</f>
        <v/>
      </c>
    </row>
    <row r="59" spans="1:18" ht="15" x14ac:dyDescent="0.2">
      <c r="A59" s="145" t="s">
        <v>877</v>
      </c>
      <c r="B59" s="9" t="s">
        <v>3290</v>
      </c>
      <c r="C59" s="9" t="s">
        <v>3291</v>
      </c>
      <c r="D59" s="244">
        <v>4.6100000000000003</v>
      </c>
      <c r="E59" s="245">
        <v>2616</v>
      </c>
      <c r="F59" s="246">
        <v>2574</v>
      </c>
      <c r="G59" s="247">
        <v>2242</v>
      </c>
      <c r="H59" s="248">
        <v>2420</v>
      </c>
      <c r="I59" s="249">
        <v>2045</v>
      </c>
      <c r="J59" s="122" t="b">
        <f>IF(ISBLANK(CertifiedCrop[[#This Row],[1. Identifiant interne d’exploitation agricole*]]),"",IF(ISERROR(MATCH(CertifiedCrop[[#This Row],[1. Identifiant interne d’exploitation agricole*]],GroupMember[1. Identifiant interne d’exploitation agricole*],0)),FALSE,TRUE))</f>
        <v>1</v>
      </c>
      <c r="K59" s="122" t="b">
        <f t="array" ref="K59">IF(ISBLANK(CertifiedCrop[[#This Row],[2. Produit agricole certifié*]]),"",IF(ISERROR(MATCH(1,(#REF!=CertifiedCrop[[#This Row],[2. Produit agricole certifié*]])*(#REF!=CertifiedCrop[[#This Row],[3. Variété**]]),0)),FALSE,TRUE))</f>
        <v>0</v>
      </c>
      <c r="L59" s="20" t="str">
        <f t="shared" si="5"/>
        <v/>
      </c>
      <c r="M59" s="54" t="str">
        <f t="shared" si="6"/>
        <v/>
      </c>
      <c r="N59" s="54" t="str">
        <f t="shared" si="7"/>
        <v/>
      </c>
      <c r="O59" s="55">
        <f t="shared" si="8"/>
        <v>567.46203904555307</v>
      </c>
      <c r="P59" s="55">
        <f t="shared" si="9"/>
        <v>558.35140997830797</v>
      </c>
      <c r="Q59" s="9" t="str">
        <f ca="1">IFERROR((VLOOKUP(A59,GM_Table,8,FALSE)-SUMIFS(D:D,A:A,A59,B:B,B59,C:C,C59)),"")</f>
        <v/>
      </c>
      <c r="R59" s="9" t="str">
        <f ca="1">IFERROR(CONCATENATE(VLOOKUP(A59,GM_Table,12,FALSE)," ",(VLOOKUP(A59,GM_Table,13,FALSE))),"")</f>
        <v/>
      </c>
    </row>
    <row r="60" spans="1:18" ht="15" x14ac:dyDescent="0.2">
      <c r="A60" s="145" t="s">
        <v>879</v>
      </c>
      <c r="B60" s="9" t="s">
        <v>3290</v>
      </c>
      <c r="C60" s="9" t="s">
        <v>3291</v>
      </c>
      <c r="D60" s="244">
        <v>0.96</v>
      </c>
      <c r="E60" s="221">
        <v>576</v>
      </c>
      <c r="F60" s="246">
        <v>550</v>
      </c>
      <c r="G60" s="247">
        <v>265</v>
      </c>
      <c r="H60" s="248">
        <v>265</v>
      </c>
      <c r="I60" s="249">
        <v>518</v>
      </c>
      <c r="J60" s="122" t="b">
        <f>IF(ISBLANK(CertifiedCrop[[#This Row],[1. Identifiant interne d’exploitation agricole*]]),"",IF(ISERROR(MATCH(CertifiedCrop[[#This Row],[1. Identifiant interne d’exploitation agricole*]],GroupMember[1. Identifiant interne d’exploitation agricole*],0)),FALSE,TRUE))</f>
        <v>1</v>
      </c>
      <c r="K60" s="122" t="b">
        <f t="array" ref="K60">IF(ISBLANK(CertifiedCrop[[#This Row],[2. Produit agricole certifié*]]),"",IF(ISERROR(MATCH(1,(#REF!=CertifiedCrop[[#This Row],[2. Produit agricole certifié*]])*(#REF!=CertifiedCrop[[#This Row],[3. Variété**]]),0)),FALSE,TRUE))</f>
        <v>0</v>
      </c>
      <c r="L60" s="20" t="str">
        <f t="shared" si="5"/>
        <v/>
      </c>
      <c r="M60" s="54" t="str">
        <f t="shared" si="6"/>
        <v>!</v>
      </c>
      <c r="N60" s="54" t="str">
        <f t="shared" si="7"/>
        <v/>
      </c>
      <c r="O60" s="55">
        <f t="shared" si="8"/>
        <v>600</v>
      </c>
      <c r="P60" s="55">
        <f t="shared" si="9"/>
        <v>572.91666666666674</v>
      </c>
      <c r="Q60" s="9" t="str">
        <f ca="1">IFERROR((VLOOKUP(A60,GM_Table,8,FALSE)-SUMIFS(D:D,A:A,A60,B:B,B60,C:C,C60)),"")</f>
        <v/>
      </c>
      <c r="R60" s="9" t="str">
        <f ca="1">IFERROR(CONCATENATE(VLOOKUP(A60,GM_Table,12,FALSE)," ",(VLOOKUP(A60,GM_Table,13,FALSE))),"")</f>
        <v/>
      </c>
    </row>
    <row r="61" spans="1:18" ht="15" x14ac:dyDescent="0.2">
      <c r="A61" s="145" t="s">
        <v>882</v>
      </c>
      <c r="B61" s="9" t="s">
        <v>3290</v>
      </c>
      <c r="C61" s="9" t="s">
        <v>3291</v>
      </c>
      <c r="D61" s="244">
        <v>0.94</v>
      </c>
      <c r="E61" s="221">
        <v>584</v>
      </c>
      <c r="F61" s="246">
        <v>550</v>
      </c>
      <c r="G61" s="247">
        <v>485</v>
      </c>
      <c r="H61" s="248">
        <v>552</v>
      </c>
      <c r="I61" s="249">
        <v>1305</v>
      </c>
      <c r="J61" s="122" t="b">
        <f>IF(ISBLANK(CertifiedCrop[[#This Row],[1. Identifiant interne d’exploitation agricole*]]),"",IF(ISERROR(MATCH(CertifiedCrop[[#This Row],[1. Identifiant interne d’exploitation agricole*]],GroupMember[1. Identifiant interne d’exploitation agricole*],0)),FALSE,TRUE))</f>
        <v>1</v>
      </c>
      <c r="K61" s="122" t="b">
        <f t="array" ref="K61">IF(ISBLANK(CertifiedCrop[[#This Row],[2. Produit agricole certifié*]]),"",IF(ISERROR(MATCH(1,(#REF!=CertifiedCrop[[#This Row],[2. Produit agricole certifié*]])*(#REF!=CertifiedCrop[[#This Row],[3. Variété**]]),0)),FALSE,TRUE))</f>
        <v>0</v>
      </c>
      <c r="L61" s="20" t="str">
        <f t="shared" si="5"/>
        <v/>
      </c>
      <c r="M61" s="54" t="str">
        <f t="shared" si="6"/>
        <v/>
      </c>
      <c r="N61" s="54" t="str">
        <f t="shared" si="7"/>
        <v/>
      </c>
      <c r="O61" s="55">
        <f t="shared" si="8"/>
        <v>621.27659574468089</v>
      </c>
      <c r="P61" s="55">
        <f t="shared" si="9"/>
        <v>585.10638297872345</v>
      </c>
      <c r="Q61" s="9" t="str">
        <f ca="1">IFERROR((VLOOKUP(A61,GM_Table,8,FALSE)-SUMIFS(D:D,A:A,A61,B:B,B61,C:C,C61)),"")</f>
        <v/>
      </c>
      <c r="R61" s="9" t="str">
        <f ca="1">IFERROR(CONCATENATE(VLOOKUP(A61,GM_Table,12,FALSE)," ",(VLOOKUP(A61,GM_Table,13,FALSE))),"")</f>
        <v/>
      </c>
    </row>
    <row r="62" spans="1:18" ht="15" x14ac:dyDescent="0.2">
      <c r="A62" s="145" t="s">
        <v>887</v>
      </c>
      <c r="B62" s="9" t="s">
        <v>3290</v>
      </c>
      <c r="C62" s="9" t="s">
        <v>3291</v>
      </c>
      <c r="D62" s="244">
        <v>4</v>
      </c>
      <c r="E62" s="245">
        <v>2518</v>
      </c>
      <c r="F62" s="246">
        <v>2303</v>
      </c>
      <c r="G62" s="247">
        <v>2303</v>
      </c>
      <c r="H62" s="248">
        <v>2057</v>
      </c>
      <c r="I62" s="249">
        <v>1685</v>
      </c>
      <c r="J62" s="122" t="b">
        <f>IF(ISBLANK(CertifiedCrop[[#This Row],[1. Identifiant interne d’exploitation agricole*]]),"",IF(ISERROR(MATCH(CertifiedCrop[[#This Row],[1. Identifiant interne d’exploitation agricole*]],GroupMember[1. Identifiant interne d’exploitation agricole*],0)),FALSE,TRUE))</f>
        <v>1</v>
      </c>
      <c r="K62" s="122" t="b">
        <f t="array" ref="K62">IF(ISBLANK(CertifiedCrop[[#This Row],[2. Produit agricole certifié*]]),"",IF(ISERROR(MATCH(1,(#REF!=CertifiedCrop[[#This Row],[2. Produit agricole certifié*]])*(#REF!=CertifiedCrop[[#This Row],[3. Variété**]]),0)),FALSE,TRUE))</f>
        <v>0</v>
      </c>
      <c r="L62" s="20" t="str">
        <f t="shared" si="5"/>
        <v/>
      </c>
      <c r="M62" s="54" t="str">
        <f t="shared" si="6"/>
        <v/>
      </c>
      <c r="N62" s="54" t="str">
        <f t="shared" si="7"/>
        <v/>
      </c>
      <c r="O62" s="55">
        <f t="shared" si="8"/>
        <v>629.5</v>
      </c>
      <c r="P62" s="55">
        <f t="shared" si="9"/>
        <v>575.75</v>
      </c>
      <c r="Q62" s="9" t="str">
        <f ca="1">IFERROR((VLOOKUP(A62,GM_Table,8,FALSE)-SUMIFS(D:D,A:A,A62,B:B,B62,C:C,C62)),"")</f>
        <v/>
      </c>
      <c r="R62" s="9" t="str">
        <f ca="1">IFERROR(CONCATENATE(VLOOKUP(A62,GM_Table,12,FALSE)," ",(VLOOKUP(A62,GM_Table,13,FALSE))),"")</f>
        <v/>
      </c>
    </row>
    <row r="63" spans="1:18" ht="15" x14ac:dyDescent="0.2">
      <c r="A63" s="145" t="s">
        <v>890</v>
      </c>
      <c r="B63" s="9" t="s">
        <v>3290</v>
      </c>
      <c r="C63" s="9" t="s">
        <v>3291</v>
      </c>
      <c r="D63" s="244">
        <v>2.5</v>
      </c>
      <c r="E63" s="245">
        <v>1484</v>
      </c>
      <c r="F63" s="246">
        <v>1369</v>
      </c>
      <c r="G63" s="247">
        <v>1173</v>
      </c>
      <c r="H63" s="248">
        <v>1138</v>
      </c>
      <c r="I63" s="249">
        <v>1186</v>
      </c>
      <c r="J63" s="122" t="b">
        <f>IF(ISBLANK(CertifiedCrop[[#This Row],[1. Identifiant interne d’exploitation agricole*]]),"",IF(ISERROR(MATCH(CertifiedCrop[[#This Row],[1. Identifiant interne d’exploitation agricole*]],GroupMember[1. Identifiant interne d’exploitation agricole*],0)),FALSE,TRUE))</f>
        <v>1</v>
      </c>
      <c r="K63" s="122" t="b">
        <f t="array" ref="K63">IF(ISBLANK(CertifiedCrop[[#This Row],[2. Produit agricole certifié*]]),"",IF(ISERROR(MATCH(1,(#REF!=CertifiedCrop[[#This Row],[2. Produit agricole certifié*]])*(#REF!=CertifiedCrop[[#This Row],[3. Variété**]]),0)),FALSE,TRUE))</f>
        <v>0</v>
      </c>
      <c r="L63" s="20" t="str">
        <f t="shared" si="5"/>
        <v/>
      </c>
      <c r="M63" s="54" t="str">
        <f t="shared" si="6"/>
        <v/>
      </c>
      <c r="N63" s="54" t="str">
        <f t="shared" si="7"/>
        <v/>
      </c>
      <c r="O63" s="55">
        <f t="shared" si="8"/>
        <v>593.6</v>
      </c>
      <c r="P63" s="55">
        <f t="shared" si="9"/>
        <v>547.6</v>
      </c>
      <c r="Q63" s="9" t="str">
        <f ca="1">IFERROR((VLOOKUP(A63,GM_Table,8,FALSE)-SUMIFS(D:D,A:A,A63,B:B,B63,C:C,C63)),"")</f>
        <v/>
      </c>
      <c r="R63" s="9" t="str">
        <f ca="1">IFERROR(CONCATENATE(VLOOKUP(A63,GM_Table,12,FALSE)," ",(VLOOKUP(A63,GM_Table,13,FALSE))),"")</f>
        <v/>
      </c>
    </row>
    <row r="64" spans="1:18" ht="15" x14ac:dyDescent="0.2">
      <c r="A64" s="145" t="s">
        <v>892</v>
      </c>
      <c r="B64" s="9" t="s">
        <v>3290</v>
      </c>
      <c r="C64" s="9" t="s">
        <v>3291</v>
      </c>
      <c r="D64" s="244">
        <v>2.5</v>
      </c>
      <c r="E64" s="245">
        <v>1378</v>
      </c>
      <c r="F64" s="246">
        <v>1269</v>
      </c>
      <c r="G64" s="247">
        <v>938</v>
      </c>
      <c r="H64" s="248">
        <v>1335</v>
      </c>
      <c r="I64" s="249">
        <v>1365</v>
      </c>
      <c r="J64" s="122" t="b">
        <f>IF(ISBLANK(CertifiedCrop[[#This Row],[1. Identifiant interne d’exploitation agricole*]]),"",IF(ISERROR(MATCH(CertifiedCrop[[#This Row],[1. Identifiant interne d’exploitation agricole*]],GroupMember[1. Identifiant interne d’exploitation agricole*],0)),FALSE,TRUE))</f>
        <v>1</v>
      </c>
      <c r="K64" s="122" t="b">
        <f t="array" ref="K64">IF(ISBLANK(CertifiedCrop[[#This Row],[2. Produit agricole certifié*]]),"",IF(ISERROR(MATCH(1,(#REF!=CertifiedCrop[[#This Row],[2. Produit agricole certifié*]])*(#REF!=CertifiedCrop[[#This Row],[3. Variété**]]),0)),FALSE,TRUE))</f>
        <v>0</v>
      </c>
      <c r="L64" s="20" t="str">
        <f t="shared" si="5"/>
        <v/>
      </c>
      <c r="M64" s="54" t="str">
        <f t="shared" si="6"/>
        <v>!</v>
      </c>
      <c r="N64" s="54" t="str">
        <f t="shared" si="7"/>
        <v>!</v>
      </c>
      <c r="O64" s="55">
        <f t="shared" si="8"/>
        <v>551.20000000000005</v>
      </c>
      <c r="P64" s="55">
        <f t="shared" si="9"/>
        <v>507.6</v>
      </c>
      <c r="Q64" s="9" t="str">
        <f ca="1">IFERROR((VLOOKUP(A64,GM_Table,8,FALSE)-SUMIFS(D:D,A:A,A64,B:B,B64,C:C,C64)),"")</f>
        <v/>
      </c>
      <c r="R64" s="9" t="str">
        <f ca="1">IFERROR(CONCATENATE(VLOOKUP(A64,GM_Table,12,FALSE)," ",(VLOOKUP(A64,GM_Table,13,FALSE))),"")</f>
        <v/>
      </c>
    </row>
    <row r="65" spans="1:18" ht="15" x14ac:dyDescent="0.2">
      <c r="A65" s="145" t="s">
        <v>895</v>
      </c>
      <c r="B65" s="9" t="s">
        <v>3290</v>
      </c>
      <c r="C65" s="9" t="s">
        <v>3291</v>
      </c>
      <c r="D65" s="244">
        <v>1.48</v>
      </c>
      <c r="E65" s="221">
        <v>862</v>
      </c>
      <c r="F65" s="246">
        <v>800</v>
      </c>
      <c r="G65" s="247">
        <v>702</v>
      </c>
      <c r="H65" s="248">
        <v>662</v>
      </c>
      <c r="I65" s="249">
        <v>825</v>
      </c>
      <c r="J65" s="122" t="b">
        <f>IF(ISBLANK(CertifiedCrop[[#This Row],[1. Identifiant interne d’exploitation agricole*]]),"",IF(ISERROR(MATCH(CertifiedCrop[[#This Row],[1. Identifiant interne d’exploitation agricole*]],GroupMember[1. Identifiant interne d’exploitation agricole*],0)),FALSE,TRUE))</f>
        <v>1</v>
      </c>
      <c r="K65" s="122" t="b">
        <f t="array" ref="K65">IF(ISBLANK(CertifiedCrop[[#This Row],[2. Produit agricole certifié*]]),"",IF(ISERROR(MATCH(1,(#REF!=CertifiedCrop[[#This Row],[2. Produit agricole certifié*]])*(#REF!=CertifiedCrop[[#This Row],[3. Variété**]]),0)),FALSE,TRUE))</f>
        <v>0</v>
      </c>
      <c r="L65" s="20" t="str">
        <f t="shared" si="5"/>
        <v/>
      </c>
      <c r="M65" s="54" t="str">
        <f t="shared" si="6"/>
        <v/>
      </c>
      <c r="N65" s="54" t="str">
        <f t="shared" si="7"/>
        <v/>
      </c>
      <c r="O65" s="55">
        <f t="shared" si="8"/>
        <v>582.43243243243239</v>
      </c>
      <c r="P65" s="55">
        <f t="shared" si="9"/>
        <v>540.54054054054052</v>
      </c>
      <c r="Q65" s="9" t="str">
        <f ca="1">IFERROR((VLOOKUP(A65,GM_Table,8,FALSE)-SUMIFS(D:D,A:A,A65,B:B,B65,C:C,C65)),"")</f>
        <v/>
      </c>
      <c r="R65" s="9" t="str">
        <f ca="1">IFERROR(CONCATENATE(VLOOKUP(A65,GM_Table,12,FALSE)," ",(VLOOKUP(A65,GM_Table,13,FALSE))),"")</f>
        <v/>
      </c>
    </row>
    <row r="66" spans="1:18" ht="15" x14ac:dyDescent="0.2">
      <c r="A66" s="145" t="s">
        <v>899</v>
      </c>
      <c r="B66" s="9" t="s">
        <v>3290</v>
      </c>
      <c r="C66" s="9" t="s">
        <v>3291</v>
      </c>
      <c r="D66" s="250">
        <v>4.84</v>
      </c>
      <c r="E66" s="245">
        <v>2640</v>
      </c>
      <c r="F66" s="246">
        <v>2518</v>
      </c>
      <c r="G66" s="247">
        <v>2518</v>
      </c>
      <c r="H66" s="248">
        <v>2441</v>
      </c>
      <c r="I66" s="249">
        <v>2557</v>
      </c>
      <c r="J66" s="122" t="b">
        <f>IF(ISBLANK(CertifiedCrop[[#This Row],[1. Identifiant interne d’exploitation agricole*]]),"",IF(ISERROR(MATCH(CertifiedCrop[[#This Row],[1. Identifiant interne d’exploitation agricole*]],GroupMember[1. Identifiant interne d’exploitation agricole*],0)),FALSE,TRUE))</f>
        <v>1</v>
      </c>
      <c r="K66" s="122" t="b">
        <f t="array" ref="K66">IF(ISBLANK(CertifiedCrop[[#This Row],[2. Produit agricole certifié*]]),"",IF(ISERROR(MATCH(1,(#REF!=CertifiedCrop[[#This Row],[2. Produit agricole certifié*]])*(#REF!=CertifiedCrop[[#This Row],[3. Variété**]]),0)),FALSE,TRUE))</f>
        <v>0</v>
      </c>
      <c r="L66" s="20" t="str">
        <f t="shared" si="5"/>
        <v/>
      </c>
      <c r="M66" s="54" t="str">
        <f t="shared" si="6"/>
        <v/>
      </c>
      <c r="N66" s="54" t="str">
        <f t="shared" si="7"/>
        <v/>
      </c>
      <c r="O66" s="55">
        <f t="shared" si="8"/>
        <v>545.4545454545455</v>
      </c>
      <c r="P66" s="55">
        <f t="shared" si="9"/>
        <v>520.24793388429748</v>
      </c>
      <c r="Q66" s="9" t="str">
        <f ca="1">IFERROR((VLOOKUP(A66,GM_Table,8,FALSE)-SUMIFS(D:D,A:A,A66,B:B,B66,C:C,C66)),"")</f>
        <v/>
      </c>
      <c r="R66" s="9" t="str">
        <f ca="1">IFERROR(CONCATENATE(VLOOKUP(A66,GM_Table,12,FALSE)," ",(VLOOKUP(A66,GM_Table,13,FALSE))),"")</f>
        <v/>
      </c>
    </row>
    <row r="67" spans="1:18" ht="15" x14ac:dyDescent="0.2">
      <c r="A67" s="145" t="s">
        <v>901</v>
      </c>
      <c r="B67" s="9" t="s">
        <v>3290</v>
      </c>
      <c r="C67" s="9" t="s">
        <v>3291</v>
      </c>
      <c r="D67" s="252">
        <v>4</v>
      </c>
      <c r="E67" s="245">
        <v>2514</v>
      </c>
      <c r="F67" s="246">
        <v>2465</v>
      </c>
      <c r="G67" s="247">
        <v>2122</v>
      </c>
      <c r="H67" s="248">
        <v>1705</v>
      </c>
      <c r="I67" s="249">
        <v>1765</v>
      </c>
      <c r="J67" s="122" t="b">
        <f>IF(ISBLANK(CertifiedCrop[[#This Row],[1. Identifiant interne d’exploitation agricole*]]),"",IF(ISERROR(MATCH(CertifiedCrop[[#This Row],[1. Identifiant interne d’exploitation agricole*]],GroupMember[1. Identifiant interne d’exploitation agricole*],0)),FALSE,TRUE))</f>
        <v>1</v>
      </c>
      <c r="K67" s="122" t="b">
        <f t="array" ref="K67">IF(ISBLANK(CertifiedCrop[[#This Row],[2. Produit agricole certifié*]]),"",IF(ISERROR(MATCH(1,(#REF!=CertifiedCrop[[#This Row],[2. Produit agricole certifié*]])*(#REF!=CertifiedCrop[[#This Row],[3. Variété**]]),0)),FALSE,TRUE))</f>
        <v>0</v>
      </c>
      <c r="L67" s="20" t="str">
        <f t="shared" si="5"/>
        <v/>
      </c>
      <c r="M67" s="54" t="str">
        <f t="shared" si="6"/>
        <v/>
      </c>
      <c r="N67" s="54" t="str">
        <f t="shared" si="7"/>
        <v/>
      </c>
      <c r="O67" s="55">
        <f t="shared" si="8"/>
        <v>628.5</v>
      </c>
      <c r="P67" s="55">
        <f t="shared" si="9"/>
        <v>616.25</v>
      </c>
      <c r="Q67" s="9" t="str">
        <f ca="1">IFERROR((VLOOKUP(A67,GM_Table,8,FALSE)-SUMIFS(D:D,A:A,A67,B:B,B67,C:C,C67)),"")</f>
        <v/>
      </c>
      <c r="R67" s="9" t="str">
        <f ca="1">IFERROR(CONCATENATE(VLOOKUP(A67,GM_Table,12,FALSE)," ",(VLOOKUP(A67,GM_Table,13,FALSE))),"")</f>
        <v/>
      </c>
    </row>
    <row r="68" spans="1:18" ht="15" x14ac:dyDescent="0.2">
      <c r="A68" s="145" t="s">
        <v>904</v>
      </c>
      <c r="B68" s="9" t="s">
        <v>3290</v>
      </c>
      <c r="C68" s="9" t="s">
        <v>3291</v>
      </c>
      <c r="D68" s="252">
        <v>2</v>
      </c>
      <c r="E68" s="245">
        <v>1033</v>
      </c>
      <c r="F68" s="246">
        <v>1028</v>
      </c>
      <c r="G68" s="247">
        <v>1028</v>
      </c>
      <c r="H68" s="248">
        <v>891</v>
      </c>
      <c r="I68" s="249">
        <v>905</v>
      </c>
      <c r="J68" s="122" t="b">
        <f>IF(ISBLANK(CertifiedCrop[[#This Row],[1. Identifiant interne d’exploitation agricole*]]),"",IF(ISERROR(MATCH(CertifiedCrop[[#This Row],[1. Identifiant interne d’exploitation agricole*]],GroupMember[1. Identifiant interne d’exploitation agricole*],0)),FALSE,TRUE))</f>
        <v>1</v>
      </c>
      <c r="K68" s="122" t="b">
        <f t="array" ref="K68">IF(ISBLANK(CertifiedCrop[[#This Row],[2. Produit agricole certifié*]]),"",IF(ISERROR(MATCH(1,(#REF!=CertifiedCrop[[#This Row],[2. Produit agricole certifié*]])*(#REF!=CertifiedCrop[[#This Row],[3. Variété**]]),0)),FALSE,TRUE))</f>
        <v>0</v>
      </c>
      <c r="L68" s="20" t="str">
        <f t="shared" si="5"/>
        <v/>
      </c>
      <c r="M68" s="54" t="str">
        <f t="shared" si="6"/>
        <v/>
      </c>
      <c r="N68" s="54" t="str">
        <f t="shared" si="7"/>
        <v/>
      </c>
      <c r="O68" s="55">
        <f t="shared" si="8"/>
        <v>516.5</v>
      </c>
      <c r="P68" s="55">
        <f t="shared" si="9"/>
        <v>514</v>
      </c>
      <c r="Q68" s="9" t="str">
        <f ca="1">IFERROR((VLOOKUP(A68,GM_Table,8,FALSE)-SUMIFS(D:D,A:A,A68,B:B,B68,C:C,C68)),"")</f>
        <v/>
      </c>
      <c r="R68" s="9" t="str">
        <f ca="1">IFERROR(CONCATENATE(VLOOKUP(A68,GM_Table,12,FALSE)," ",(VLOOKUP(A68,GM_Table,13,FALSE))),"")</f>
        <v/>
      </c>
    </row>
    <row r="69" spans="1:18" ht="15" x14ac:dyDescent="0.2">
      <c r="A69" s="145" t="s">
        <v>907</v>
      </c>
      <c r="B69" s="9" t="s">
        <v>3290</v>
      </c>
      <c r="C69" s="9" t="s">
        <v>3291</v>
      </c>
      <c r="D69" s="252">
        <v>1.5</v>
      </c>
      <c r="E69" s="221">
        <v>800</v>
      </c>
      <c r="F69" s="246">
        <v>750</v>
      </c>
      <c r="G69" s="247">
        <v>644</v>
      </c>
      <c r="H69" s="248">
        <v>719</v>
      </c>
      <c r="I69" s="249">
        <v>824</v>
      </c>
      <c r="J69" s="122" t="b">
        <f>IF(ISBLANK(CertifiedCrop[[#This Row],[1. Identifiant interne d’exploitation agricole*]]),"",IF(ISERROR(MATCH(CertifiedCrop[[#This Row],[1. Identifiant interne d’exploitation agricole*]],GroupMember[1. Identifiant interne d’exploitation agricole*],0)),FALSE,TRUE))</f>
        <v>1</v>
      </c>
      <c r="K69" s="122" t="b">
        <f t="array" ref="K69">IF(ISBLANK(CertifiedCrop[[#This Row],[2. Produit agricole certifié*]]),"",IF(ISERROR(MATCH(1,(#REF!=CertifiedCrop[[#This Row],[2. Produit agricole certifié*]])*(#REF!=CertifiedCrop[[#This Row],[3. Variété**]]),0)),FALSE,TRUE))</f>
        <v>0</v>
      </c>
      <c r="L69" s="20" t="str">
        <f t="shared" si="5"/>
        <v/>
      </c>
      <c r="M69" s="54" t="str">
        <f t="shared" si="6"/>
        <v/>
      </c>
      <c r="N69" s="54" t="str">
        <f t="shared" si="7"/>
        <v/>
      </c>
      <c r="O69" s="55">
        <f t="shared" si="8"/>
        <v>533.33333333333337</v>
      </c>
      <c r="P69" s="55">
        <f t="shared" si="9"/>
        <v>500</v>
      </c>
      <c r="Q69" s="9" t="str">
        <f ca="1">IFERROR((VLOOKUP(A69,GM_Table,8,FALSE)-SUMIFS(D:D,A:A,A69,B:B,B69,C:C,C69)),"")</f>
        <v/>
      </c>
      <c r="R69" s="9" t="str">
        <f ca="1">IFERROR(CONCATENATE(VLOOKUP(A69,GM_Table,12,FALSE)," ",(VLOOKUP(A69,GM_Table,13,FALSE))),"")</f>
        <v/>
      </c>
    </row>
    <row r="70" spans="1:18" ht="15" x14ac:dyDescent="0.2">
      <c r="A70" s="145" t="s">
        <v>910</v>
      </c>
      <c r="B70" s="9" t="s">
        <v>3290</v>
      </c>
      <c r="C70" s="9" t="s">
        <v>3291</v>
      </c>
      <c r="D70" s="252">
        <v>1.01</v>
      </c>
      <c r="E70" s="221">
        <v>567</v>
      </c>
      <c r="F70" s="246">
        <v>550</v>
      </c>
      <c r="G70" s="247">
        <v>326</v>
      </c>
      <c r="H70" s="248">
        <v>374</v>
      </c>
      <c r="I70" s="249">
        <v>526</v>
      </c>
      <c r="J70" s="122" t="b">
        <f>IF(ISBLANK(CertifiedCrop[[#This Row],[1. Identifiant interne d’exploitation agricole*]]),"",IF(ISERROR(MATCH(CertifiedCrop[[#This Row],[1. Identifiant interne d’exploitation agricole*]],GroupMember[1. Identifiant interne d’exploitation agricole*],0)),FALSE,TRUE))</f>
        <v>1</v>
      </c>
      <c r="K70" s="122" t="b">
        <f t="array" ref="K70">IF(ISBLANK(CertifiedCrop[[#This Row],[2. Produit agricole certifié*]]),"",IF(ISERROR(MATCH(1,(#REF!=CertifiedCrop[[#This Row],[2. Produit agricole certifié*]])*(#REF!=CertifiedCrop[[#This Row],[3. Variété**]]),0)),FALSE,TRUE))</f>
        <v>0</v>
      </c>
      <c r="L70" s="20" t="str">
        <f t="shared" si="5"/>
        <v/>
      </c>
      <c r="M70" s="54" t="str">
        <f t="shared" si="6"/>
        <v>!</v>
      </c>
      <c r="N70" s="54" t="str">
        <f t="shared" si="7"/>
        <v/>
      </c>
      <c r="O70" s="55">
        <f t="shared" si="8"/>
        <v>561.38613861386136</v>
      </c>
      <c r="P70" s="55">
        <f t="shared" si="9"/>
        <v>544.55445544554459</v>
      </c>
      <c r="Q70" s="9" t="str">
        <f ca="1">IFERROR((VLOOKUP(A70,GM_Table,8,FALSE)-SUMIFS(D:D,A:A,A70,B:B,B70,C:C,C70)),"")</f>
        <v/>
      </c>
      <c r="R70" s="9" t="str">
        <f ca="1">IFERROR(CONCATENATE(VLOOKUP(A70,GM_Table,12,FALSE)," ",(VLOOKUP(A70,GM_Table,13,FALSE))),"")</f>
        <v/>
      </c>
    </row>
    <row r="71" spans="1:18" ht="15" x14ac:dyDescent="0.2">
      <c r="A71" s="145" t="s">
        <v>914</v>
      </c>
      <c r="B71" s="9" t="s">
        <v>3290</v>
      </c>
      <c r="C71" s="9" t="s">
        <v>3291</v>
      </c>
      <c r="D71" s="252">
        <v>0.54</v>
      </c>
      <c r="E71" s="221">
        <v>316</v>
      </c>
      <c r="F71" s="246">
        <v>300</v>
      </c>
      <c r="G71" s="247">
        <v>167</v>
      </c>
      <c r="H71" s="248">
        <v>323</v>
      </c>
      <c r="I71" s="249">
        <v>680</v>
      </c>
      <c r="J71" s="122" t="b">
        <f>IF(ISBLANK(CertifiedCrop[[#This Row],[1. Identifiant interne d’exploitation agricole*]]),"",IF(ISERROR(MATCH(CertifiedCrop[[#This Row],[1. Identifiant interne d’exploitation agricole*]],GroupMember[1. Identifiant interne d’exploitation agricole*],0)),FALSE,TRUE))</f>
        <v>1</v>
      </c>
      <c r="K71" s="122" t="b">
        <f t="array" ref="K71">IF(ISBLANK(CertifiedCrop[[#This Row],[2. Produit agricole certifié*]]),"",IF(ISERROR(MATCH(1,(#REF!=CertifiedCrop[[#This Row],[2. Produit agricole certifié*]])*(#REF!=CertifiedCrop[[#This Row],[3. Variété**]]),0)),FALSE,TRUE))</f>
        <v>0</v>
      </c>
      <c r="L71" s="20" t="str">
        <f t="shared" si="5"/>
        <v/>
      </c>
      <c r="M71" s="54" t="str">
        <f t="shared" si="6"/>
        <v>!</v>
      </c>
      <c r="N71" s="54" t="str">
        <f t="shared" si="7"/>
        <v>!</v>
      </c>
      <c r="O71" s="55">
        <f t="shared" si="8"/>
        <v>585.18518518518511</v>
      </c>
      <c r="P71" s="55">
        <f t="shared" si="9"/>
        <v>555.55555555555554</v>
      </c>
      <c r="Q71" s="9" t="str">
        <f ca="1">IFERROR((VLOOKUP(A71,GM_Table,8,FALSE)-SUMIFS(D:D,A:A,A71,B:B,B71,C:C,C71)),"")</f>
        <v/>
      </c>
      <c r="R71" s="9" t="str">
        <f ca="1">IFERROR(CONCATENATE(VLOOKUP(A71,GM_Table,12,FALSE)," ",(VLOOKUP(A71,GM_Table,13,FALSE))),"")</f>
        <v/>
      </c>
    </row>
    <row r="72" spans="1:18" ht="15" x14ac:dyDescent="0.2">
      <c r="A72" s="145" t="s">
        <v>917</v>
      </c>
      <c r="B72" s="9" t="s">
        <v>3290</v>
      </c>
      <c r="C72" s="9" t="s">
        <v>3291</v>
      </c>
      <c r="D72" s="252">
        <v>1.53</v>
      </c>
      <c r="E72" s="221">
        <v>885</v>
      </c>
      <c r="F72" s="246">
        <v>825</v>
      </c>
      <c r="G72" s="247">
        <v>742</v>
      </c>
      <c r="H72" s="248">
        <v>744</v>
      </c>
      <c r="I72" s="249">
        <v>698</v>
      </c>
      <c r="J72" s="122" t="b">
        <f>IF(ISBLANK(CertifiedCrop[[#This Row],[1. Identifiant interne d’exploitation agricole*]]),"",IF(ISERROR(MATCH(CertifiedCrop[[#This Row],[1. Identifiant interne d’exploitation agricole*]],GroupMember[1. Identifiant interne d’exploitation agricole*],0)),FALSE,TRUE))</f>
        <v>1</v>
      </c>
      <c r="K72" s="122" t="b">
        <f t="array" ref="K72">IF(ISBLANK(CertifiedCrop[[#This Row],[2. Produit agricole certifié*]]),"",IF(ISERROR(MATCH(1,(#REF!=CertifiedCrop[[#This Row],[2. Produit agricole certifié*]])*(#REF!=CertifiedCrop[[#This Row],[3. Variété**]]),0)),FALSE,TRUE))</f>
        <v>0</v>
      </c>
      <c r="L72" s="20" t="str">
        <f t="shared" si="5"/>
        <v/>
      </c>
      <c r="M72" s="54" t="str">
        <f t="shared" si="6"/>
        <v/>
      </c>
      <c r="N72" s="54" t="str">
        <f t="shared" si="7"/>
        <v/>
      </c>
      <c r="O72" s="55">
        <f t="shared" si="8"/>
        <v>578.43137254901956</v>
      </c>
      <c r="P72" s="55">
        <f t="shared" si="9"/>
        <v>539.21568627450984</v>
      </c>
      <c r="Q72" s="9" t="str">
        <f ca="1">IFERROR((VLOOKUP(A72,GM_Table,8,FALSE)-SUMIFS(D:D,A:A,A72,B:B,B72,C:C,C72)),"")</f>
        <v/>
      </c>
      <c r="R72" s="9" t="str">
        <f ca="1">IFERROR(CONCATENATE(VLOOKUP(A72,GM_Table,12,FALSE)," ",(VLOOKUP(A72,GM_Table,13,FALSE))),"")</f>
        <v/>
      </c>
    </row>
    <row r="73" spans="1:18" ht="15" x14ac:dyDescent="0.2">
      <c r="A73" s="145" t="s">
        <v>921</v>
      </c>
      <c r="B73" s="9" t="s">
        <v>3290</v>
      </c>
      <c r="C73" s="9" t="s">
        <v>3291</v>
      </c>
      <c r="D73" s="252">
        <v>1.5</v>
      </c>
      <c r="E73" s="221">
        <v>940</v>
      </c>
      <c r="F73" s="246">
        <v>900</v>
      </c>
      <c r="G73" s="247">
        <v>599</v>
      </c>
      <c r="H73" s="248">
        <v>462</v>
      </c>
      <c r="I73" s="249">
        <v>772</v>
      </c>
      <c r="J73" s="122" t="b">
        <f>IF(ISBLANK(CertifiedCrop[[#This Row],[1. Identifiant interne d’exploitation agricole*]]),"",IF(ISERROR(MATCH(CertifiedCrop[[#This Row],[1. Identifiant interne d’exploitation agricole*]],GroupMember[1. Identifiant interne d’exploitation agricole*],0)),FALSE,TRUE))</f>
        <v>1</v>
      </c>
      <c r="K73" s="122" t="b">
        <f t="array" ref="K73">IF(ISBLANK(CertifiedCrop[[#This Row],[2. Produit agricole certifié*]]),"",IF(ISERROR(MATCH(1,(#REF!=CertifiedCrop[[#This Row],[2. Produit agricole certifié*]])*(#REF!=CertifiedCrop[[#This Row],[3. Variété**]]),0)),FALSE,TRUE))</f>
        <v>0</v>
      </c>
      <c r="L73" s="20" t="str">
        <f t="shared" si="5"/>
        <v/>
      </c>
      <c r="M73" s="54" t="str">
        <f t="shared" si="6"/>
        <v>!</v>
      </c>
      <c r="N73" s="54" t="str">
        <f t="shared" si="7"/>
        <v>!</v>
      </c>
      <c r="O73" s="55">
        <f t="shared" si="8"/>
        <v>626.66666666666663</v>
      </c>
      <c r="P73" s="55">
        <f t="shared" si="9"/>
        <v>600</v>
      </c>
      <c r="Q73" s="9" t="str">
        <f ca="1">IFERROR((VLOOKUP(A73,GM_Table,8,FALSE)-SUMIFS(D:D,A:A,A73,B:B,B73,C:C,C73)),"")</f>
        <v/>
      </c>
      <c r="R73" s="9" t="str">
        <f ca="1">IFERROR(CONCATENATE(VLOOKUP(A73,GM_Table,12,FALSE)," ",(VLOOKUP(A73,GM_Table,13,FALSE))),"")</f>
        <v/>
      </c>
    </row>
    <row r="74" spans="1:18" ht="15" x14ac:dyDescent="0.2">
      <c r="A74" s="145" t="s">
        <v>924</v>
      </c>
      <c r="B74" s="9" t="s">
        <v>3290</v>
      </c>
      <c r="C74" s="9" t="s">
        <v>3291</v>
      </c>
      <c r="D74" s="252">
        <v>1.78</v>
      </c>
      <c r="E74" s="245">
        <v>1121</v>
      </c>
      <c r="F74" s="246">
        <v>1056</v>
      </c>
      <c r="G74" s="247">
        <v>972</v>
      </c>
      <c r="H74" s="248">
        <v>1005</v>
      </c>
      <c r="I74" s="249">
        <v>1523</v>
      </c>
      <c r="J74" s="122" t="b">
        <f>IF(ISBLANK(CertifiedCrop[[#This Row],[1. Identifiant interne d’exploitation agricole*]]),"",IF(ISERROR(MATCH(CertifiedCrop[[#This Row],[1. Identifiant interne d’exploitation agricole*]],GroupMember[1. Identifiant interne d’exploitation agricole*],0)),FALSE,TRUE))</f>
        <v>1</v>
      </c>
      <c r="K74" s="122" t="b">
        <f t="array" ref="K74">IF(ISBLANK(CertifiedCrop[[#This Row],[2. Produit agricole certifié*]]),"",IF(ISERROR(MATCH(1,(#REF!=CertifiedCrop[[#This Row],[2. Produit agricole certifié*]])*(#REF!=CertifiedCrop[[#This Row],[3. Variété**]]),0)),FALSE,TRUE))</f>
        <v>0</v>
      </c>
      <c r="L74" s="20" t="str">
        <f t="shared" si="5"/>
        <v/>
      </c>
      <c r="M74" s="54" t="str">
        <f t="shared" si="6"/>
        <v/>
      </c>
      <c r="N74" s="54" t="str">
        <f t="shared" si="7"/>
        <v/>
      </c>
      <c r="O74" s="55">
        <f t="shared" si="8"/>
        <v>629.77528089887642</v>
      </c>
      <c r="P74" s="55">
        <f t="shared" si="9"/>
        <v>593.25842696629218</v>
      </c>
      <c r="Q74" s="9" t="str">
        <f ca="1">IFERROR((VLOOKUP(A74,GM_Table,8,FALSE)-SUMIFS(D:D,A:A,A74,B:B,B74,C:C,C74)),"")</f>
        <v/>
      </c>
      <c r="R74" s="9" t="str">
        <f ca="1">IFERROR(CONCATENATE(VLOOKUP(A74,GM_Table,12,FALSE)," ",(VLOOKUP(A74,GM_Table,13,FALSE))),"")</f>
        <v/>
      </c>
    </row>
    <row r="75" spans="1:18" ht="15" x14ac:dyDescent="0.2">
      <c r="A75" s="145" t="s">
        <v>927</v>
      </c>
      <c r="B75" s="9" t="s">
        <v>3290</v>
      </c>
      <c r="C75" s="9" t="s">
        <v>3291</v>
      </c>
      <c r="D75" s="244">
        <v>0.83</v>
      </c>
      <c r="E75" s="221">
        <v>492</v>
      </c>
      <c r="F75" s="246">
        <v>450</v>
      </c>
      <c r="G75" s="247">
        <v>243</v>
      </c>
      <c r="H75" s="248">
        <v>411</v>
      </c>
      <c r="I75" s="249">
        <v>982</v>
      </c>
      <c r="J75" s="122" t="b">
        <f>IF(ISBLANK(CertifiedCrop[[#This Row],[1. Identifiant interne d’exploitation agricole*]]),"",IF(ISERROR(MATCH(CertifiedCrop[[#This Row],[1. Identifiant interne d’exploitation agricole*]],GroupMember[1. Identifiant interne d’exploitation agricole*],0)),FALSE,TRUE))</f>
        <v>1</v>
      </c>
      <c r="K75" s="122" t="b">
        <f t="array" ref="K75">IF(ISBLANK(CertifiedCrop[[#This Row],[2. Produit agricole certifié*]]),"",IF(ISERROR(MATCH(1,(#REF!=CertifiedCrop[[#This Row],[2. Produit agricole certifié*]])*(#REF!=CertifiedCrop[[#This Row],[3. Variété**]]),0)),FALSE,TRUE))</f>
        <v>0</v>
      </c>
      <c r="L75" s="20" t="str">
        <f t="shared" si="5"/>
        <v/>
      </c>
      <c r="M75" s="54" t="str">
        <f t="shared" si="6"/>
        <v>!</v>
      </c>
      <c r="N75" s="54" t="str">
        <f t="shared" si="7"/>
        <v>!</v>
      </c>
      <c r="O75" s="55">
        <f t="shared" si="8"/>
        <v>592.77108433734941</v>
      </c>
      <c r="P75" s="55">
        <f t="shared" si="9"/>
        <v>542.16867469879526</v>
      </c>
      <c r="Q75" s="9" t="str">
        <f ca="1">IFERROR((VLOOKUP(A75,GM_Table,8,FALSE)-SUMIFS(D:D,A:A,A75,B:B,B75,C:C,C75)),"")</f>
        <v/>
      </c>
      <c r="R75" s="9" t="str">
        <f ca="1">IFERROR(CONCATENATE(VLOOKUP(A75,GM_Table,12,FALSE)," ",(VLOOKUP(A75,GM_Table,13,FALSE))),"")</f>
        <v/>
      </c>
    </row>
    <row r="76" spans="1:18" ht="15" x14ac:dyDescent="0.2">
      <c r="A76" s="145" t="s">
        <v>931</v>
      </c>
      <c r="B76" s="9" t="s">
        <v>3290</v>
      </c>
      <c r="C76" s="9" t="s">
        <v>3291</v>
      </c>
      <c r="D76" s="252">
        <v>3.7391999999999999</v>
      </c>
      <c r="E76" s="245">
        <v>2128</v>
      </c>
      <c r="F76" s="246">
        <v>2098</v>
      </c>
      <c r="G76" s="247">
        <v>1730</v>
      </c>
      <c r="H76" s="248">
        <v>2249</v>
      </c>
      <c r="I76" s="249">
        <v>1034</v>
      </c>
      <c r="J76" s="122" t="b">
        <f>IF(ISBLANK(CertifiedCrop[[#This Row],[1. Identifiant interne d’exploitation agricole*]]),"",IF(ISERROR(MATCH(CertifiedCrop[[#This Row],[1. Identifiant interne d’exploitation agricole*]],GroupMember[1. Identifiant interne d’exploitation agricole*],0)),FALSE,TRUE))</f>
        <v>1</v>
      </c>
      <c r="K76" s="122" t="b">
        <f t="array" ref="K76">IF(ISBLANK(CertifiedCrop[[#This Row],[2. Produit agricole certifié*]]),"",IF(ISERROR(MATCH(1,(#REF!=CertifiedCrop[[#This Row],[2. Produit agricole certifié*]])*(#REF!=CertifiedCrop[[#This Row],[3. Variété**]]),0)),FALSE,TRUE))</f>
        <v>0</v>
      </c>
      <c r="L76" s="20" t="str">
        <f t="shared" si="5"/>
        <v/>
      </c>
      <c r="M76" s="54" t="str">
        <f t="shared" si="6"/>
        <v/>
      </c>
      <c r="N76" s="54" t="str">
        <f t="shared" si="7"/>
        <v/>
      </c>
      <c r="O76" s="55">
        <f t="shared" si="8"/>
        <v>569.10569105691059</v>
      </c>
      <c r="P76" s="55">
        <f t="shared" si="9"/>
        <v>561.08258451005565</v>
      </c>
      <c r="Q76" s="9" t="str">
        <f ca="1">IFERROR((VLOOKUP(A76,GM_Table,8,FALSE)-SUMIFS(D:D,A:A,A76,B:B,B76,C:C,C76)),"")</f>
        <v/>
      </c>
      <c r="R76" s="9" t="str">
        <f ca="1">IFERROR(CONCATENATE(VLOOKUP(A76,GM_Table,12,FALSE)," ",(VLOOKUP(A76,GM_Table,13,FALSE))),"")</f>
        <v/>
      </c>
    </row>
    <row r="77" spans="1:18" ht="15" x14ac:dyDescent="0.2">
      <c r="A77" s="145" t="s">
        <v>934</v>
      </c>
      <c r="B77" s="9" t="s">
        <v>3290</v>
      </c>
      <c r="C77" s="9" t="s">
        <v>3291</v>
      </c>
      <c r="D77" s="252">
        <v>1.88</v>
      </c>
      <c r="E77" s="245">
        <v>1116</v>
      </c>
      <c r="F77" s="246">
        <v>1018</v>
      </c>
      <c r="G77" s="247">
        <v>1018</v>
      </c>
      <c r="H77" s="248">
        <v>1010</v>
      </c>
      <c r="I77" s="249">
        <v>844</v>
      </c>
      <c r="J77" s="122" t="b">
        <f>IF(ISBLANK(CertifiedCrop[[#This Row],[1. Identifiant interne d’exploitation agricole*]]),"",IF(ISERROR(MATCH(CertifiedCrop[[#This Row],[1. Identifiant interne d’exploitation agricole*]],GroupMember[1. Identifiant interne d’exploitation agricole*],0)),FALSE,TRUE))</f>
        <v>1</v>
      </c>
      <c r="K77" s="122" t="b">
        <f t="array" ref="K77">IF(ISBLANK(CertifiedCrop[[#This Row],[2. Produit agricole certifié*]]),"",IF(ISERROR(MATCH(1,(#REF!=CertifiedCrop[[#This Row],[2. Produit agricole certifié*]])*(#REF!=CertifiedCrop[[#This Row],[3. Variété**]]),0)),FALSE,TRUE))</f>
        <v>0</v>
      </c>
      <c r="L77" s="20" t="str">
        <f t="shared" si="5"/>
        <v/>
      </c>
      <c r="M77" s="54" t="str">
        <f t="shared" si="6"/>
        <v/>
      </c>
      <c r="N77" s="54" t="str">
        <f t="shared" si="7"/>
        <v/>
      </c>
      <c r="O77" s="55">
        <f t="shared" si="8"/>
        <v>593.61702127659578</v>
      </c>
      <c r="P77" s="55">
        <f t="shared" si="9"/>
        <v>541.48936170212767</v>
      </c>
      <c r="Q77" s="9" t="str">
        <f ca="1">IFERROR((VLOOKUP(A77,GM_Table,8,FALSE)-SUMIFS(D:D,A:A,A77,B:B,B77,C:C,C77)),"")</f>
        <v/>
      </c>
      <c r="R77" s="9" t="str">
        <f ca="1">IFERROR(CONCATENATE(VLOOKUP(A77,GM_Table,12,FALSE)," ",(VLOOKUP(A77,GM_Table,13,FALSE))),"")</f>
        <v/>
      </c>
    </row>
    <row r="78" spans="1:18" ht="15" x14ac:dyDescent="0.2">
      <c r="A78" s="145" t="s">
        <v>938</v>
      </c>
      <c r="B78" s="9" t="s">
        <v>3290</v>
      </c>
      <c r="C78" s="9" t="s">
        <v>3291</v>
      </c>
      <c r="D78" s="252">
        <v>5</v>
      </c>
      <c r="E78" s="245">
        <v>2892</v>
      </c>
      <c r="F78" s="246">
        <v>2758</v>
      </c>
      <c r="G78" s="247">
        <v>1745</v>
      </c>
      <c r="H78" s="248">
        <v>2706</v>
      </c>
      <c r="I78" s="249">
        <v>2167</v>
      </c>
      <c r="J78" s="122" t="b">
        <f>IF(ISBLANK(CertifiedCrop[[#This Row],[1. Identifiant interne d’exploitation agricole*]]),"",IF(ISERROR(MATCH(CertifiedCrop[[#This Row],[1. Identifiant interne d’exploitation agricole*]],GroupMember[1. Identifiant interne d’exploitation agricole*],0)),FALSE,TRUE))</f>
        <v>1</v>
      </c>
      <c r="K78" s="122" t="b">
        <f t="array" ref="K78">IF(ISBLANK(CertifiedCrop[[#This Row],[2. Produit agricole certifié*]]),"",IF(ISERROR(MATCH(1,(#REF!=CertifiedCrop[[#This Row],[2. Produit agricole certifié*]])*(#REF!=CertifiedCrop[[#This Row],[3. Variété**]]),0)),FALSE,TRUE))</f>
        <v>0</v>
      </c>
      <c r="L78" s="20" t="str">
        <f t="shared" si="5"/>
        <v/>
      </c>
      <c r="M78" s="54" t="str">
        <f t="shared" si="6"/>
        <v>!</v>
      </c>
      <c r="N78" s="54" t="str">
        <f t="shared" si="7"/>
        <v>!</v>
      </c>
      <c r="O78" s="55">
        <f t="shared" si="8"/>
        <v>578.4</v>
      </c>
      <c r="P78" s="55">
        <f t="shared" si="9"/>
        <v>551.6</v>
      </c>
      <c r="Q78" s="9" t="str">
        <f ca="1">IFERROR((VLOOKUP(A78,GM_Table,8,FALSE)-SUMIFS(D:D,A:A,A78,B:B,B78,C:C,C78)),"")</f>
        <v/>
      </c>
      <c r="R78" s="9" t="str">
        <f ca="1">IFERROR(CONCATENATE(VLOOKUP(A78,GM_Table,12,FALSE)," ",(VLOOKUP(A78,GM_Table,13,FALSE))),"")</f>
        <v/>
      </c>
    </row>
    <row r="79" spans="1:18" ht="15" x14ac:dyDescent="0.2">
      <c r="A79" s="145" t="s">
        <v>940</v>
      </c>
      <c r="B79" s="9" t="s">
        <v>3290</v>
      </c>
      <c r="C79" s="9" t="s">
        <v>3291</v>
      </c>
      <c r="D79" s="252">
        <v>1.57</v>
      </c>
      <c r="E79" s="221">
        <v>993</v>
      </c>
      <c r="F79" s="246">
        <v>950</v>
      </c>
      <c r="G79" s="247">
        <v>655</v>
      </c>
      <c r="H79" s="248">
        <v>799</v>
      </c>
      <c r="I79" s="249">
        <v>1363</v>
      </c>
      <c r="J79" s="122" t="b">
        <f>IF(ISBLANK(CertifiedCrop[[#This Row],[1. Identifiant interne d’exploitation agricole*]]),"",IF(ISERROR(MATCH(CertifiedCrop[[#This Row],[1. Identifiant interne d’exploitation agricole*]],GroupMember[1. Identifiant interne d’exploitation agricole*],0)),FALSE,TRUE))</f>
        <v>1</v>
      </c>
      <c r="K79" s="122" t="b">
        <f t="array" ref="K79">IF(ISBLANK(CertifiedCrop[[#This Row],[2. Produit agricole certifié*]]),"",IF(ISERROR(MATCH(1,(#REF!=CertifiedCrop[[#This Row],[2. Produit agricole certifié*]])*(#REF!=CertifiedCrop[[#This Row],[3. Variété**]]),0)),FALSE,TRUE))</f>
        <v>0</v>
      </c>
      <c r="L79" s="20" t="str">
        <f t="shared" si="5"/>
        <v/>
      </c>
      <c r="M79" s="54" t="str">
        <f t="shared" si="6"/>
        <v>!</v>
      </c>
      <c r="N79" s="54" t="str">
        <f t="shared" si="7"/>
        <v/>
      </c>
      <c r="O79" s="55">
        <f t="shared" si="8"/>
        <v>632.484076433121</v>
      </c>
      <c r="P79" s="55">
        <f t="shared" si="9"/>
        <v>605.09554140127386</v>
      </c>
      <c r="Q79" s="9" t="str">
        <f ca="1">IFERROR((VLOOKUP(A79,GM_Table,8,FALSE)-SUMIFS(D:D,A:A,A79,B:B,B79,C:C,C79)),"")</f>
        <v/>
      </c>
      <c r="R79" s="9" t="str">
        <f ca="1">IFERROR(CONCATENATE(VLOOKUP(A79,GM_Table,12,FALSE)," ",(VLOOKUP(A79,GM_Table,13,FALSE))),"")</f>
        <v/>
      </c>
    </row>
    <row r="80" spans="1:18" ht="15" x14ac:dyDescent="0.2">
      <c r="A80" s="145" t="s">
        <v>944</v>
      </c>
      <c r="B80" s="9" t="s">
        <v>3290</v>
      </c>
      <c r="C80" s="9" t="s">
        <v>3291</v>
      </c>
      <c r="D80" s="252">
        <v>6.31</v>
      </c>
      <c r="E80" s="245">
        <v>3745</v>
      </c>
      <c r="F80" s="246">
        <v>3457</v>
      </c>
      <c r="G80" s="247">
        <v>3457</v>
      </c>
      <c r="H80" s="248">
        <v>3404</v>
      </c>
      <c r="I80" s="249">
        <v>2745</v>
      </c>
      <c r="J80" s="122" t="b">
        <f>IF(ISBLANK(CertifiedCrop[[#This Row],[1. Identifiant interne d’exploitation agricole*]]),"",IF(ISERROR(MATCH(CertifiedCrop[[#This Row],[1. Identifiant interne d’exploitation agricole*]],GroupMember[1. Identifiant interne d’exploitation agricole*],0)),FALSE,TRUE))</f>
        <v>1</v>
      </c>
      <c r="K80" s="122" t="b">
        <f t="array" ref="K80">IF(ISBLANK(CertifiedCrop[[#This Row],[2. Produit agricole certifié*]]),"",IF(ISERROR(MATCH(1,(#REF!=CertifiedCrop[[#This Row],[2. Produit agricole certifié*]])*(#REF!=CertifiedCrop[[#This Row],[3. Variété**]]),0)),FALSE,TRUE))</f>
        <v>0</v>
      </c>
      <c r="L80" s="20" t="str">
        <f t="shared" si="5"/>
        <v/>
      </c>
      <c r="M80" s="54" t="str">
        <f t="shared" si="6"/>
        <v/>
      </c>
      <c r="N80" s="54" t="str">
        <f t="shared" si="7"/>
        <v/>
      </c>
      <c r="O80" s="55">
        <f t="shared" si="8"/>
        <v>593.5023771790809</v>
      </c>
      <c r="P80" s="55">
        <f t="shared" si="9"/>
        <v>547.86053882725832</v>
      </c>
      <c r="Q80" s="9" t="str">
        <f ca="1">IFERROR((VLOOKUP(A80,GM_Table,8,FALSE)-SUMIFS(D:D,A:A,A80,B:B,B80,C:C,C80)),"")</f>
        <v/>
      </c>
      <c r="R80" s="9" t="str">
        <f ca="1">IFERROR(CONCATENATE(VLOOKUP(A80,GM_Table,12,FALSE)," ",(VLOOKUP(A80,GM_Table,13,FALSE))),"")</f>
        <v/>
      </c>
    </row>
    <row r="81" spans="1:18" ht="15" x14ac:dyDescent="0.2">
      <c r="A81" s="145" t="s">
        <v>947</v>
      </c>
      <c r="B81" s="9" t="s">
        <v>3290</v>
      </c>
      <c r="C81" s="9" t="s">
        <v>3291</v>
      </c>
      <c r="D81" s="252">
        <v>8</v>
      </c>
      <c r="E81" s="245">
        <v>5021</v>
      </c>
      <c r="F81" s="246">
        <v>4787</v>
      </c>
      <c r="G81" s="247">
        <v>4348</v>
      </c>
      <c r="H81" s="248">
        <v>4526</v>
      </c>
      <c r="I81" s="249">
        <v>3569</v>
      </c>
      <c r="J81" s="122" t="b">
        <f>IF(ISBLANK(CertifiedCrop[[#This Row],[1. Identifiant interne d’exploitation agricole*]]),"",IF(ISERROR(MATCH(CertifiedCrop[[#This Row],[1. Identifiant interne d’exploitation agricole*]],GroupMember[1. Identifiant interne d’exploitation agricole*],0)),FALSE,TRUE))</f>
        <v>1</v>
      </c>
      <c r="K81" s="122" t="b">
        <f t="array" ref="K81">IF(ISBLANK(CertifiedCrop[[#This Row],[2. Produit agricole certifié*]]),"",IF(ISERROR(MATCH(1,(#REF!=CertifiedCrop[[#This Row],[2. Produit agricole certifié*]])*(#REF!=CertifiedCrop[[#This Row],[3. Variété**]]),0)),FALSE,TRUE))</f>
        <v>0</v>
      </c>
      <c r="L81" s="20" t="str">
        <f t="shared" si="5"/>
        <v/>
      </c>
      <c r="M81" s="54" t="str">
        <f t="shared" si="6"/>
        <v/>
      </c>
      <c r="N81" s="54" t="str">
        <f t="shared" si="7"/>
        <v/>
      </c>
      <c r="O81" s="55">
        <f t="shared" si="8"/>
        <v>627.625</v>
      </c>
      <c r="P81" s="55">
        <f t="shared" si="9"/>
        <v>598.375</v>
      </c>
      <c r="Q81" s="9" t="str">
        <f ca="1">IFERROR((VLOOKUP(A81,GM_Table,8,FALSE)-SUMIFS(D:D,A:A,A81,B:B,B81,C:C,C81)),"")</f>
        <v/>
      </c>
      <c r="R81" s="9" t="str">
        <f ca="1">IFERROR(CONCATENATE(VLOOKUP(A81,GM_Table,12,FALSE)," ",(VLOOKUP(A81,GM_Table,13,FALSE))),"")</f>
        <v/>
      </c>
    </row>
    <row r="82" spans="1:18" ht="15" x14ac:dyDescent="0.2">
      <c r="A82" s="145" t="s">
        <v>950</v>
      </c>
      <c r="B82" s="9" t="s">
        <v>3290</v>
      </c>
      <c r="C82" s="9" t="s">
        <v>3291</v>
      </c>
      <c r="D82" s="252">
        <v>4.12</v>
      </c>
      <c r="E82" s="245">
        <v>2581</v>
      </c>
      <c r="F82" s="246">
        <v>2455</v>
      </c>
      <c r="G82" s="247">
        <v>1900</v>
      </c>
      <c r="H82" s="248">
        <v>1805</v>
      </c>
      <c r="I82" s="249">
        <v>2038</v>
      </c>
      <c r="J82" s="122" t="b">
        <f>IF(ISBLANK(CertifiedCrop[[#This Row],[1. Identifiant interne d’exploitation agricole*]]),"",IF(ISERROR(MATCH(CertifiedCrop[[#This Row],[1. Identifiant interne d’exploitation agricole*]],GroupMember[1. Identifiant interne d’exploitation agricole*],0)),FALSE,TRUE))</f>
        <v>1</v>
      </c>
      <c r="K82" s="122" t="b">
        <f t="array" ref="K82">IF(ISBLANK(CertifiedCrop[[#This Row],[2. Produit agricole certifié*]]),"",IF(ISERROR(MATCH(1,(#REF!=CertifiedCrop[[#This Row],[2. Produit agricole certifié*]])*(#REF!=CertifiedCrop[[#This Row],[3. Variété**]]),0)),FALSE,TRUE))</f>
        <v>0</v>
      </c>
      <c r="L82" s="20" t="str">
        <f t="shared" si="5"/>
        <v/>
      </c>
      <c r="M82" s="54" t="str">
        <f t="shared" si="6"/>
        <v>!</v>
      </c>
      <c r="N82" s="54" t="str">
        <f t="shared" si="7"/>
        <v/>
      </c>
      <c r="O82" s="55">
        <f t="shared" si="8"/>
        <v>626.45631067961165</v>
      </c>
      <c r="P82" s="55">
        <f t="shared" si="9"/>
        <v>595.87378640776694</v>
      </c>
      <c r="Q82" s="9" t="str">
        <f ca="1">IFERROR((VLOOKUP(A82,GM_Table,8,FALSE)-SUMIFS(D:D,A:A,A82,B:B,B82,C:C,C82)),"")</f>
        <v/>
      </c>
      <c r="R82" s="9" t="str">
        <f ca="1">IFERROR(CONCATENATE(VLOOKUP(A82,GM_Table,12,FALSE)," ",(VLOOKUP(A82,GM_Table,13,FALSE))),"")</f>
        <v/>
      </c>
    </row>
    <row r="83" spans="1:18" ht="15" x14ac:dyDescent="0.2">
      <c r="A83" s="145" t="s">
        <v>954</v>
      </c>
      <c r="B83" s="9" t="s">
        <v>3290</v>
      </c>
      <c r="C83" s="9" t="s">
        <v>3291</v>
      </c>
      <c r="D83" s="252">
        <v>1.5</v>
      </c>
      <c r="E83" s="221">
        <v>904</v>
      </c>
      <c r="F83" s="246">
        <v>900</v>
      </c>
      <c r="G83" s="247">
        <v>469</v>
      </c>
      <c r="H83" s="248">
        <v>527</v>
      </c>
      <c r="I83" s="249">
        <v>785</v>
      </c>
      <c r="J83" s="122" t="b">
        <f>IF(ISBLANK(CertifiedCrop[[#This Row],[1. Identifiant interne d’exploitation agricole*]]),"",IF(ISERROR(MATCH(CertifiedCrop[[#This Row],[1. Identifiant interne d’exploitation agricole*]],GroupMember[1. Identifiant interne d’exploitation agricole*],0)),FALSE,TRUE))</f>
        <v>1</v>
      </c>
      <c r="K83" s="122" t="b">
        <f t="array" ref="K83">IF(ISBLANK(CertifiedCrop[[#This Row],[2. Produit agricole certifié*]]),"",IF(ISERROR(MATCH(1,(#REF!=CertifiedCrop[[#This Row],[2. Produit agricole certifié*]])*(#REF!=CertifiedCrop[[#This Row],[3. Variété**]]),0)),FALSE,TRUE))</f>
        <v>0</v>
      </c>
      <c r="L83" s="20" t="str">
        <f t="shared" si="5"/>
        <v/>
      </c>
      <c r="M83" s="54" t="str">
        <f t="shared" si="6"/>
        <v>!</v>
      </c>
      <c r="N83" s="54" t="str">
        <f t="shared" si="7"/>
        <v/>
      </c>
      <c r="O83" s="55">
        <f t="shared" si="8"/>
        <v>602.66666666666663</v>
      </c>
      <c r="P83" s="55">
        <f t="shared" si="9"/>
        <v>600</v>
      </c>
      <c r="Q83" s="9" t="str">
        <f ca="1">IFERROR((VLOOKUP(A83,GM_Table,8,FALSE)-SUMIFS(D:D,A:A,A83,B:B,B83,C:C,C83)),"")</f>
        <v/>
      </c>
      <c r="R83" s="9" t="str">
        <f ca="1">IFERROR(CONCATENATE(VLOOKUP(A83,GM_Table,12,FALSE)," ",(VLOOKUP(A83,GM_Table,13,FALSE))),"")</f>
        <v/>
      </c>
    </row>
    <row r="84" spans="1:18" ht="15" x14ac:dyDescent="0.2">
      <c r="A84" s="145" t="s">
        <v>957</v>
      </c>
      <c r="B84" s="9" t="s">
        <v>3290</v>
      </c>
      <c r="C84" s="9" t="s">
        <v>3291</v>
      </c>
      <c r="D84" s="252">
        <v>1.43</v>
      </c>
      <c r="E84" s="221">
        <v>827</v>
      </c>
      <c r="F84" s="246">
        <v>800</v>
      </c>
      <c r="G84" s="247">
        <v>457</v>
      </c>
      <c r="H84" s="248">
        <v>684</v>
      </c>
      <c r="I84" s="249">
        <v>711</v>
      </c>
      <c r="J84" s="122" t="b">
        <f>IF(ISBLANK(CertifiedCrop[[#This Row],[1. Identifiant interne d’exploitation agricole*]]),"",IF(ISERROR(MATCH(CertifiedCrop[[#This Row],[1. Identifiant interne d’exploitation agricole*]],GroupMember[1. Identifiant interne d’exploitation agricole*],0)),FALSE,TRUE))</f>
        <v>1</v>
      </c>
      <c r="K84" s="122" t="b">
        <f t="array" ref="K84">IF(ISBLANK(CertifiedCrop[[#This Row],[2. Produit agricole certifié*]]),"",IF(ISERROR(MATCH(1,(#REF!=CertifiedCrop[[#This Row],[2. Produit agricole certifié*]])*(#REF!=CertifiedCrop[[#This Row],[3. Variété**]]),0)),FALSE,TRUE))</f>
        <v>0</v>
      </c>
      <c r="L84" s="20" t="str">
        <f t="shared" si="5"/>
        <v/>
      </c>
      <c r="M84" s="54" t="str">
        <f t="shared" si="6"/>
        <v>!</v>
      </c>
      <c r="N84" s="54" t="str">
        <f t="shared" si="7"/>
        <v>!</v>
      </c>
      <c r="O84" s="55">
        <f t="shared" si="8"/>
        <v>578.32167832167829</v>
      </c>
      <c r="P84" s="55">
        <f t="shared" si="9"/>
        <v>559.44055944055947</v>
      </c>
      <c r="Q84" s="9" t="str">
        <f ca="1">IFERROR((VLOOKUP(A84,GM_Table,8,FALSE)-SUMIFS(D:D,A:A,A84,B:B,B84,C:C,C84)),"")</f>
        <v/>
      </c>
      <c r="R84" s="9" t="str">
        <f ca="1">IFERROR(CONCATENATE(VLOOKUP(A84,GM_Table,12,FALSE)," ",(VLOOKUP(A84,GM_Table,13,FALSE))),"")</f>
        <v/>
      </c>
    </row>
    <row r="85" spans="1:18" ht="15" x14ac:dyDescent="0.2">
      <c r="A85" s="145" t="s">
        <v>959</v>
      </c>
      <c r="B85" s="9" t="s">
        <v>3290</v>
      </c>
      <c r="C85" s="9" t="s">
        <v>3291</v>
      </c>
      <c r="D85" s="252">
        <v>2.39</v>
      </c>
      <c r="E85" s="245">
        <v>1514</v>
      </c>
      <c r="F85" s="246">
        <v>1469</v>
      </c>
      <c r="G85" s="247">
        <v>1469</v>
      </c>
      <c r="H85" s="248">
        <v>1475</v>
      </c>
      <c r="I85" s="249">
        <v>1072</v>
      </c>
      <c r="J85" s="122" t="b">
        <f>IF(ISBLANK(CertifiedCrop[[#This Row],[1. Identifiant interne d’exploitation agricole*]]),"",IF(ISERROR(MATCH(CertifiedCrop[[#This Row],[1. Identifiant interne d’exploitation agricole*]],GroupMember[1. Identifiant interne d’exploitation agricole*],0)),FALSE,TRUE))</f>
        <v>1</v>
      </c>
      <c r="K85" s="122" t="b">
        <f t="array" ref="K85">IF(ISBLANK(CertifiedCrop[[#This Row],[2. Produit agricole certifié*]]),"",IF(ISERROR(MATCH(1,(#REF!=CertifiedCrop[[#This Row],[2. Produit agricole certifié*]])*(#REF!=CertifiedCrop[[#This Row],[3. Variété**]]),0)),FALSE,TRUE))</f>
        <v>0</v>
      </c>
      <c r="L85" s="20" t="str">
        <f t="shared" si="5"/>
        <v/>
      </c>
      <c r="M85" s="54" t="str">
        <f t="shared" si="6"/>
        <v/>
      </c>
      <c r="N85" s="54" t="str">
        <f t="shared" si="7"/>
        <v/>
      </c>
      <c r="O85" s="55">
        <f t="shared" si="8"/>
        <v>633.47280334728032</v>
      </c>
      <c r="P85" s="55">
        <f t="shared" si="9"/>
        <v>614.64435146443509</v>
      </c>
      <c r="Q85" s="9" t="str">
        <f ca="1">IFERROR((VLOOKUP(A85,GM_Table,8,FALSE)-SUMIFS(D:D,A:A,A85,B:B,B85,C:C,C85)),"")</f>
        <v/>
      </c>
      <c r="R85" s="9" t="str">
        <f ca="1">IFERROR(CONCATENATE(VLOOKUP(A85,GM_Table,12,FALSE)," ",(VLOOKUP(A85,GM_Table,13,FALSE))),"")</f>
        <v/>
      </c>
    </row>
    <row r="86" spans="1:18" ht="15" x14ac:dyDescent="0.2">
      <c r="A86" s="145" t="s">
        <v>961</v>
      </c>
      <c r="B86" s="9" t="s">
        <v>3290</v>
      </c>
      <c r="C86" s="9" t="s">
        <v>3291</v>
      </c>
      <c r="D86" s="252">
        <v>1.58</v>
      </c>
      <c r="E86" s="221">
        <v>907</v>
      </c>
      <c r="F86" s="246">
        <v>828</v>
      </c>
      <c r="G86" s="247">
        <v>828</v>
      </c>
      <c r="H86" s="248">
        <v>758</v>
      </c>
      <c r="I86" s="249">
        <v>818</v>
      </c>
      <c r="J86" s="122" t="b">
        <f>IF(ISBLANK(CertifiedCrop[[#This Row],[1. Identifiant interne d’exploitation agricole*]]),"",IF(ISERROR(MATCH(CertifiedCrop[[#This Row],[1. Identifiant interne d’exploitation agricole*]],GroupMember[1. Identifiant interne d’exploitation agricole*],0)),FALSE,TRUE))</f>
        <v>1</v>
      </c>
      <c r="K86" s="122" t="b">
        <f t="array" ref="K86">IF(ISBLANK(CertifiedCrop[[#This Row],[2. Produit agricole certifié*]]),"",IF(ISERROR(MATCH(1,(#REF!=CertifiedCrop[[#This Row],[2. Produit agricole certifié*]])*(#REF!=CertifiedCrop[[#This Row],[3. Variété**]]),0)),FALSE,TRUE))</f>
        <v>0</v>
      </c>
      <c r="L86" s="20" t="str">
        <f t="shared" si="5"/>
        <v/>
      </c>
      <c r="M86" s="54" t="str">
        <f t="shared" si="6"/>
        <v/>
      </c>
      <c r="N86" s="54" t="str">
        <f t="shared" si="7"/>
        <v/>
      </c>
      <c r="O86" s="55">
        <f t="shared" si="8"/>
        <v>574.05063291139243</v>
      </c>
      <c r="P86" s="55">
        <f t="shared" si="9"/>
        <v>524.05063291139243</v>
      </c>
      <c r="Q86" s="9" t="str">
        <f ca="1">IFERROR((VLOOKUP(A86,GM_Table,8,FALSE)-SUMIFS(D:D,A:A,A86,B:B,B86,C:C,C86)),"")</f>
        <v/>
      </c>
      <c r="R86" s="9" t="str">
        <f ca="1">IFERROR(CONCATENATE(VLOOKUP(A86,GM_Table,12,FALSE)," ",(VLOOKUP(A86,GM_Table,13,FALSE))),"")</f>
        <v/>
      </c>
    </row>
    <row r="87" spans="1:18" ht="15" x14ac:dyDescent="0.2">
      <c r="A87" s="145" t="s">
        <v>965</v>
      </c>
      <c r="B87" s="9" t="s">
        <v>3290</v>
      </c>
      <c r="C87" s="9" t="s">
        <v>3291</v>
      </c>
      <c r="D87" s="252">
        <v>4</v>
      </c>
      <c r="E87" s="245">
        <v>2410</v>
      </c>
      <c r="F87" s="246">
        <v>2271</v>
      </c>
      <c r="G87" s="247">
        <v>2271</v>
      </c>
      <c r="H87" s="248">
        <v>2165</v>
      </c>
      <c r="I87" s="249">
        <v>1705</v>
      </c>
      <c r="J87" s="122" t="b">
        <f>IF(ISBLANK(CertifiedCrop[[#This Row],[1. Identifiant interne d’exploitation agricole*]]),"",IF(ISERROR(MATCH(CertifiedCrop[[#This Row],[1. Identifiant interne d’exploitation agricole*]],GroupMember[1. Identifiant interne d’exploitation agricole*],0)),FALSE,TRUE))</f>
        <v>1</v>
      </c>
      <c r="K87" s="122" t="b">
        <f t="array" ref="K87">IF(ISBLANK(CertifiedCrop[[#This Row],[2. Produit agricole certifié*]]),"",IF(ISERROR(MATCH(1,(#REF!=CertifiedCrop[[#This Row],[2. Produit agricole certifié*]])*(#REF!=CertifiedCrop[[#This Row],[3. Variété**]]),0)),FALSE,TRUE))</f>
        <v>0</v>
      </c>
      <c r="L87" s="20" t="str">
        <f t="shared" si="5"/>
        <v/>
      </c>
      <c r="M87" s="54" t="str">
        <f t="shared" si="6"/>
        <v/>
      </c>
      <c r="N87" s="54" t="str">
        <f t="shared" si="7"/>
        <v/>
      </c>
      <c r="O87" s="55">
        <f t="shared" si="8"/>
        <v>602.5</v>
      </c>
      <c r="P87" s="55">
        <f t="shared" si="9"/>
        <v>567.75</v>
      </c>
      <c r="Q87" s="9" t="str">
        <f ca="1">IFERROR((VLOOKUP(A87,GM_Table,8,FALSE)-SUMIFS(D:D,A:A,A87,B:B,B87,C:C,C87)),"")</f>
        <v/>
      </c>
      <c r="R87" s="9" t="str">
        <f ca="1">IFERROR(CONCATENATE(VLOOKUP(A87,GM_Table,12,FALSE)," ",(VLOOKUP(A87,GM_Table,13,FALSE))),"")</f>
        <v/>
      </c>
    </row>
    <row r="88" spans="1:18" ht="15" x14ac:dyDescent="0.2">
      <c r="A88" s="145" t="s">
        <v>967</v>
      </c>
      <c r="B88" s="9" t="s">
        <v>3290</v>
      </c>
      <c r="C88" s="9" t="s">
        <v>3291</v>
      </c>
      <c r="D88" s="252">
        <v>1.1100000000000001</v>
      </c>
      <c r="E88" s="221">
        <v>698</v>
      </c>
      <c r="F88" s="246">
        <v>636</v>
      </c>
      <c r="G88" s="247">
        <v>636</v>
      </c>
      <c r="H88" s="248">
        <v>675</v>
      </c>
      <c r="I88" s="249">
        <v>654</v>
      </c>
      <c r="J88" s="122" t="b">
        <f>IF(ISBLANK(CertifiedCrop[[#This Row],[1. Identifiant interne d’exploitation agricole*]]),"",IF(ISERROR(MATCH(CertifiedCrop[[#This Row],[1. Identifiant interne d’exploitation agricole*]],GroupMember[1. Identifiant interne d’exploitation agricole*],0)),FALSE,TRUE))</f>
        <v>1</v>
      </c>
      <c r="K88" s="122" t="b">
        <f t="array" ref="K88">IF(ISBLANK(CertifiedCrop[[#This Row],[2. Produit agricole certifié*]]),"",IF(ISERROR(MATCH(1,(#REF!=CertifiedCrop[[#This Row],[2. Produit agricole certifié*]])*(#REF!=CertifiedCrop[[#This Row],[3. Variété**]]),0)),FALSE,TRUE))</f>
        <v>0</v>
      </c>
      <c r="L88" s="20" t="str">
        <f t="shared" si="5"/>
        <v/>
      </c>
      <c r="M88" s="54" t="str">
        <f t="shared" si="6"/>
        <v/>
      </c>
      <c r="N88" s="54" t="str">
        <f t="shared" si="7"/>
        <v/>
      </c>
      <c r="O88" s="55">
        <f t="shared" si="8"/>
        <v>628.82882882882882</v>
      </c>
      <c r="P88" s="55">
        <f t="shared" si="9"/>
        <v>572.97297297297291</v>
      </c>
      <c r="Q88" s="9" t="str">
        <f ca="1">IFERROR((VLOOKUP(A88,GM_Table,8,FALSE)-SUMIFS(D:D,A:A,A88,B:B,B88,C:C,C88)),"")</f>
        <v/>
      </c>
      <c r="R88" s="9" t="str">
        <f ca="1">IFERROR(CONCATENATE(VLOOKUP(A88,GM_Table,12,FALSE)," ",(VLOOKUP(A88,GM_Table,13,FALSE))),"")</f>
        <v/>
      </c>
    </row>
    <row r="89" spans="1:18" ht="15" x14ac:dyDescent="0.2">
      <c r="A89" s="145" t="s">
        <v>970</v>
      </c>
      <c r="B89" s="9" t="s">
        <v>3290</v>
      </c>
      <c r="C89" s="9" t="s">
        <v>3291</v>
      </c>
      <c r="D89" s="252">
        <v>1.69</v>
      </c>
      <c r="E89" s="221">
        <v>981</v>
      </c>
      <c r="F89" s="246">
        <v>916</v>
      </c>
      <c r="G89" s="247">
        <v>916</v>
      </c>
      <c r="H89" s="248">
        <v>418</v>
      </c>
      <c r="I89" s="249">
        <v>856</v>
      </c>
      <c r="J89" s="122" t="b">
        <f>IF(ISBLANK(CertifiedCrop[[#This Row],[1. Identifiant interne d’exploitation agricole*]]),"",IF(ISERROR(MATCH(CertifiedCrop[[#This Row],[1. Identifiant interne d’exploitation agricole*]],GroupMember[1. Identifiant interne d’exploitation agricole*],0)),FALSE,TRUE))</f>
        <v>1</v>
      </c>
      <c r="K89" s="122" t="b">
        <f t="array" ref="K89">IF(ISBLANK(CertifiedCrop[[#This Row],[2. Produit agricole certifié*]]),"",IF(ISERROR(MATCH(1,(#REF!=CertifiedCrop[[#This Row],[2. Produit agricole certifié*]])*(#REF!=CertifiedCrop[[#This Row],[3. Variété**]]),0)),FALSE,TRUE))</f>
        <v>0</v>
      </c>
      <c r="L89" s="20" t="str">
        <f t="shared" si="5"/>
        <v/>
      </c>
      <c r="M89" s="54" t="str">
        <f t="shared" si="6"/>
        <v/>
      </c>
      <c r="N89" s="54" t="str">
        <f t="shared" si="7"/>
        <v>!</v>
      </c>
      <c r="O89" s="55">
        <f t="shared" si="8"/>
        <v>580.47337278106511</v>
      </c>
      <c r="P89" s="55">
        <f t="shared" si="9"/>
        <v>542.01183431952666</v>
      </c>
      <c r="Q89" s="9" t="str">
        <f ca="1">IFERROR((VLOOKUP(A89,GM_Table,8,FALSE)-SUMIFS(D:D,A:A,A89,B:B,B89,C:C,C89)),"")</f>
        <v/>
      </c>
      <c r="R89" s="9" t="str">
        <f ca="1">IFERROR(CONCATENATE(VLOOKUP(A89,GM_Table,12,FALSE)," ",(VLOOKUP(A89,GM_Table,13,FALSE))),"")</f>
        <v/>
      </c>
    </row>
    <row r="90" spans="1:18" ht="15" x14ac:dyDescent="0.2">
      <c r="A90" s="145" t="s">
        <v>975</v>
      </c>
      <c r="B90" s="9" t="s">
        <v>3290</v>
      </c>
      <c r="C90" s="9" t="s">
        <v>3291</v>
      </c>
      <c r="D90" s="252">
        <v>3</v>
      </c>
      <c r="E90" s="245">
        <v>1687</v>
      </c>
      <c r="F90" s="246">
        <v>1565</v>
      </c>
      <c r="G90" s="247">
        <v>1464</v>
      </c>
      <c r="H90" s="248">
        <v>1455</v>
      </c>
      <c r="I90" s="249">
        <v>1595</v>
      </c>
      <c r="J90" s="122" t="b">
        <f>IF(ISBLANK(CertifiedCrop[[#This Row],[1. Identifiant interne d’exploitation agricole*]]),"",IF(ISERROR(MATCH(CertifiedCrop[[#This Row],[1. Identifiant interne d’exploitation agricole*]],GroupMember[1. Identifiant interne d’exploitation agricole*],0)),FALSE,TRUE))</f>
        <v>1</v>
      </c>
      <c r="K90" s="122" t="b">
        <f t="array" ref="K90">IF(ISBLANK(CertifiedCrop[[#This Row],[2. Produit agricole certifié*]]),"",IF(ISERROR(MATCH(1,(#REF!=CertifiedCrop[[#This Row],[2. Produit agricole certifié*]])*(#REF!=CertifiedCrop[[#This Row],[3. Variété**]]),0)),FALSE,TRUE))</f>
        <v>0</v>
      </c>
      <c r="L90" s="20" t="str">
        <f t="shared" si="5"/>
        <v/>
      </c>
      <c r="M90" s="54" t="str">
        <f t="shared" si="6"/>
        <v/>
      </c>
      <c r="N90" s="54" t="str">
        <f t="shared" si="7"/>
        <v/>
      </c>
      <c r="O90" s="55">
        <f t="shared" si="8"/>
        <v>562.33333333333337</v>
      </c>
      <c r="P90" s="55">
        <f t="shared" si="9"/>
        <v>521.66666666666663</v>
      </c>
      <c r="Q90" s="9" t="str">
        <f ca="1">IFERROR((VLOOKUP(A90,GM_Table,8,FALSE)-SUMIFS(D:D,A:A,A90,B:B,B90,C:C,C90)),"")</f>
        <v/>
      </c>
      <c r="R90" s="9" t="str">
        <f ca="1">IFERROR(CONCATENATE(VLOOKUP(A90,GM_Table,12,FALSE)," ",(VLOOKUP(A90,GM_Table,13,FALSE))),"")</f>
        <v/>
      </c>
    </row>
    <row r="91" spans="1:18" ht="15" x14ac:dyDescent="0.2">
      <c r="A91" s="145" t="s">
        <v>979</v>
      </c>
      <c r="B91" s="9" t="s">
        <v>3290</v>
      </c>
      <c r="C91" s="9" t="s">
        <v>3291</v>
      </c>
      <c r="D91" s="252">
        <v>0.95</v>
      </c>
      <c r="E91" s="221">
        <v>596</v>
      </c>
      <c r="F91" s="246">
        <v>550</v>
      </c>
      <c r="G91" s="247">
        <v>502</v>
      </c>
      <c r="H91" s="248">
        <v>582</v>
      </c>
      <c r="I91" s="249">
        <v>489</v>
      </c>
      <c r="J91" s="122" t="b">
        <f>IF(ISBLANK(CertifiedCrop[[#This Row],[1. Identifiant interne d’exploitation agricole*]]),"",IF(ISERROR(MATCH(CertifiedCrop[[#This Row],[1. Identifiant interne d’exploitation agricole*]],GroupMember[1. Identifiant interne d’exploitation agricole*],0)),FALSE,TRUE))</f>
        <v>1</v>
      </c>
      <c r="K91" s="122" t="b">
        <f t="array" ref="K91">IF(ISBLANK(CertifiedCrop[[#This Row],[2. Produit agricole certifié*]]),"",IF(ISERROR(MATCH(1,(#REF!=CertifiedCrop[[#This Row],[2. Produit agricole certifié*]])*(#REF!=CertifiedCrop[[#This Row],[3. Variété**]]),0)),FALSE,TRUE))</f>
        <v>0</v>
      </c>
      <c r="L91" s="20" t="str">
        <f t="shared" si="5"/>
        <v/>
      </c>
      <c r="M91" s="54" t="str">
        <f t="shared" si="6"/>
        <v/>
      </c>
      <c r="N91" s="54" t="str">
        <f t="shared" si="7"/>
        <v/>
      </c>
      <c r="O91" s="55">
        <f t="shared" si="8"/>
        <v>627.36842105263156</v>
      </c>
      <c r="P91" s="55">
        <f t="shared" si="9"/>
        <v>578.94736842105272</v>
      </c>
      <c r="Q91" s="9" t="str">
        <f ca="1">IFERROR((VLOOKUP(A91,GM_Table,8,FALSE)-SUMIFS(D:D,A:A,A91,B:B,B91,C:C,C91)),"")</f>
        <v/>
      </c>
      <c r="R91" s="9" t="str">
        <f ca="1">IFERROR(CONCATENATE(VLOOKUP(A91,GM_Table,12,FALSE)," ",(VLOOKUP(A91,GM_Table,13,FALSE))),"")</f>
        <v/>
      </c>
    </row>
    <row r="92" spans="1:18" ht="15" x14ac:dyDescent="0.2">
      <c r="A92" s="145" t="s">
        <v>982</v>
      </c>
      <c r="B92" s="9" t="s">
        <v>3290</v>
      </c>
      <c r="C92" s="9" t="s">
        <v>3291</v>
      </c>
      <c r="D92" s="252">
        <v>2.5</v>
      </c>
      <c r="E92" s="245">
        <v>1582</v>
      </c>
      <c r="F92" s="246">
        <v>1485</v>
      </c>
      <c r="G92" s="247">
        <v>1181</v>
      </c>
      <c r="H92" s="248">
        <v>1094</v>
      </c>
      <c r="I92" s="249">
        <v>1095</v>
      </c>
      <c r="J92" s="122" t="b">
        <f>IF(ISBLANK(CertifiedCrop[[#This Row],[1. Identifiant interne d’exploitation agricole*]]),"",IF(ISERROR(MATCH(CertifiedCrop[[#This Row],[1. Identifiant interne d’exploitation agricole*]],GroupMember[1. Identifiant interne d’exploitation agricole*],0)),FALSE,TRUE))</f>
        <v>1</v>
      </c>
      <c r="K92" s="122" t="b">
        <f t="array" ref="K92">IF(ISBLANK(CertifiedCrop[[#This Row],[2. Produit agricole certifié*]]),"",IF(ISERROR(MATCH(1,(#REF!=CertifiedCrop[[#This Row],[2. Produit agricole certifié*]])*(#REF!=CertifiedCrop[[#This Row],[3. Variété**]]),0)),FALSE,TRUE))</f>
        <v>0</v>
      </c>
      <c r="L92" s="20" t="str">
        <f t="shared" si="5"/>
        <v/>
      </c>
      <c r="M92" s="54" t="str">
        <f t="shared" si="6"/>
        <v>!</v>
      </c>
      <c r="N92" s="54" t="str">
        <f t="shared" si="7"/>
        <v/>
      </c>
      <c r="O92" s="55">
        <f t="shared" si="8"/>
        <v>632.79999999999995</v>
      </c>
      <c r="P92" s="55">
        <f t="shared" si="9"/>
        <v>594</v>
      </c>
      <c r="Q92" s="9" t="str">
        <f ca="1">IFERROR((VLOOKUP(A92,GM_Table,8,FALSE)-SUMIFS(D:D,A:A,A92,B:B,B92,C:C,C92)),"")</f>
        <v/>
      </c>
      <c r="R92" s="9" t="str">
        <f ca="1">IFERROR(CONCATENATE(VLOOKUP(A92,GM_Table,12,FALSE)," ",(VLOOKUP(A92,GM_Table,13,FALSE))),"")</f>
        <v/>
      </c>
    </row>
    <row r="93" spans="1:18" ht="15" x14ac:dyDescent="0.2">
      <c r="A93" s="145" t="s">
        <v>984</v>
      </c>
      <c r="B93" s="9" t="s">
        <v>3290</v>
      </c>
      <c r="C93" s="9" t="s">
        <v>3291</v>
      </c>
      <c r="D93" s="252">
        <v>4.33</v>
      </c>
      <c r="E93" s="245">
        <v>2522</v>
      </c>
      <c r="F93" s="246">
        <v>2391</v>
      </c>
      <c r="G93" s="247">
        <v>1991</v>
      </c>
      <c r="H93" s="248">
        <v>1704</v>
      </c>
      <c r="I93" s="249">
        <v>2074</v>
      </c>
      <c r="J93" s="122" t="b">
        <f>IF(ISBLANK(CertifiedCrop[[#This Row],[1. Identifiant interne d’exploitation agricole*]]),"",IF(ISERROR(MATCH(CertifiedCrop[[#This Row],[1. Identifiant interne d’exploitation agricole*]],GroupMember[1. Identifiant interne d’exploitation agricole*],0)),FALSE,TRUE))</f>
        <v>1</v>
      </c>
      <c r="K93" s="122" t="b">
        <f t="array" ref="K93">IF(ISBLANK(CertifiedCrop[[#This Row],[2. Produit agricole certifié*]]),"",IF(ISERROR(MATCH(1,(#REF!=CertifiedCrop[[#This Row],[2. Produit agricole certifié*]])*(#REF!=CertifiedCrop[[#This Row],[3. Variété**]]),0)),FALSE,TRUE))</f>
        <v>0</v>
      </c>
      <c r="L93" s="20" t="str">
        <f t="shared" si="5"/>
        <v/>
      </c>
      <c r="M93" s="54" t="str">
        <f t="shared" si="6"/>
        <v/>
      </c>
      <c r="N93" s="54" t="str">
        <f t="shared" si="7"/>
        <v/>
      </c>
      <c r="O93" s="55">
        <f t="shared" si="8"/>
        <v>582.44803695150119</v>
      </c>
      <c r="P93" s="55">
        <f t="shared" si="9"/>
        <v>552.19399538106234</v>
      </c>
      <c r="Q93" s="9" t="str">
        <f ca="1">IFERROR((VLOOKUP(A93,GM_Table,8,FALSE)-SUMIFS(D:D,A:A,A93,B:B,B93,C:C,C93)),"")</f>
        <v/>
      </c>
      <c r="R93" s="9" t="str">
        <f ca="1">IFERROR(CONCATENATE(VLOOKUP(A93,GM_Table,12,FALSE)," ",(VLOOKUP(A93,GM_Table,13,FALSE))),"")</f>
        <v/>
      </c>
    </row>
    <row r="94" spans="1:18" ht="15" x14ac:dyDescent="0.2">
      <c r="A94" s="145" t="s">
        <v>987</v>
      </c>
      <c r="B94" s="9" t="s">
        <v>3290</v>
      </c>
      <c r="C94" s="9" t="s">
        <v>3291</v>
      </c>
      <c r="D94" s="252">
        <v>2.85</v>
      </c>
      <c r="E94" s="245">
        <v>1617</v>
      </c>
      <c r="F94" s="246">
        <v>1495</v>
      </c>
      <c r="G94" s="247">
        <v>1095</v>
      </c>
      <c r="H94" s="248">
        <v>1232</v>
      </c>
      <c r="I94" s="249">
        <v>1460</v>
      </c>
      <c r="J94" s="122" t="b">
        <f>IF(ISBLANK(CertifiedCrop[[#This Row],[1. Identifiant interne d’exploitation agricole*]]),"",IF(ISERROR(MATCH(CertifiedCrop[[#This Row],[1. Identifiant interne d’exploitation agricole*]],GroupMember[1. Identifiant interne d’exploitation agricole*],0)),FALSE,TRUE))</f>
        <v>1</v>
      </c>
      <c r="K94" s="122" t="b">
        <f t="array" ref="K94">IF(ISBLANK(CertifiedCrop[[#This Row],[2. Produit agricole certifié*]]),"",IF(ISERROR(MATCH(1,(#REF!=CertifiedCrop[[#This Row],[2. Produit agricole certifié*]])*(#REF!=CertifiedCrop[[#This Row],[3. Variété**]]),0)),FALSE,TRUE))</f>
        <v>0</v>
      </c>
      <c r="L94" s="20" t="str">
        <f t="shared" si="5"/>
        <v/>
      </c>
      <c r="M94" s="54" t="str">
        <f t="shared" si="6"/>
        <v>!</v>
      </c>
      <c r="N94" s="54" t="str">
        <f t="shared" si="7"/>
        <v/>
      </c>
      <c r="O94" s="55">
        <f t="shared" si="8"/>
        <v>567.36842105263156</v>
      </c>
      <c r="P94" s="55">
        <f t="shared" si="9"/>
        <v>524.56140350877195</v>
      </c>
      <c r="Q94" s="9" t="str">
        <f ca="1">IFERROR((VLOOKUP(A94,GM_Table,8,FALSE)-SUMIFS(D:D,A:A,A94,B:B,B94,C:C,C94)),"")</f>
        <v/>
      </c>
      <c r="R94" s="9" t="str">
        <f ca="1">IFERROR(CONCATENATE(VLOOKUP(A94,GM_Table,12,FALSE)," ",(VLOOKUP(A94,GM_Table,13,FALSE))),"")</f>
        <v/>
      </c>
    </row>
    <row r="95" spans="1:18" ht="15" x14ac:dyDescent="0.2">
      <c r="A95" s="145" t="s">
        <v>989</v>
      </c>
      <c r="B95" s="9" t="s">
        <v>3290</v>
      </c>
      <c r="C95" s="9" t="s">
        <v>3291</v>
      </c>
      <c r="D95" s="252">
        <v>2.5</v>
      </c>
      <c r="E95" s="245">
        <v>1246</v>
      </c>
      <c r="F95" s="246">
        <v>1228</v>
      </c>
      <c r="G95" s="247">
        <v>928</v>
      </c>
      <c r="H95" s="248">
        <v>1030</v>
      </c>
      <c r="I95" s="249">
        <v>1127</v>
      </c>
      <c r="J95" s="122" t="b">
        <f>IF(ISBLANK(CertifiedCrop[[#This Row],[1. Identifiant interne d’exploitation agricole*]]),"",IF(ISERROR(MATCH(CertifiedCrop[[#This Row],[1. Identifiant interne d’exploitation agricole*]],GroupMember[1. Identifiant interne d’exploitation agricole*],0)),FALSE,TRUE))</f>
        <v>1</v>
      </c>
      <c r="K95" s="122" t="b">
        <f t="array" ref="K95">IF(ISBLANK(CertifiedCrop[[#This Row],[2. Produit agricole certifié*]]),"",IF(ISERROR(MATCH(1,(#REF!=CertifiedCrop[[#This Row],[2. Produit agricole certifié*]])*(#REF!=CertifiedCrop[[#This Row],[3. Variété**]]),0)),FALSE,TRUE))</f>
        <v>0</v>
      </c>
      <c r="L95" s="20" t="str">
        <f t="shared" si="5"/>
        <v/>
      </c>
      <c r="M95" s="54" t="str">
        <f t="shared" si="6"/>
        <v>!</v>
      </c>
      <c r="N95" s="54" t="str">
        <f t="shared" si="7"/>
        <v/>
      </c>
      <c r="O95" s="55">
        <f t="shared" si="8"/>
        <v>498.4</v>
      </c>
      <c r="P95" s="55">
        <f t="shared" si="9"/>
        <v>491.2</v>
      </c>
      <c r="Q95" s="9" t="str">
        <f ca="1">IFERROR((VLOOKUP(A95,GM_Table,8,FALSE)-SUMIFS(D:D,A:A,A95,B:B,B95,C:C,C95)),"")</f>
        <v/>
      </c>
      <c r="R95" s="9" t="str">
        <f ca="1">IFERROR(CONCATENATE(VLOOKUP(A95,GM_Table,12,FALSE)," ",(VLOOKUP(A95,GM_Table,13,FALSE))),"")</f>
        <v/>
      </c>
    </row>
    <row r="96" spans="1:18" ht="15" x14ac:dyDescent="0.2">
      <c r="A96" s="145" t="s">
        <v>994</v>
      </c>
      <c r="B96" s="9" t="s">
        <v>3290</v>
      </c>
      <c r="C96" s="9" t="s">
        <v>3291</v>
      </c>
      <c r="D96" s="252">
        <v>11.47</v>
      </c>
      <c r="E96" s="245">
        <v>6658</v>
      </c>
      <c r="F96" s="246">
        <v>6230</v>
      </c>
      <c r="G96" s="247">
        <v>6030</v>
      </c>
      <c r="H96" s="248">
        <v>6205</v>
      </c>
      <c r="I96" s="249">
        <v>4854</v>
      </c>
      <c r="J96" s="122" t="b">
        <f>IF(ISBLANK(CertifiedCrop[[#This Row],[1. Identifiant interne d’exploitation agricole*]]),"",IF(ISERROR(MATCH(CertifiedCrop[[#This Row],[1. Identifiant interne d’exploitation agricole*]],GroupMember[1. Identifiant interne d’exploitation agricole*],0)),FALSE,TRUE))</f>
        <v>1</v>
      </c>
      <c r="K96" s="122" t="b">
        <f t="array" ref="K96">IF(ISBLANK(CertifiedCrop[[#This Row],[2. Produit agricole certifié*]]),"",IF(ISERROR(MATCH(1,(#REF!=CertifiedCrop[[#This Row],[2. Produit agricole certifié*]])*(#REF!=CertifiedCrop[[#This Row],[3. Variété**]]),0)),FALSE,TRUE))</f>
        <v>0</v>
      </c>
      <c r="L96" s="20" t="str">
        <f t="shared" si="5"/>
        <v/>
      </c>
      <c r="M96" s="54" t="str">
        <f t="shared" si="6"/>
        <v/>
      </c>
      <c r="N96" s="54" t="str">
        <f t="shared" si="7"/>
        <v/>
      </c>
      <c r="O96" s="55">
        <f t="shared" si="8"/>
        <v>580.47079337401919</v>
      </c>
      <c r="P96" s="55">
        <f t="shared" si="9"/>
        <v>543.15605928509149</v>
      </c>
      <c r="Q96" s="9" t="str">
        <f ca="1">IFERROR((VLOOKUP(A96,GM_Table,8,FALSE)-SUMIFS(D:D,A:A,A96,B:B,B96,C:C,C96)),"")</f>
        <v/>
      </c>
      <c r="R96" s="9" t="str">
        <f ca="1">IFERROR(CONCATENATE(VLOOKUP(A96,GM_Table,12,FALSE)," ",(VLOOKUP(A96,GM_Table,13,FALSE))),"")</f>
        <v/>
      </c>
    </row>
    <row r="97" spans="1:18" ht="15" x14ac:dyDescent="0.2">
      <c r="A97" s="145" t="s">
        <v>998</v>
      </c>
      <c r="B97" s="9" t="s">
        <v>3290</v>
      </c>
      <c r="C97" s="9" t="s">
        <v>3291</v>
      </c>
      <c r="D97" s="252">
        <v>3.66</v>
      </c>
      <c r="E97" s="245">
        <v>2069</v>
      </c>
      <c r="F97" s="246">
        <v>1882</v>
      </c>
      <c r="G97" s="247">
        <v>1582</v>
      </c>
      <c r="H97" s="248">
        <v>1485</v>
      </c>
      <c r="I97" s="249">
        <v>1854</v>
      </c>
      <c r="J97" s="122" t="b">
        <f>IF(ISBLANK(CertifiedCrop[[#This Row],[1. Identifiant interne d’exploitation agricole*]]),"",IF(ISERROR(MATCH(CertifiedCrop[[#This Row],[1. Identifiant interne d’exploitation agricole*]],GroupMember[1. Identifiant interne d’exploitation agricole*],0)),FALSE,TRUE))</f>
        <v>1</v>
      </c>
      <c r="K97" s="122" t="b">
        <f t="array" ref="K97">IF(ISBLANK(CertifiedCrop[[#This Row],[2. Produit agricole certifié*]]),"",IF(ISERROR(MATCH(1,(#REF!=CertifiedCrop[[#This Row],[2. Produit agricole certifié*]])*(#REF!=CertifiedCrop[[#This Row],[3. Variété**]]),0)),FALSE,TRUE))</f>
        <v>0</v>
      </c>
      <c r="L97" s="20" t="str">
        <f t="shared" si="5"/>
        <v/>
      </c>
      <c r="M97" s="54" t="str">
        <f t="shared" si="6"/>
        <v/>
      </c>
      <c r="N97" s="54" t="str">
        <f t="shared" si="7"/>
        <v/>
      </c>
      <c r="O97" s="55">
        <f t="shared" si="8"/>
        <v>565.3005464480874</v>
      </c>
      <c r="P97" s="55">
        <f t="shared" si="9"/>
        <v>514.20765027322398</v>
      </c>
      <c r="Q97" s="9" t="str">
        <f ca="1">IFERROR((VLOOKUP(A97,GM_Table,8,FALSE)-SUMIFS(D:D,A:A,A97,B:B,B97,C:C,C97)),"")</f>
        <v/>
      </c>
      <c r="R97" s="9" t="str">
        <f ca="1">IFERROR(CONCATENATE(VLOOKUP(A97,GM_Table,12,FALSE)," ",(VLOOKUP(A97,GM_Table,13,FALSE))),"")</f>
        <v/>
      </c>
    </row>
    <row r="98" spans="1:18" ht="15" x14ac:dyDescent="0.2">
      <c r="A98" s="145" t="s">
        <v>1001</v>
      </c>
      <c r="B98" s="9" t="s">
        <v>3290</v>
      </c>
      <c r="C98" s="9" t="s">
        <v>3291</v>
      </c>
      <c r="D98" s="252">
        <v>5.28</v>
      </c>
      <c r="E98" s="245">
        <v>3213</v>
      </c>
      <c r="F98" s="246">
        <v>3025</v>
      </c>
      <c r="G98" s="247">
        <v>2620</v>
      </c>
      <c r="H98" s="248">
        <v>2283</v>
      </c>
      <c r="I98" s="249">
        <v>2356</v>
      </c>
      <c r="J98" s="122" t="b">
        <f>IF(ISBLANK(CertifiedCrop[[#This Row],[1. Identifiant interne d’exploitation agricole*]]),"",IF(ISERROR(MATCH(CertifiedCrop[[#This Row],[1. Identifiant interne d’exploitation agricole*]],GroupMember[1. Identifiant interne d’exploitation agricole*],0)),FALSE,TRUE))</f>
        <v>1</v>
      </c>
      <c r="K98" s="122" t="b">
        <f t="array" ref="K98">IF(ISBLANK(CertifiedCrop[[#This Row],[2. Produit agricole certifié*]]),"",IF(ISERROR(MATCH(1,(#REF!=CertifiedCrop[[#This Row],[2. Produit agricole certifié*]])*(#REF!=CertifiedCrop[[#This Row],[3. Variété**]]),0)),FALSE,TRUE))</f>
        <v>0</v>
      </c>
      <c r="L98" s="20" t="str">
        <f t="shared" si="5"/>
        <v/>
      </c>
      <c r="M98" s="54" t="str">
        <f t="shared" si="6"/>
        <v/>
      </c>
      <c r="N98" s="54" t="str">
        <f t="shared" si="7"/>
        <v/>
      </c>
      <c r="O98" s="55">
        <f t="shared" si="8"/>
        <v>608.52272727272725</v>
      </c>
      <c r="P98" s="55">
        <f t="shared" si="9"/>
        <v>572.91666666666663</v>
      </c>
      <c r="Q98" s="9" t="str">
        <f ca="1">IFERROR((VLOOKUP(A98,GM_Table,8,FALSE)-SUMIFS(D:D,A:A,A98,B:B,B98,C:C,C98)),"")</f>
        <v/>
      </c>
      <c r="R98" s="9" t="str">
        <f ca="1">IFERROR(CONCATENATE(VLOOKUP(A98,GM_Table,12,FALSE)," ",(VLOOKUP(A98,GM_Table,13,FALSE))),"")</f>
        <v/>
      </c>
    </row>
    <row r="99" spans="1:18" ht="15" x14ac:dyDescent="0.2">
      <c r="A99" s="145" t="s">
        <v>1005</v>
      </c>
      <c r="B99" s="9" t="s">
        <v>3290</v>
      </c>
      <c r="C99" s="9" t="s">
        <v>3291</v>
      </c>
      <c r="D99" s="252">
        <v>7.4245000000000001</v>
      </c>
      <c r="E99" s="245">
        <v>4473</v>
      </c>
      <c r="F99" s="246">
        <v>4326</v>
      </c>
      <c r="G99" s="247">
        <v>3781</v>
      </c>
      <c r="H99" s="248">
        <v>3165</v>
      </c>
      <c r="I99" s="249">
        <v>3202</v>
      </c>
      <c r="J99" s="122" t="b">
        <f>IF(ISBLANK(CertifiedCrop[[#This Row],[1. Identifiant interne d’exploitation agricole*]]),"",IF(ISERROR(MATCH(CertifiedCrop[[#This Row],[1. Identifiant interne d’exploitation agricole*]],GroupMember[1. Identifiant interne d’exploitation agricole*],0)),FALSE,TRUE))</f>
        <v>1</v>
      </c>
      <c r="K99" s="122" t="b">
        <f t="array" ref="K99">IF(ISBLANK(CertifiedCrop[[#This Row],[2. Produit agricole certifié*]]),"",IF(ISERROR(MATCH(1,(#REF!=CertifiedCrop[[#This Row],[2. Produit agricole certifié*]])*(#REF!=CertifiedCrop[[#This Row],[3. Variété**]]),0)),FALSE,TRUE))</f>
        <v>0</v>
      </c>
      <c r="L99" s="20" t="str">
        <f t="shared" si="5"/>
        <v/>
      </c>
      <c r="M99" s="54" t="str">
        <f t="shared" si="6"/>
        <v/>
      </c>
      <c r="N99" s="54" t="str">
        <f t="shared" si="7"/>
        <v/>
      </c>
      <c r="O99" s="55">
        <f t="shared" si="8"/>
        <v>602.46481244528252</v>
      </c>
      <c r="P99" s="55">
        <f t="shared" si="9"/>
        <v>582.66549936022625</v>
      </c>
      <c r="Q99" s="9" t="str">
        <f ca="1">IFERROR((VLOOKUP(A99,GM_Table,8,FALSE)-SUMIFS(D:D,A:A,A99,B:B,B99,C:C,C99)),"")</f>
        <v/>
      </c>
      <c r="R99" s="9" t="str">
        <f ca="1">IFERROR(CONCATENATE(VLOOKUP(A99,GM_Table,12,FALSE)," ",(VLOOKUP(A99,GM_Table,13,FALSE))),"")</f>
        <v/>
      </c>
    </row>
    <row r="100" spans="1:18" ht="15" x14ac:dyDescent="0.2">
      <c r="A100" s="145" t="s">
        <v>1009</v>
      </c>
      <c r="B100" s="9" t="s">
        <v>3290</v>
      </c>
      <c r="C100" s="9" t="s">
        <v>3291</v>
      </c>
      <c r="D100" s="252">
        <v>10.44</v>
      </c>
      <c r="E100" s="245">
        <v>5924</v>
      </c>
      <c r="F100" s="246">
        <v>5598</v>
      </c>
      <c r="G100" s="247">
        <v>5297</v>
      </c>
      <c r="H100" s="248">
        <v>5436</v>
      </c>
      <c r="I100" s="249">
        <v>3305</v>
      </c>
      <c r="J100" s="122" t="b">
        <f>IF(ISBLANK(CertifiedCrop[[#This Row],[1. Identifiant interne d’exploitation agricole*]]),"",IF(ISERROR(MATCH(CertifiedCrop[[#This Row],[1. Identifiant interne d’exploitation agricole*]],GroupMember[1. Identifiant interne d’exploitation agricole*],0)),FALSE,TRUE))</f>
        <v>1</v>
      </c>
      <c r="K100" s="122" t="b">
        <f t="array" ref="K100">IF(ISBLANK(CertifiedCrop[[#This Row],[2. Produit agricole certifié*]]),"",IF(ISERROR(MATCH(1,(#REF!=CertifiedCrop[[#This Row],[2. Produit agricole certifié*]])*(#REF!=CertifiedCrop[[#This Row],[3. Variété**]]),0)),FALSE,TRUE))</f>
        <v>0</v>
      </c>
      <c r="L100" s="20" t="str">
        <f t="shared" si="5"/>
        <v/>
      </c>
      <c r="M100" s="54" t="str">
        <f t="shared" si="6"/>
        <v/>
      </c>
      <c r="N100" s="54" t="str">
        <f t="shared" si="7"/>
        <v/>
      </c>
      <c r="O100" s="55">
        <f t="shared" si="8"/>
        <v>567.43295019157085</v>
      </c>
      <c r="P100" s="55">
        <f t="shared" si="9"/>
        <v>536.20689655172418</v>
      </c>
      <c r="Q100" s="9" t="str">
        <f ca="1">IFERROR((VLOOKUP(A100,GM_Table,8,FALSE)-SUMIFS(D:D,A:A,A100,B:B,B100,C:C,C100)),"")</f>
        <v/>
      </c>
      <c r="R100" s="9" t="str">
        <f ca="1">IFERROR(CONCATENATE(VLOOKUP(A100,GM_Table,12,FALSE)," ",(VLOOKUP(A100,GM_Table,13,FALSE))),"")</f>
        <v/>
      </c>
    </row>
    <row r="101" spans="1:18" ht="15" x14ac:dyDescent="0.2">
      <c r="A101" s="145" t="s">
        <v>1012</v>
      </c>
      <c r="B101" s="9" t="s">
        <v>3290</v>
      </c>
      <c r="C101" s="9" t="s">
        <v>3291</v>
      </c>
      <c r="D101" s="252">
        <v>4.5</v>
      </c>
      <c r="E101" s="245">
        <v>2662</v>
      </c>
      <c r="F101" s="246">
        <v>2565</v>
      </c>
      <c r="G101" s="247">
        <v>1784</v>
      </c>
      <c r="H101" s="248">
        <v>1726</v>
      </c>
      <c r="I101" s="249">
        <v>1856</v>
      </c>
      <c r="J101" s="122" t="b">
        <f>IF(ISBLANK(CertifiedCrop[[#This Row],[1. Identifiant interne d’exploitation agricole*]]),"",IF(ISERROR(MATCH(CertifiedCrop[[#This Row],[1. Identifiant interne d’exploitation agricole*]],GroupMember[1. Identifiant interne d’exploitation agricole*],0)),FALSE,TRUE))</f>
        <v>1</v>
      </c>
      <c r="K101" s="122" t="b">
        <f t="array" ref="K101">IF(ISBLANK(CertifiedCrop[[#This Row],[2. Produit agricole certifié*]]),"",IF(ISERROR(MATCH(1,(#REF!=CertifiedCrop[[#This Row],[2. Produit agricole certifié*]])*(#REF!=CertifiedCrop[[#This Row],[3. Variété**]]),0)),FALSE,TRUE))</f>
        <v>0</v>
      </c>
      <c r="L101" s="20" t="str">
        <f t="shared" si="5"/>
        <v/>
      </c>
      <c r="M101" s="54" t="str">
        <f t="shared" si="6"/>
        <v>!</v>
      </c>
      <c r="N101" s="54" t="str">
        <f t="shared" si="7"/>
        <v/>
      </c>
      <c r="O101" s="55">
        <f t="shared" si="8"/>
        <v>591.55555555555554</v>
      </c>
      <c r="P101" s="55">
        <f t="shared" si="9"/>
        <v>570</v>
      </c>
      <c r="Q101" s="9" t="str">
        <f ca="1">IFERROR((VLOOKUP(A101,GM_Table,8,FALSE)-SUMIFS(D:D,A:A,A101,B:B,B101,C:C,C101)),"")</f>
        <v/>
      </c>
      <c r="R101" s="9" t="str">
        <f ca="1">IFERROR(CONCATENATE(VLOOKUP(A101,GM_Table,12,FALSE)," ",(VLOOKUP(A101,GM_Table,13,FALSE))),"")</f>
        <v/>
      </c>
    </row>
    <row r="102" spans="1:18" ht="15" x14ac:dyDescent="0.2">
      <c r="A102" s="145" t="s">
        <v>1015</v>
      </c>
      <c r="B102" s="9" t="s">
        <v>3290</v>
      </c>
      <c r="C102" s="9" t="s">
        <v>3291</v>
      </c>
      <c r="D102" s="252">
        <v>5</v>
      </c>
      <c r="E102" s="245">
        <v>3128</v>
      </c>
      <c r="F102" s="246">
        <v>2890</v>
      </c>
      <c r="G102" s="247">
        <v>2890</v>
      </c>
      <c r="H102" s="248">
        <v>2567</v>
      </c>
      <c r="I102" s="249">
        <v>2495</v>
      </c>
      <c r="J102" s="122" t="b">
        <f>IF(ISBLANK(CertifiedCrop[[#This Row],[1. Identifiant interne d’exploitation agricole*]]),"",IF(ISERROR(MATCH(CertifiedCrop[[#This Row],[1. Identifiant interne d’exploitation agricole*]],GroupMember[1. Identifiant interne d’exploitation agricole*],0)),FALSE,TRUE))</f>
        <v>1</v>
      </c>
      <c r="K102" s="122" t="b">
        <f t="array" ref="K102">IF(ISBLANK(CertifiedCrop[[#This Row],[2. Produit agricole certifié*]]),"",IF(ISERROR(MATCH(1,(#REF!=CertifiedCrop[[#This Row],[2. Produit agricole certifié*]])*(#REF!=CertifiedCrop[[#This Row],[3. Variété**]]),0)),FALSE,TRUE))</f>
        <v>0</v>
      </c>
      <c r="L102" s="20" t="str">
        <f t="shared" si="5"/>
        <v/>
      </c>
      <c r="M102" s="54" t="str">
        <f t="shared" si="6"/>
        <v/>
      </c>
      <c r="N102" s="54" t="str">
        <f t="shared" si="7"/>
        <v/>
      </c>
      <c r="O102" s="55">
        <f t="shared" si="8"/>
        <v>625.6</v>
      </c>
      <c r="P102" s="55">
        <f t="shared" si="9"/>
        <v>578</v>
      </c>
      <c r="Q102" s="9" t="str">
        <f ca="1">IFERROR((VLOOKUP(A102,GM_Table,8,FALSE)-SUMIFS(D:D,A:A,A102,B:B,B102,C:C,C102)),"")</f>
        <v/>
      </c>
      <c r="R102" s="9" t="str">
        <f ca="1">IFERROR(CONCATENATE(VLOOKUP(A102,GM_Table,12,FALSE)," ",(VLOOKUP(A102,GM_Table,13,FALSE))),"")</f>
        <v/>
      </c>
    </row>
    <row r="103" spans="1:18" ht="15" x14ac:dyDescent="0.2">
      <c r="A103" s="145" t="s">
        <v>1019</v>
      </c>
      <c r="B103" s="9" t="s">
        <v>3290</v>
      </c>
      <c r="C103" s="9" t="s">
        <v>3291</v>
      </c>
      <c r="D103" s="252">
        <v>5.77</v>
      </c>
      <c r="E103" s="245">
        <v>3615</v>
      </c>
      <c r="F103" s="246">
        <v>3456</v>
      </c>
      <c r="G103" s="247">
        <v>3242</v>
      </c>
      <c r="H103" s="248">
        <v>3198</v>
      </c>
      <c r="I103" s="249">
        <v>2385</v>
      </c>
      <c r="J103" s="122" t="b">
        <f>IF(ISBLANK(CertifiedCrop[[#This Row],[1. Identifiant interne d’exploitation agricole*]]),"",IF(ISERROR(MATCH(CertifiedCrop[[#This Row],[1. Identifiant interne d’exploitation agricole*]],GroupMember[1. Identifiant interne d’exploitation agricole*],0)),FALSE,TRUE))</f>
        <v>1</v>
      </c>
      <c r="K103" s="122" t="b">
        <f t="array" ref="K103">IF(ISBLANK(CertifiedCrop[[#This Row],[2. Produit agricole certifié*]]),"",IF(ISERROR(MATCH(1,(#REF!=CertifiedCrop[[#This Row],[2. Produit agricole certifié*]])*(#REF!=CertifiedCrop[[#This Row],[3. Variété**]]),0)),FALSE,TRUE))</f>
        <v>0</v>
      </c>
      <c r="L103" s="20" t="str">
        <f t="shared" si="5"/>
        <v/>
      </c>
      <c r="M103" s="54" t="str">
        <f t="shared" si="6"/>
        <v/>
      </c>
      <c r="N103" s="54" t="str">
        <f t="shared" si="7"/>
        <v/>
      </c>
      <c r="O103" s="55">
        <f t="shared" si="8"/>
        <v>626.51646447140388</v>
      </c>
      <c r="P103" s="55">
        <f t="shared" si="9"/>
        <v>598.9601386481803</v>
      </c>
      <c r="Q103" s="9" t="str">
        <f ca="1">IFERROR((VLOOKUP(A103,GM_Table,8,FALSE)-SUMIFS(D:D,A:A,A103,B:B,B103,C:C,C103)),"")</f>
        <v/>
      </c>
      <c r="R103" s="9" t="str">
        <f ca="1">IFERROR(CONCATENATE(VLOOKUP(A103,GM_Table,12,FALSE)," ",(VLOOKUP(A103,GM_Table,13,FALSE))),"")</f>
        <v/>
      </c>
    </row>
    <row r="104" spans="1:18" ht="15" x14ac:dyDescent="0.2">
      <c r="A104" s="145" t="s">
        <v>1020</v>
      </c>
      <c r="B104" s="9" t="s">
        <v>3290</v>
      </c>
      <c r="C104" s="9" t="s">
        <v>3291</v>
      </c>
      <c r="D104" s="252">
        <v>4.1399999999999997</v>
      </c>
      <c r="E104" s="245">
        <v>2237</v>
      </c>
      <c r="F104" s="246">
        <v>2145</v>
      </c>
      <c r="G104" s="247">
        <v>1931</v>
      </c>
      <c r="H104" s="248">
        <v>1530</v>
      </c>
      <c r="I104" s="249">
        <v>1605</v>
      </c>
      <c r="J104" s="122" t="b">
        <f>IF(ISBLANK(CertifiedCrop[[#This Row],[1. Identifiant interne d’exploitation agricole*]]),"",IF(ISERROR(MATCH(CertifiedCrop[[#This Row],[1. Identifiant interne d’exploitation agricole*]],GroupMember[1. Identifiant interne d’exploitation agricole*],0)),FALSE,TRUE))</f>
        <v>1</v>
      </c>
      <c r="K104" s="122" t="b">
        <f t="array" ref="K104">IF(ISBLANK(CertifiedCrop[[#This Row],[2. Produit agricole certifié*]]),"",IF(ISERROR(MATCH(1,(#REF!=CertifiedCrop[[#This Row],[2. Produit agricole certifié*]])*(#REF!=CertifiedCrop[[#This Row],[3. Variété**]]),0)),FALSE,TRUE))</f>
        <v>0</v>
      </c>
      <c r="L104" s="20" t="str">
        <f t="shared" si="5"/>
        <v/>
      </c>
      <c r="M104" s="54" t="str">
        <f t="shared" si="6"/>
        <v/>
      </c>
      <c r="N104" s="54" t="str">
        <f t="shared" si="7"/>
        <v>!</v>
      </c>
      <c r="O104" s="55">
        <f t="shared" si="8"/>
        <v>540.33816425120779</v>
      </c>
      <c r="P104" s="55">
        <f t="shared" si="9"/>
        <v>518.1159420289855</v>
      </c>
      <c r="Q104" s="9" t="str">
        <f ca="1">IFERROR((VLOOKUP(A104,GM_Table,8,FALSE)-SUMIFS(D:D,A:A,A104,B:B,B104,C:C,C104)),"")</f>
        <v/>
      </c>
      <c r="R104" s="9" t="str">
        <f ca="1">IFERROR(CONCATENATE(VLOOKUP(A104,GM_Table,12,FALSE)," ",(VLOOKUP(A104,GM_Table,13,FALSE))),"")</f>
        <v/>
      </c>
    </row>
    <row r="105" spans="1:18" ht="15" x14ac:dyDescent="0.2">
      <c r="A105" s="145" t="s">
        <v>1024</v>
      </c>
      <c r="B105" s="9" t="s">
        <v>3290</v>
      </c>
      <c r="C105" s="9" t="s">
        <v>3291</v>
      </c>
      <c r="D105" s="252">
        <v>3.66</v>
      </c>
      <c r="E105" s="245">
        <v>2297</v>
      </c>
      <c r="F105" s="246">
        <v>2205</v>
      </c>
      <c r="G105" s="247">
        <v>1904</v>
      </c>
      <c r="H105" s="248">
        <v>2173</v>
      </c>
      <c r="I105" s="249">
        <v>1545</v>
      </c>
      <c r="J105" s="122" t="b">
        <f>IF(ISBLANK(CertifiedCrop[[#This Row],[1. Identifiant interne d’exploitation agricole*]]),"",IF(ISERROR(MATCH(CertifiedCrop[[#This Row],[1. Identifiant interne d’exploitation agricole*]],GroupMember[1. Identifiant interne d’exploitation agricole*],0)),FALSE,TRUE))</f>
        <v>1</v>
      </c>
      <c r="K105" s="122" t="b">
        <f t="array" ref="K105">IF(ISBLANK(CertifiedCrop[[#This Row],[2. Produit agricole certifié*]]),"",IF(ISERROR(MATCH(1,(#REF!=CertifiedCrop[[#This Row],[2. Produit agricole certifié*]])*(#REF!=CertifiedCrop[[#This Row],[3. Variété**]]),0)),FALSE,TRUE))</f>
        <v>0</v>
      </c>
      <c r="L105" s="20" t="str">
        <f t="shared" si="5"/>
        <v/>
      </c>
      <c r="M105" s="54" t="str">
        <f t="shared" si="6"/>
        <v/>
      </c>
      <c r="N105" s="54" t="str">
        <f t="shared" si="7"/>
        <v/>
      </c>
      <c r="O105" s="55">
        <f t="shared" si="8"/>
        <v>627.59562841530055</v>
      </c>
      <c r="P105" s="55">
        <f t="shared" si="9"/>
        <v>602.45901639344265</v>
      </c>
      <c r="Q105" s="9" t="str">
        <f ca="1">IFERROR((VLOOKUP(A105,GM_Table,8,FALSE)-SUMIFS(D:D,A:A,A105,B:B,B105,C:C,C105)),"")</f>
        <v/>
      </c>
      <c r="R105" s="9" t="str">
        <f ca="1">IFERROR(CONCATENATE(VLOOKUP(A105,GM_Table,12,FALSE)," ",(VLOOKUP(A105,GM_Table,13,FALSE))),"")</f>
        <v/>
      </c>
    </row>
    <row r="106" spans="1:18" ht="15" x14ac:dyDescent="0.2">
      <c r="A106" s="145" t="s">
        <v>1028</v>
      </c>
      <c r="B106" s="9" t="s">
        <v>3290</v>
      </c>
      <c r="C106" s="9" t="s">
        <v>3291</v>
      </c>
      <c r="D106" s="252">
        <v>7.61</v>
      </c>
      <c r="E106" s="245">
        <v>4569</v>
      </c>
      <c r="F106" s="246">
        <v>4469</v>
      </c>
      <c r="G106" s="247">
        <v>3981</v>
      </c>
      <c r="H106" s="248">
        <v>4009</v>
      </c>
      <c r="I106" s="249">
        <v>3675</v>
      </c>
      <c r="J106" s="122" t="b">
        <f>IF(ISBLANK(CertifiedCrop[[#This Row],[1. Identifiant interne d’exploitation agricole*]]),"",IF(ISERROR(MATCH(CertifiedCrop[[#This Row],[1. Identifiant interne d’exploitation agricole*]],GroupMember[1. Identifiant interne d’exploitation agricole*],0)),FALSE,TRUE))</f>
        <v>1</v>
      </c>
      <c r="K106" s="122" t="b">
        <f t="array" ref="K106">IF(ISBLANK(CertifiedCrop[[#This Row],[2. Produit agricole certifié*]]),"",IF(ISERROR(MATCH(1,(#REF!=CertifiedCrop[[#This Row],[2. Produit agricole certifié*]])*(#REF!=CertifiedCrop[[#This Row],[3. Variété**]]),0)),FALSE,TRUE))</f>
        <v>0</v>
      </c>
      <c r="L106" s="20" t="str">
        <f t="shared" si="5"/>
        <v/>
      </c>
      <c r="M106" s="54" t="str">
        <f t="shared" si="6"/>
        <v/>
      </c>
      <c r="N106" s="54" t="str">
        <f t="shared" si="7"/>
        <v/>
      </c>
      <c r="O106" s="55">
        <f t="shared" si="8"/>
        <v>600.39421813403419</v>
      </c>
      <c r="P106" s="55">
        <f t="shared" si="9"/>
        <v>587.2536136662286</v>
      </c>
      <c r="Q106" s="9" t="str">
        <f ca="1">IFERROR((VLOOKUP(A106,GM_Table,8,FALSE)-SUMIFS(D:D,A:A,A106,B:B,B106,C:C,C106)),"")</f>
        <v/>
      </c>
      <c r="R106" s="9" t="str">
        <f ca="1">IFERROR(CONCATENATE(VLOOKUP(A106,GM_Table,12,FALSE)," ",(VLOOKUP(A106,GM_Table,13,FALSE))),"")</f>
        <v/>
      </c>
    </row>
    <row r="107" spans="1:18" ht="15" x14ac:dyDescent="0.2">
      <c r="A107" s="145" t="s">
        <v>1030</v>
      </c>
      <c r="B107" s="9" t="s">
        <v>3290</v>
      </c>
      <c r="C107" s="9" t="s">
        <v>3291</v>
      </c>
      <c r="D107" s="252">
        <v>1.29</v>
      </c>
      <c r="E107" s="221">
        <v>746</v>
      </c>
      <c r="F107" s="246">
        <v>700</v>
      </c>
      <c r="G107" s="247">
        <v>597</v>
      </c>
      <c r="H107" s="248">
        <v>249</v>
      </c>
      <c r="I107" s="249">
        <v>644</v>
      </c>
      <c r="J107" s="122" t="b">
        <f>IF(ISBLANK(CertifiedCrop[[#This Row],[1. Identifiant interne d’exploitation agricole*]]),"",IF(ISERROR(MATCH(CertifiedCrop[[#This Row],[1. Identifiant interne d’exploitation agricole*]],GroupMember[1. Identifiant interne d’exploitation agricole*],0)),FALSE,TRUE))</f>
        <v>1</v>
      </c>
      <c r="K107" s="122" t="b">
        <f t="array" ref="K107">IF(ISBLANK(CertifiedCrop[[#This Row],[2. Produit agricole certifié*]]),"",IF(ISERROR(MATCH(1,(#REF!=CertifiedCrop[[#This Row],[2. Produit agricole certifié*]])*(#REF!=CertifiedCrop[[#This Row],[3. Variété**]]),0)),FALSE,TRUE))</f>
        <v>0</v>
      </c>
      <c r="L107" s="20" t="str">
        <f t="shared" si="5"/>
        <v/>
      </c>
      <c r="M107" s="54" t="str">
        <f t="shared" si="6"/>
        <v/>
      </c>
      <c r="N107" s="54" t="str">
        <f t="shared" si="7"/>
        <v>!</v>
      </c>
      <c r="O107" s="55">
        <f t="shared" si="8"/>
        <v>578.29457364341079</v>
      </c>
      <c r="P107" s="55">
        <f t="shared" si="9"/>
        <v>542.63565891472865</v>
      </c>
      <c r="Q107" s="9" t="str">
        <f ca="1">IFERROR((VLOOKUP(A107,GM_Table,8,FALSE)-SUMIFS(D:D,A:A,A107,B:B,B107,C:C,C107)),"")</f>
        <v/>
      </c>
      <c r="R107" s="9" t="str">
        <f ca="1">IFERROR(CONCATENATE(VLOOKUP(A107,GM_Table,12,FALSE)," ",(VLOOKUP(A107,GM_Table,13,FALSE))),"")</f>
        <v/>
      </c>
    </row>
    <row r="108" spans="1:18" ht="15" x14ac:dyDescent="0.2">
      <c r="A108" s="145" t="s">
        <v>1033</v>
      </c>
      <c r="B108" s="9" t="s">
        <v>3290</v>
      </c>
      <c r="C108" s="9" t="s">
        <v>3291</v>
      </c>
      <c r="D108" s="252">
        <v>3</v>
      </c>
      <c r="E108" s="245">
        <v>1618</v>
      </c>
      <c r="F108" s="246">
        <v>1565</v>
      </c>
      <c r="G108" s="247">
        <v>1380</v>
      </c>
      <c r="H108" s="248">
        <v>1269</v>
      </c>
      <c r="I108" s="249">
        <v>1477</v>
      </c>
      <c r="J108" s="122" t="b">
        <f>IF(ISBLANK(CertifiedCrop[[#This Row],[1. Identifiant interne d’exploitation agricole*]]),"",IF(ISERROR(MATCH(CertifiedCrop[[#This Row],[1. Identifiant interne d’exploitation agricole*]],GroupMember[1. Identifiant interne d’exploitation agricole*],0)),FALSE,TRUE))</f>
        <v>1</v>
      </c>
      <c r="K108" s="122" t="b">
        <f t="array" ref="K108">IF(ISBLANK(CertifiedCrop[[#This Row],[2. Produit agricole certifié*]]),"",IF(ISERROR(MATCH(1,(#REF!=CertifiedCrop[[#This Row],[2. Produit agricole certifié*]])*(#REF!=CertifiedCrop[[#This Row],[3. Variété**]]),0)),FALSE,TRUE))</f>
        <v>0</v>
      </c>
      <c r="L108" s="20" t="str">
        <f t="shared" si="5"/>
        <v/>
      </c>
      <c r="M108" s="54" t="str">
        <f t="shared" si="6"/>
        <v/>
      </c>
      <c r="N108" s="54" t="str">
        <f t="shared" si="7"/>
        <v/>
      </c>
      <c r="O108" s="55">
        <f t="shared" si="8"/>
        <v>539.33333333333337</v>
      </c>
      <c r="P108" s="55">
        <f t="shared" si="9"/>
        <v>521.66666666666663</v>
      </c>
      <c r="Q108" s="9" t="str">
        <f ca="1">IFERROR((VLOOKUP(A108,GM_Table,8,FALSE)-SUMIFS(D:D,A:A,A108,B:B,B108,C:C,C108)),"")</f>
        <v/>
      </c>
      <c r="R108" s="9" t="str">
        <f ca="1">IFERROR(CONCATENATE(VLOOKUP(A108,GM_Table,12,FALSE)," ",(VLOOKUP(A108,GM_Table,13,FALSE))),"")</f>
        <v/>
      </c>
    </row>
    <row r="109" spans="1:18" ht="15" x14ac:dyDescent="0.2">
      <c r="A109" s="145" t="s">
        <v>1036</v>
      </c>
      <c r="B109" s="9" t="s">
        <v>3290</v>
      </c>
      <c r="C109" s="9" t="s">
        <v>3291</v>
      </c>
      <c r="D109" s="252">
        <v>2</v>
      </c>
      <c r="E109" s="245">
        <v>1091</v>
      </c>
      <c r="F109" s="246">
        <v>1024</v>
      </c>
      <c r="G109" s="247">
        <v>547</v>
      </c>
      <c r="H109" s="248">
        <v>1041</v>
      </c>
      <c r="I109" s="249">
        <v>978</v>
      </c>
      <c r="J109" s="122" t="b">
        <f>IF(ISBLANK(CertifiedCrop[[#This Row],[1. Identifiant interne d’exploitation agricole*]]),"",IF(ISERROR(MATCH(CertifiedCrop[[#This Row],[1. Identifiant interne d’exploitation agricole*]],GroupMember[1. Identifiant interne d’exploitation agricole*],0)),FALSE,TRUE))</f>
        <v>1</v>
      </c>
      <c r="K109" s="122" t="b">
        <f t="array" ref="K109">IF(ISBLANK(CertifiedCrop[[#This Row],[2. Produit agricole certifié*]]),"",IF(ISERROR(MATCH(1,(#REF!=CertifiedCrop[[#This Row],[2. Produit agricole certifié*]])*(#REF!=CertifiedCrop[[#This Row],[3. Variété**]]),0)),FALSE,TRUE))</f>
        <v>0</v>
      </c>
      <c r="L109" s="20" t="str">
        <f t="shared" si="5"/>
        <v/>
      </c>
      <c r="M109" s="54" t="str">
        <f t="shared" si="6"/>
        <v>!</v>
      </c>
      <c r="N109" s="54" t="str">
        <f t="shared" si="7"/>
        <v>!</v>
      </c>
      <c r="O109" s="55">
        <f t="shared" si="8"/>
        <v>545.5</v>
      </c>
      <c r="P109" s="55">
        <f t="shared" si="9"/>
        <v>512</v>
      </c>
      <c r="Q109" s="9" t="str">
        <f ca="1">IFERROR((VLOOKUP(A109,GM_Table,8,FALSE)-SUMIFS(D:D,A:A,A109,B:B,B109,C:C,C109)),"")</f>
        <v/>
      </c>
      <c r="R109" s="9" t="str">
        <f ca="1">IFERROR(CONCATENATE(VLOOKUP(A109,GM_Table,12,FALSE)," ",(VLOOKUP(A109,GM_Table,13,FALSE))),"")</f>
        <v/>
      </c>
    </row>
    <row r="110" spans="1:18" ht="15" x14ac:dyDescent="0.2">
      <c r="A110" s="145" t="s">
        <v>1038</v>
      </c>
      <c r="B110" s="9" t="s">
        <v>3290</v>
      </c>
      <c r="C110" s="9" t="s">
        <v>3291</v>
      </c>
      <c r="D110" s="252">
        <v>4</v>
      </c>
      <c r="E110" s="245">
        <v>2177</v>
      </c>
      <c r="F110" s="246">
        <v>2105</v>
      </c>
      <c r="G110" s="247">
        <v>1953</v>
      </c>
      <c r="H110" s="248">
        <v>1670</v>
      </c>
      <c r="I110" s="249">
        <v>2062</v>
      </c>
      <c r="J110" s="122" t="b">
        <f>IF(ISBLANK(CertifiedCrop[[#This Row],[1. Identifiant interne d’exploitation agricole*]]),"",IF(ISERROR(MATCH(CertifiedCrop[[#This Row],[1. Identifiant interne d’exploitation agricole*]],GroupMember[1. Identifiant interne d’exploitation agricole*],0)),FALSE,TRUE))</f>
        <v>1</v>
      </c>
      <c r="K110" s="122" t="b">
        <f t="array" ref="K110">IF(ISBLANK(CertifiedCrop[[#This Row],[2. Produit agricole certifié*]]),"",IF(ISERROR(MATCH(1,(#REF!=CertifiedCrop[[#This Row],[2. Produit agricole certifié*]])*(#REF!=CertifiedCrop[[#This Row],[3. Variété**]]),0)),FALSE,TRUE))</f>
        <v>0</v>
      </c>
      <c r="L110" s="20" t="str">
        <f t="shared" si="5"/>
        <v/>
      </c>
      <c r="M110" s="54" t="str">
        <f t="shared" si="6"/>
        <v/>
      </c>
      <c r="N110" s="54" t="str">
        <f t="shared" si="7"/>
        <v/>
      </c>
      <c r="O110" s="55">
        <f t="shared" si="8"/>
        <v>544.25</v>
      </c>
      <c r="P110" s="55">
        <f t="shared" si="9"/>
        <v>526.25</v>
      </c>
      <c r="Q110" s="9" t="str">
        <f ca="1">IFERROR((VLOOKUP(A110,GM_Table,8,FALSE)-SUMIFS(D:D,A:A,A110,B:B,B110,C:C,C110)),"")</f>
        <v/>
      </c>
      <c r="R110" s="9" t="str">
        <f ca="1">IFERROR(CONCATENATE(VLOOKUP(A110,GM_Table,12,FALSE)," ",(VLOOKUP(A110,GM_Table,13,FALSE))),"")</f>
        <v/>
      </c>
    </row>
    <row r="111" spans="1:18" ht="15" x14ac:dyDescent="0.2">
      <c r="A111" s="145" t="s">
        <v>1040</v>
      </c>
      <c r="B111" s="9" t="s">
        <v>3290</v>
      </c>
      <c r="C111" s="9" t="s">
        <v>3291</v>
      </c>
      <c r="D111" s="252">
        <v>2.29</v>
      </c>
      <c r="E111" s="245">
        <v>1393</v>
      </c>
      <c r="F111" s="246">
        <v>1269</v>
      </c>
      <c r="G111" s="247">
        <v>981</v>
      </c>
      <c r="H111" s="248">
        <v>1093</v>
      </c>
      <c r="I111" s="249">
        <v>1279</v>
      </c>
      <c r="J111" s="122" t="b">
        <f>IF(ISBLANK(CertifiedCrop[[#This Row],[1. Identifiant interne d’exploitation agricole*]]),"",IF(ISERROR(MATCH(CertifiedCrop[[#This Row],[1. Identifiant interne d’exploitation agricole*]],GroupMember[1. Identifiant interne d’exploitation agricole*],0)),FALSE,TRUE))</f>
        <v>1</v>
      </c>
      <c r="K111" s="122" t="b">
        <f t="array" ref="K111">IF(ISBLANK(CertifiedCrop[[#This Row],[2. Produit agricole certifié*]]),"",IF(ISERROR(MATCH(1,(#REF!=CertifiedCrop[[#This Row],[2. Produit agricole certifié*]])*(#REF!=CertifiedCrop[[#This Row],[3. Variété**]]),0)),FALSE,TRUE))</f>
        <v>0</v>
      </c>
      <c r="L111" s="20" t="str">
        <f t="shared" si="5"/>
        <v/>
      </c>
      <c r="M111" s="54" t="str">
        <f t="shared" si="6"/>
        <v>!</v>
      </c>
      <c r="N111" s="54" t="str">
        <f t="shared" si="7"/>
        <v/>
      </c>
      <c r="O111" s="55">
        <f t="shared" si="8"/>
        <v>608.29694323144099</v>
      </c>
      <c r="P111" s="55">
        <f t="shared" si="9"/>
        <v>554.1484716157205</v>
      </c>
      <c r="Q111" s="9" t="str">
        <f ca="1">IFERROR((VLOOKUP(A111,GM_Table,8,FALSE)-SUMIFS(D:D,A:A,A111,B:B,B111,C:C,C111)),"")</f>
        <v/>
      </c>
      <c r="R111" s="9" t="str">
        <f ca="1">IFERROR(CONCATENATE(VLOOKUP(A111,GM_Table,12,FALSE)," ",(VLOOKUP(A111,GM_Table,13,FALSE))),"")</f>
        <v/>
      </c>
    </row>
    <row r="112" spans="1:18" ht="15" x14ac:dyDescent="0.2">
      <c r="A112" s="145" t="s">
        <v>1043</v>
      </c>
      <c r="B112" s="9" t="s">
        <v>3290</v>
      </c>
      <c r="C112" s="9" t="s">
        <v>3291</v>
      </c>
      <c r="D112" s="252">
        <v>3</v>
      </c>
      <c r="E112" s="245">
        <v>1765</v>
      </c>
      <c r="F112" s="246">
        <v>1704</v>
      </c>
      <c r="G112" s="247">
        <v>1458</v>
      </c>
      <c r="H112" s="248">
        <v>1577</v>
      </c>
      <c r="I112" s="249">
        <v>1525</v>
      </c>
      <c r="J112" s="122" t="b">
        <f>IF(ISBLANK(CertifiedCrop[[#This Row],[1. Identifiant interne d’exploitation agricole*]]),"",IF(ISERROR(MATCH(CertifiedCrop[[#This Row],[1. Identifiant interne d’exploitation agricole*]],GroupMember[1. Identifiant interne d’exploitation agricole*],0)),FALSE,TRUE))</f>
        <v>1</v>
      </c>
      <c r="K112" s="122" t="b">
        <f t="array" ref="K112">IF(ISBLANK(CertifiedCrop[[#This Row],[2. Produit agricole certifié*]]),"",IF(ISERROR(MATCH(1,(#REF!=CertifiedCrop[[#This Row],[2. Produit agricole certifié*]])*(#REF!=CertifiedCrop[[#This Row],[3. Variété**]]),0)),FALSE,TRUE))</f>
        <v>0</v>
      </c>
      <c r="L112" s="20" t="str">
        <f t="shared" si="5"/>
        <v/>
      </c>
      <c r="M112" s="54" t="str">
        <f t="shared" si="6"/>
        <v/>
      </c>
      <c r="N112" s="54" t="str">
        <f t="shared" si="7"/>
        <v/>
      </c>
      <c r="O112" s="55">
        <f t="shared" si="8"/>
        <v>588.33333333333337</v>
      </c>
      <c r="P112" s="55">
        <f t="shared" si="9"/>
        <v>568</v>
      </c>
      <c r="Q112" s="9" t="str">
        <f ca="1">IFERROR((VLOOKUP(A112,GM_Table,8,FALSE)-SUMIFS(D:D,A:A,A112,B:B,B112,C:C,C112)),"")</f>
        <v/>
      </c>
      <c r="R112" s="9" t="str">
        <f ca="1">IFERROR(CONCATENATE(VLOOKUP(A112,GM_Table,12,FALSE)," ",(VLOOKUP(A112,GM_Table,13,FALSE))),"")</f>
        <v/>
      </c>
    </row>
    <row r="113" spans="1:18" ht="15" x14ac:dyDescent="0.2">
      <c r="A113" s="145" t="s">
        <v>1046</v>
      </c>
      <c r="B113" s="9" t="s">
        <v>3290</v>
      </c>
      <c r="C113" s="9" t="s">
        <v>3291</v>
      </c>
      <c r="D113" s="252">
        <v>1.23</v>
      </c>
      <c r="E113" s="221">
        <v>730</v>
      </c>
      <c r="F113" s="246">
        <v>700</v>
      </c>
      <c r="G113" s="247">
        <v>640</v>
      </c>
      <c r="H113" s="248">
        <v>452</v>
      </c>
      <c r="I113" s="249">
        <v>695</v>
      </c>
      <c r="J113" s="122" t="b">
        <f>IF(ISBLANK(CertifiedCrop[[#This Row],[1. Identifiant interne d’exploitation agricole*]]),"",IF(ISERROR(MATCH(CertifiedCrop[[#This Row],[1. Identifiant interne d’exploitation agricole*]],GroupMember[1. Identifiant interne d’exploitation agricole*],0)),FALSE,TRUE))</f>
        <v>1</v>
      </c>
      <c r="K113" s="122" t="b">
        <f t="array" ref="K113">IF(ISBLANK(CertifiedCrop[[#This Row],[2. Produit agricole certifié*]]),"",IF(ISERROR(MATCH(1,(#REF!=CertifiedCrop[[#This Row],[2. Produit agricole certifié*]])*(#REF!=CertifiedCrop[[#This Row],[3. Variété**]]),0)),FALSE,TRUE))</f>
        <v>0</v>
      </c>
      <c r="L113" s="20" t="str">
        <f t="shared" si="5"/>
        <v/>
      </c>
      <c r="M113" s="54" t="str">
        <f t="shared" si="6"/>
        <v/>
      </c>
      <c r="N113" s="54" t="str">
        <f t="shared" si="7"/>
        <v>!</v>
      </c>
      <c r="O113" s="55">
        <f t="shared" si="8"/>
        <v>593.4959349593496</v>
      </c>
      <c r="P113" s="55">
        <f t="shared" si="9"/>
        <v>569.10569105691059</v>
      </c>
      <c r="Q113" s="9" t="str">
        <f ca="1">IFERROR((VLOOKUP(A113,GM_Table,8,FALSE)-SUMIFS(D:D,A:A,A113,B:B,B113,C:C,C113)),"")</f>
        <v/>
      </c>
      <c r="R113" s="9" t="str">
        <f ca="1">IFERROR(CONCATENATE(VLOOKUP(A113,GM_Table,12,FALSE)," ",(VLOOKUP(A113,GM_Table,13,FALSE))),"")</f>
        <v/>
      </c>
    </row>
    <row r="114" spans="1:18" ht="15" x14ac:dyDescent="0.2">
      <c r="A114" s="145" t="s">
        <v>1049</v>
      </c>
      <c r="B114" s="9" t="s">
        <v>3290</v>
      </c>
      <c r="C114" s="9" t="s">
        <v>3291</v>
      </c>
      <c r="D114" s="252">
        <v>1.3083</v>
      </c>
      <c r="E114" s="221">
        <v>676</v>
      </c>
      <c r="F114" s="246">
        <v>650</v>
      </c>
      <c r="G114" s="247">
        <v>597</v>
      </c>
      <c r="H114" s="248">
        <v>421</v>
      </c>
      <c r="I114" s="249">
        <v>1088</v>
      </c>
      <c r="J114" s="122" t="b">
        <f>IF(ISBLANK(CertifiedCrop[[#This Row],[1. Identifiant interne d’exploitation agricole*]]),"",IF(ISERROR(MATCH(CertifiedCrop[[#This Row],[1. Identifiant interne d’exploitation agricole*]],GroupMember[1. Identifiant interne d’exploitation agricole*],0)),FALSE,TRUE))</f>
        <v>1</v>
      </c>
      <c r="K114" s="122" t="b">
        <f t="array" ref="K114">IF(ISBLANK(CertifiedCrop[[#This Row],[2. Produit agricole certifié*]]),"",IF(ISERROR(MATCH(1,(#REF!=CertifiedCrop[[#This Row],[2. Produit agricole certifié*]])*(#REF!=CertifiedCrop[[#This Row],[3. Variété**]]),0)),FALSE,TRUE))</f>
        <v>0</v>
      </c>
      <c r="L114" s="20" t="str">
        <f t="shared" si="5"/>
        <v/>
      </c>
      <c r="M114" s="54" t="str">
        <f t="shared" si="6"/>
        <v/>
      </c>
      <c r="N114" s="54" t="str">
        <f t="shared" si="7"/>
        <v>!</v>
      </c>
      <c r="O114" s="55">
        <f t="shared" si="8"/>
        <v>516.70106244745091</v>
      </c>
      <c r="P114" s="55">
        <f t="shared" si="9"/>
        <v>496.82794466101046</v>
      </c>
      <c r="Q114" s="9" t="str">
        <f ca="1">IFERROR((VLOOKUP(A114,GM_Table,8,FALSE)-SUMIFS(D:D,A:A,A114,B:B,B114,C:C,C114)),"")</f>
        <v/>
      </c>
      <c r="R114" s="9" t="str">
        <f ca="1">IFERROR(CONCATENATE(VLOOKUP(A114,GM_Table,12,FALSE)," ",(VLOOKUP(A114,GM_Table,13,FALSE))),"")</f>
        <v/>
      </c>
    </row>
    <row r="115" spans="1:18" ht="15" x14ac:dyDescent="0.2">
      <c r="A115" s="145" t="s">
        <v>1051</v>
      </c>
      <c r="B115" s="9" t="s">
        <v>3290</v>
      </c>
      <c r="C115" s="9" t="s">
        <v>3291</v>
      </c>
      <c r="D115" s="252">
        <v>3.38</v>
      </c>
      <c r="E115" s="245">
        <v>1861</v>
      </c>
      <c r="F115" s="246">
        <v>1785</v>
      </c>
      <c r="G115" s="247">
        <v>1015</v>
      </c>
      <c r="H115" s="248">
        <v>1578</v>
      </c>
      <c r="I115" s="249">
        <v>1325</v>
      </c>
      <c r="J115" s="122" t="b">
        <f>IF(ISBLANK(CertifiedCrop[[#This Row],[1. Identifiant interne d’exploitation agricole*]]),"",IF(ISERROR(MATCH(CertifiedCrop[[#This Row],[1. Identifiant interne d’exploitation agricole*]],GroupMember[1. Identifiant interne d’exploitation agricole*],0)),FALSE,TRUE))</f>
        <v>1</v>
      </c>
      <c r="K115" s="122" t="b">
        <f t="array" ref="K115">IF(ISBLANK(CertifiedCrop[[#This Row],[2. Produit agricole certifié*]]),"",IF(ISERROR(MATCH(1,(#REF!=CertifiedCrop[[#This Row],[2. Produit agricole certifié*]])*(#REF!=CertifiedCrop[[#This Row],[3. Variété**]]),0)),FALSE,TRUE))</f>
        <v>0</v>
      </c>
      <c r="L115" s="20" t="str">
        <f t="shared" ref="L115:L178" si="10">IF((F115-G115)&lt;0,"!","")</f>
        <v/>
      </c>
      <c r="M115" s="54" t="str">
        <f t="shared" ref="M115:M178" si="11">IFERROR(IF((F115-G115)/G115&gt;25%,"!",IF((F115-G115)/G115&lt;-25%,"!","")),"")</f>
        <v>!</v>
      </c>
      <c r="N115" s="54" t="str">
        <f t="shared" ref="N115:N178" si="12">IFERROR(IF((G115-H115)/H115&gt;25%,"!",IF((G115-H115)/H115&lt;-25%,"!","")),"")</f>
        <v>!</v>
      </c>
      <c r="O115" s="55">
        <f t="shared" ref="O115:O178" si="13">IFERROR(E115/D115,"")</f>
        <v>550.59171597633133</v>
      </c>
      <c r="P115" s="55">
        <f t="shared" ref="P115:P178" si="14">IFERROR(F115/D115,"")</f>
        <v>528.10650887573968</v>
      </c>
      <c r="Q115" s="9" t="str">
        <f ca="1">IFERROR((VLOOKUP(A115,GM_Table,8,FALSE)-SUMIFS(D:D,A:A,A115,B:B,B115,C:C,C115)),"")</f>
        <v/>
      </c>
      <c r="R115" s="9" t="str">
        <f ca="1">IFERROR(CONCATENATE(VLOOKUP(A115,GM_Table,12,FALSE)," ",(VLOOKUP(A115,GM_Table,13,FALSE))),"")</f>
        <v/>
      </c>
    </row>
    <row r="116" spans="1:18" ht="15" x14ac:dyDescent="0.2">
      <c r="A116" s="145" t="s">
        <v>1054</v>
      </c>
      <c r="B116" s="9" t="s">
        <v>3290</v>
      </c>
      <c r="C116" s="9" t="s">
        <v>3291</v>
      </c>
      <c r="D116" s="252">
        <v>3.41</v>
      </c>
      <c r="E116" s="245">
        <v>1760</v>
      </c>
      <c r="F116" s="246">
        <v>1658</v>
      </c>
      <c r="G116" s="247">
        <v>1044</v>
      </c>
      <c r="H116" s="248">
        <v>1221</v>
      </c>
      <c r="I116" s="249">
        <v>1087</v>
      </c>
      <c r="J116" s="122" t="b">
        <f>IF(ISBLANK(CertifiedCrop[[#This Row],[1. Identifiant interne d’exploitation agricole*]]),"",IF(ISERROR(MATCH(CertifiedCrop[[#This Row],[1. Identifiant interne d’exploitation agricole*]],GroupMember[1. Identifiant interne d’exploitation agricole*],0)),FALSE,TRUE))</f>
        <v>1</v>
      </c>
      <c r="K116" s="122" t="b">
        <f t="array" ref="K116">IF(ISBLANK(CertifiedCrop[[#This Row],[2. Produit agricole certifié*]]),"",IF(ISERROR(MATCH(1,(#REF!=CertifiedCrop[[#This Row],[2. Produit agricole certifié*]])*(#REF!=CertifiedCrop[[#This Row],[3. Variété**]]),0)),FALSE,TRUE))</f>
        <v>0</v>
      </c>
      <c r="L116" s="20" t="str">
        <f t="shared" si="10"/>
        <v/>
      </c>
      <c r="M116" s="54" t="str">
        <f t="shared" si="11"/>
        <v>!</v>
      </c>
      <c r="N116" s="54" t="str">
        <f t="shared" si="12"/>
        <v/>
      </c>
      <c r="O116" s="55">
        <f t="shared" si="13"/>
        <v>516.12903225806451</v>
      </c>
      <c r="P116" s="55">
        <f t="shared" si="14"/>
        <v>486.21700879765393</v>
      </c>
      <c r="Q116" s="9" t="str">
        <f ca="1">IFERROR((VLOOKUP(A116,GM_Table,8,FALSE)-SUMIFS(D:D,A:A,A116,B:B,B116,C:C,C116)),"")</f>
        <v/>
      </c>
      <c r="R116" s="9" t="str">
        <f ca="1">IFERROR(CONCATENATE(VLOOKUP(A116,GM_Table,12,FALSE)," ",(VLOOKUP(A116,GM_Table,13,FALSE))),"")</f>
        <v/>
      </c>
    </row>
    <row r="117" spans="1:18" ht="15" x14ac:dyDescent="0.2">
      <c r="A117" s="145" t="s">
        <v>1058</v>
      </c>
      <c r="B117" s="9" t="s">
        <v>3290</v>
      </c>
      <c r="C117" s="9" t="s">
        <v>3291</v>
      </c>
      <c r="D117" s="252">
        <v>4.8</v>
      </c>
      <c r="E117" s="245">
        <v>2613</v>
      </c>
      <c r="F117" s="246">
        <v>2565</v>
      </c>
      <c r="G117" s="247">
        <v>2271</v>
      </c>
      <c r="H117" s="248">
        <v>1814</v>
      </c>
      <c r="I117" s="249">
        <v>1952</v>
      </c>
      <c r="J117" s="122" t="b">
        <f>IF(ISBLANK(CertifiedCrop[[#This Row],[1. Identifiant interne d’exploitation agricole*]]),"",IF(ISERROR(MATCH(CertifiedCrop[[#This Row],[1. Identifiant interne d’exploitation agricole*]],GroupMember[1. Identifiant interne d’exploitation agricole*],0)),FALSE,TRUE))</f>
        <v>1</v>
      </c>
      <c r="K117" s="122" t="b">
        <f t="array" ref="K117">IF(ISBLANK(CertifiedCrop[[#This Row],[2. Produit agricole certifié*]]),"",IF(ISERROR(MATCH(1,(#REF!=CertifiedCrop[[#This Row],[2. Produit agricole certifié*]])*(#REF!=CertifiedCrop[[#This Row],[3. Variété**]]),0)),FALSE,TRUE))</f>
        <v>0</v>
      </c>
      <c r="L117" s="20" t="str">
        <f t="shared" si="10"/>
        <v/>
      </c>
      <c r="M117" s="54" t="str">
        <f t="shared" si="11"/>
        <v/>
      </c>
      <c r="N117" s="54" t="str">
        <f t="shared" si="12"/>
        <v>!</v>
      </c>
      <c r="O117" s="55">
        <f t="shared" si="13"/>
        <v>544.375</v>
      </c>
      <c r="P117" s="55">
        <f t="shared" si="14"/>
        <v>534.375</v>
      </c>
      <c r="Q117" s="9" t="str">
        <f ca="1">IFERROR((VLOOKUP(A117,GM_Table,8,FALSE)-SUMIFS(D:D,A:A,A117,B:B,B117,C:C,C117)),"")</f>
        <v/>
      </c>
      <c r="R117" s="9" t="str">
        <f ca="1">IFERROR(CONCATENATE(VLOOKUP(A117,GM_Table,12,FALSE)," ",(VLOOKUP(A117,GM_Table,13,FALSE))),"")</f>
        <v/>
      </c>
    </row>
    <row r="118" spans="1:18" ht="15" x14ac:dyDescent="0.2">
      <c r="A118" s="145" t="s">
        <v>1062</v>
      </c>
      <c r="B118" s="9" t="s">
        <v>3290</v>
      </c>
      <c r="C118" s="9" t="s">
        <v>3291</v>
      </c>
      <c r="D118" s="252">
        <v>1.55</v>
      </c>
      <c r="E118" s="221">
        <v>847</v>
      </c>
      <c r="F118" s="246">
        <v>800</v>
      </c>
      <c r="G118" s="247">
        <v>563</v>
      </c>
      <c r="H118" s="248">
        <v>736</v>
      </c>
      <c r="I118" s="249">
        <v>821</v>
      </c>
      <c r="J118" s="122" t="b">
        <f>IF(ISBLANK(CertifiedCrop[[#This Row],[1. Identifiant interne d’exploitation agricole*]]),"",IF(ISERROR(MATCH(CertifiedCrop[[#This Row],[1. Identifiant interne d’exploitation agricole*]],GroupMember[1. Identifiant interne d’exploitation agricole*],0)),FALSE,TRUE))</f>
        <v>1</v>
      </c>
      <c r="K118" s="122" t="b">
        <f t="array" ref="K118">IF(ISBLANK(CertifiedCrop[[#This Row],[2. Produit agricole certifié*]]),"",IF(ISERROR(MATCH(1,(#REF!=CertifiedCrop[[#This Row],[2. Produit agricole certifié*]])*(#REF!=CertifiedCrop[[#This Row],[3. Variété**]]),0)),FALSE,TRUE))</f>
        <v>0</v>
      </c>
      <c r="L118" s="20" t="str">
        <f t="shared" si="10"/>
        <v/>
      </c>
      <c r="M118" s="54" t="str">
        <f t="shared" si="11"/>
        <v>!</v>
      </c>
      <c r="N118" s="54" t="str">
        <f t="shared" si="12"/>
        <v/>
      </c>
      <c r="O118" s="55">
        <f t="shared" si="13"/>
        <v>546.45161290322574</v>
      </c>
      <c r="P118" s="55">
        <f t="shared" si="14"/>
        <v>516.12903225806451</v>
      </c>
      <c r="Q118" s="9" t="str">
        <f ca="1">IFERROR((VLOOKUP(A118,GM_Table,8,FALSE)-SUMIFS(D:D,A:A,A118,B:B,B118,C:C,C118)),"")</f>
        <v/>
      </c>
      <c r="R118" s="9" t="str">
        <f ca="1">IFERROR(CONCATENATE(VLOOKUP(A118,GM_Table,12,FALSE)," ",(VLOOKUP(A118,GM_Table,13,FALSE))),"")</f>
        <v/>
      </c>
    </row>
    <row r="119" spans="1:18" ht="15" x14ac:dyDescent="0.2">
      <c r="A119" s="145" t="s">
        <v>1066</v>
      </c>
      <c r="B119" s="9" t="s">
        <v>3290</v>
      </c>
      <c r="C119" s="9" t="s">
        <v>3291</v>
      </c>
      <c r="D119" s="252">
        <v>1.29</v>
      </c>
      <c r="E119" s="221">
        <v>782</v>
      </c>
      <c r="F119" s="246">
        <v>750</v>
      </c>
      <c r="G119" s="247">
        <v>704</v>
      </c>
      <c r="H119" s="248">
        <v>509</v>
      </c>
      <c r="I119" s="249">
        <v>695</v>
      </c>
      <c r="J119" s="122" t="b">
        <f>IF(ISBLANK(CertifiedCrop[[#This Row],[1. Identifiant interne d’exploitation agricole*]]),"",IF(ISERROR(MATCH(CertifiedCrop[[#This Row],[1. Identifiant interne d’exploitation agricole*]],GroupMember[1. Identifiant interne d’exploitation agricole*],0)),FALSE,TRUE))</f>
        <v>1</v>
      </c>
      <c r="K119" s="122" t="b">
        <f t="array" ref="K119">IF(ISBLANK(CertifiedCrop[[#This Row],[2. Produit agricole certifié*]]),"",IF(ISERROR(MATCH(1,(#REF!=CertifiedCrop[[#This Row],[2. Produit agricole certifié*]])*(#REF!=CertifiedCrop[[#This Row],[3. Variété**]]),0)),FALSE,TRUE))</f>
        <v>0</v>
      </c>
      <c r="L119" s="20" t="str">
        <f t="shared" si="10"/>
        <v/>
      </c>
      <c r="M119" s="54" t="str">
        <f t="shared" si="11"/>
        <v/>
      </c>
      <c r="N119" s="54" t="str">
        <f t="shared" si="12"/>
        <v>!</v>
      </c>
      <c r="O119" s="55">
        <f t="shared" si="13"/>
        <v>606.20155038759685</v>
      </c>
      <c r="P119" s="55">
        <f t="shared" si="14"/>
        <v>581.39534883720933</v>
      </c>
      <c r="Q119" s="9" t="str">
        <f ca="1">IFERROR((VLOOKUP(A119,GM_Table,8,FALSE)-SUMIFS(D:D,A:A,A119,B:B,B119,C:C,C119)),"")</f>
        <v/>
      </c>
      <c r="R119" s="9" t="str">
        <f ca="1">IFERROR(CONCATENATE(VLOOKUP(A119,GM_Table,12,FALSE)," ",(VLOOKUP(A119,GM_Table,13,FALSE))),"")</f>
        <v/>
      </c>
    </row>
    <row r="120" spans="1:18" ht="15" x14ac:dyDescent="0.2">
      <c r="A120" s="145" t="s">
        <v>1069</v>
      </c>
      <c r="B120" s="9" t="s">
        <v>3290</v>
      </c>
      <c r="C120" s="9" t="s">
        <v>3291</v>
      </c>
      <c r="D120" s="252">
        <v>2.93</v>
      </c>
      <c r="E120" s="245">
        <v>1866</v>
      </c>
      <c r="F120" s="246">
        <v>1832</v>
      </c>
      <c r="G120" s="247">
        <v>1832</v>
      </c>
      <c r="H120" s="248">
        <v>1366</v>
      </c>
      <c r="I120" s="249">
        <v>1258</v>
      </c>
      <c r="J120" s="122" t="b">
        <f>IF(ISBLANK(CertifiedCrop[[#This Row],[1. Identifiant interne d’exploitation agricole*]]),"",IF(ISERROR(MATCH(CertifiedCrop[[#This Row],[1. Identifiant interne d’exploitation agricole*]],GroupMember[1. Identifiant interne d’exploitation agricole*],0)),FALSE,TRUE))</f>
        <v>1</v>
      </c>
      <c r="K120" s="122" t="b">
        <f t="array" ref="K120">IF(ISBLANK(CertifiedCrop[[#This Row],[2. Produit agricole certifié*]]),"",IF(ISERROR(MATCH(1,(#REF!=CertifiedCrop[[#This Row],[2. Produit agricole certifié*]])*(#REF!=CertifiedCrop[[#This Row],[3. Variété**]]),0)),FALSE,TRUE))</f>
        <v>0</v>
      </c>
      <c r="L120" s="20" t="str">
        <f t="shared" si="10"/>
        <v/>
      </c>
      <c r="M120" s="54" t="str">
        <f t="shared" si="11"/>
        <v/>
      </c>
      <c r="N120" s="54" t="str">
        <f t="shared" si="12"/>
        <v>!</v>
      </c>
      <c r="O120" s="55">
        <f t="shared" si="13"/>
        <v>636.86006825938568</v>
      </c>
      <c r="P120" s="55">
        <f t="shared" si="14"/>
        <v>625.25597269624575</v>
      </c>
      <c r="Q120" s="9" t="str">
        <f ca="1">IFERROR((VLOOKUP(A120,GM_Table,8,FALSE)-SUMIFS(D:D,A:A,A120,B:B,B120,C:C,C120)),"")</f>
        <v/>
      </c>
      <c r="R120" s="9" t="str">
        <f ca="1">IFERROR(CONCATENATE(VLOOKUP(A120,GM_Table,12,FALSE)," ",(VLOOKUP(A120,GM_Table,13,FALSE))),"")</f>
        <v/>
      </c>
    </row>
    <row r="121" spans="1:18" ht="15" x14ac:dyDescent="0.2">
      <c r="A121" s="145" t="s">
        <v>1073</v>
      </c>
      <c r="B121" s="9" t="s">
        <v>3290</v>
      </c>
      <c r="C121" s="9" t="s">
        <v>3291</v>
      </c>
      <c r="D121" s="252">
        <v>2.7</v>
      </c>
      <c r="E121" s="245">
        <v>1419</v>
      </c>
      <c r="F121" s="246">
        <v>1325</v>
      </c>
      <c r="G121" s="247">
        <v>783</v>
      </c>
      <c r="H121" s="248">
        <v>1085</v>
      </c>
      <c r="I121" s="249">
        <v>1065</v>
      </c>
      <c r="J121" s="122" t="b">
        <f>IF(ISBLANK(CertifiedCrop[[#This Row],[1. Identifiant interne d’exploitation agricole*]]),"",IF(ISERROR(MATCH(CertifiedCrop[[#This Row],[1. Identifiant interne d’exploitation agricole*]],GroupMember[1. Identifiant interne d’exploitation agricole*],0)),FALSE,TRUE))</f>
        <v>1</v>
      </c>
      <c r="K121" s="122" t="b">
        <f t="array" ref="K121">IF(ISBLANK(CertifiedCrop[[#This Row],[2. Produit agricole certifié*]]),"",IF(ISERROR(MATCH(1,(#REF!=CertifiedCrop[[#This Row],[2. Produit agricole certifié*]])*(#REF!=CertifiedCrop[[#This Row],[3. Variété**]]),0)),FALSE,TRUE))</f>
        <v>0</v>
      </c>
      <c r="L121" s="20" t="str">
        <f t="shared" si="10"/>
        <v/>
      </c>
      <c r="M121" s="54" t="str">
        <f t="shared" si="11"/>
        <v>!</v>
      </c>
      <c r="N121" s="54" t="str">
        <f t="shared" si="12"/>
        <v>!</v>
      </c>
      <c r="O121" s="55">
        <f t="shared" si="13"/>
        <v>525.55555555555554</v>
      </c>
      <c r="P121" s="55">
        <f t="shared" si="14"/>
        <v>490.7407407407407</v>
      </c>
      <c r="Q121" s="9" t="str">
        <f ca="1">IFERROR((VLOOKUP(A121,GM_Table,8,FALSE)-SUMIFS(D:D,A:A,A121,B:B,B121,C:C,C121)),"")</f>
        <v/>
      </c>
      <c r="R121" s="9" t="str">
        <f ca="1">IFERROR(CONCATENATE(VLOOKUP(A121,GM_Table,12,FALSE)," ",(VLOOKUP(A121,GM_Table,13,FALSE))),"")</f>
        <v/>
      </c>
    </row>
    <row r="122" spans="1:18" ht="15" x14ac:dyDescent="0.2">
      <c r="A122" s="145" t="s">
        <v>1077</v>
      </c>
      <c r="B122" s="9" t="s">
        <v>3290</v>
      </c>
      <c r="C122" s="9" t="s">
        <v>3291</v>
      </c>
      <c r="D122" s="252">
        <v>2</v>
      </c>
      <c r="E122" s="245">
        <v>1157</v>
      </c>
      <c r="F122" s="246">
        <v>1082</v>
      </c>
      <c r="G122" s="247">
        <v>659</v>
      </c>
      <c r="H122" s="248">
        <v>910</v>
      </c>
      <c r="I122" s="249">
        <v>1034</v>
      </c>
      <c r="J122" s="122" t="b">
        <f>IF(ISBLANK(CertifiedCrop[[#This Row],[1. Identifiant interne d’exploitation agricole*]]),"",IF(ISERROR(MATCH(CertifiedCrop[[#This Row],[1. Identifiant interne d’exploitation agricole*]],GroupMember[1. Identifiant interne d’exploitation agricole*],0)),FALSE,TRUE))</f>
        <v>1</v>
      </c>
      <c r="K122" s="122" t="b">
        <f t="array" ref="K122">IF(ISBLANK(CertifiedCrop[[#This Row],[2. Produit agricole certifié*]]),"",IF(ISERROR(MATCH(1,(#REF!=CertifiedCrop[[#This Row],[2. Produit agricole certifié*]])*(#REF!=CertifiedCrop[[#This Row],[3. Variété**]]),0)),FALSE,TRUE))</f>
        <v>0</v>
      </c>
      <c r="L122" s="20" t="str">
        <f t="shared" si="10"/>
        <v/>
      </c>
      <c r="M122" s="54" t="str">
        <f t="shared" si="11"/>
        <v>!</v>
      </c>
      <c r="N122" s="54" t="str">
        <f t="shared" si="12"/>
        <v>!</v>
      </c>
      <c r="O122" s="55">
        <f t="shared" si="13"/>
        <v>578.5</v>
      </c>
      <c r="P122" s="55">
        <f t="shared" si="14"/>
        <v>541</v>
      </c>
      <c r="Q122" s="9" t="str">
        <f ca="1">IFERROR((VLOOKUP(A122,GM_Table,8,FALSE)-SUMIFS(D:D,A:A,A122,B:B,B122,C:C,C122)),"")</f>
        <v/>
      </c>
      <c r="R122" s="9" t="str">
        <f ca="1">IFERROR(CONCATENATE(VLOOKUP(A122,GM_Table,12,FALSE)," ",(VLOOKUP(A122,GM_Table,13,FALSE))),"")</f>
        <v/>
      </c>
    </row>
    <row r="123" spans="1:18" ht="15" x14ac:dyDescent="0.2">
      <c r="A123" s="145" t="s">
        <v>1080</v>
      </c>
      <c r="B123" s="9" t="s">
        <v>3290</v>
      </c>
      <c r="C123" s="9" t="s">
        <v>3291</v>
      </c>
      <c r="D123" s="252">
        <v>1.06</v>
      </c>
      <c r="E123" s="221">
        <v>628</v>
      </c>
      <c r="F123" s="246">
        <v>600</v>
      </c>
      <c r="G123" s="247">
        <v>366</v>
      </c>
      <c r="H123" s="248">
        <v>390</v>
      </c>
      <c r="I123" s="249">
        <v>573</v>
      </c>
      <c r="J123" s="122" t="b">
        <f>IF(ISBLANK(CertifiedCrop[[#This Row],[1. Identifiant interne d’exploitation agricole*]]),"",IF(ISERROR(MATCH(CertifiedCrop[[#This Row],[1. Identifiant interne d’exploitation agricole*]],GroupMember[1. Identifiant interne d’exploitation agricole*],0)),FALSE,TRUE))</f>
        <v>1</v>
      </c>
      <c r="K123" s="122" t="b">
        <f t="array" ref="K123">IF(ISBLANK(CertifiedCrop[[#This Row],[2. Produit agricole certifié*]]),"",IF(ISERROR(MATCH(1,(#REF!=CertifiedCrop[[#This Row],[2. Produit agricole certifié*]])*(#REF!=CertifiedCrop[[#This Row],[3. Variété**]]),0)),FALSE,TRUE))</f>
        <v>0</v>
      </c>
      <c r="L123" s="20" t="str">
        <f t="shared" si="10"/>
        <v/>
      </c>
      <c r="M123" s="54" t="str">
        <f t="shared" si="11"/>
        <v>!</v>
      </c>
      <c r="N123" s="54" t="str">
        <f t="shared" si="12"/>
        <v/>
      </c>
      <c r="O123" s="55">
        <f t="shared" si="13"/>
        <v>592.45283018867917</v>
      </c>
      <c r="P123" s="55">
        <f t="shared" si="14"/>
        <v>566.03773584905662</v>
      </c>
      <c r="Q123" s="9" t="str">
        <f ca="1">IFERROR((VLOOKUP(A123,GM_Table,8,FALSE)-SUMIFS(D:D,A:A,A123,B:B,B123,C:C,C123)),"")</f>
        <v/>
      </c>
      <c r="R123" s="9" t="str">
        <f ca="1">IFERROR(CONCATENATE(VLOOKUP(A123,GM_Table,12,FALSE)," ",(VLOOKUP(A123,GM_Table,13,FALSE))),"")</f>
        <v/>
      </c>
    </row>
    <row r="124" spans="1:18" ht="15" x14ac:dyDescent="0.2">
      <c r="A124" s="145" t="s">
        <v>1084</v>
      </c>
      <c r="B124" s="9" t="s">
        <v>3290</v>
      </c>
      <c r="C124" s="9" t="s">
        <v>3291</v>
      </c>
      <c r="D124" s="252">
        <v>2.4923999999999999</v>
      </c>
      <c r="E124" s="245">
        <v>1314</v>
      </c>
      <c r="F124" s="246">
        <v>1247</v>
      </c>
      <c r="G124" s="247">
        <v>1002</v>
      </c>
      <c r="H124" s="248">
        <v>1041</v>
      </c>
      <c r="I124" s="249">
        <v>1354</v>
      </c>
      <c r="J124" s="122" t="b">
        <f>IF(ISBLANK(CertifiedCrop[[#This Row],[1. Identifiant interne d’exploitation agricole*]]),"",IF(ISERROR(MATCH(CertifiedCrop[[#This Row],[1. Identifiant interne d’exploitation agricole*]],GroupMember[1. Identifiant interne d’exploitation agricole*],0)),FALSE,TRUE))</f>
        <v>1</v>
      </c>
      <c r="K124" s="122" t="b">
        <f t="array" ref="K124">IF(ISBLANK(CertifiedCrop[[#This Row],[2. Produit agricole certifié*]]),"",IF(ISERROR(MATCH(1,(#REF!=CertifiedCrop[[#This Row],[2. Produit agricole certifié*]])*(#REF!=CertifiedCrop[[#This Row],[3. Variété**]]),0)),FALSE,TRUE))</f>
        <v>0</v>
      </c>
      <c r="L124" s="20" t="str">
        <f t="shared" si="10"/>
        <v/>
      </c>
      <c r="M124" s="54" t="str">
        <f t="shared" si="11"/>
        <v/>
      </c>
      <c r="N124" s="54" t="str">
        <f t="shared" si="12"/>
        <v/>
      </c>
      <c r="O124" s="55">
        <f t="shared" si="13"/>
        <v>527.20269619643716</v>
      </c>
      <c r="P124" s="55">
        <f t="shared" si="14"/>
        <v>500.32097576632964</v>
      </c>
      <c r="Q124" s="9" t="str">
        <f ca="1">IFERROR((VLOOKUP(A124,GM_Table,8,FALSE)-SUMIFS(D:D,A:A,A124,B:B,B124,C:C,C124)),"")</f>
        <v/>
      </c>
      <c r="R124" s="9" t="str">
        <f ca="1">IFERROR(CONCATENATE(VLOOKUP(A124,GM_Table,12,FALSE)," ",(VLOOKUP(A124,GM_Table,13,FALSE))),"")</f>
        <v/>
      </c>
    </row>
    <row r="125" spans="1:18" ht="15" x14ac:dyDescent="0.2">
      <c r="A125" s="145" t="s">
        <v>1085</v>
      </c>
      <c r="B125" s="9" t="s">
        <v>3290</v>
      </c>
      <c r="C125" s="9" t="s">
        <v>3291</v>
      </c>
      <c r="D125" s="252">
        <v>2.02</v>
      </c>
      <c r="E125" s="245">
        <v>1097</v>
      </c>
      <c r="F125" s="246">
        <v>1005</v>
      </c>
      <c r="G125" s="247">
        <v>922</v>
      </c>
      <c r="H125" s="248">
        <v>1193</v>
      </c>
      <c r="I125" s="249">
        <v>822</v>
      </c>
      <c r="J125" s="122" t="b">
        <f>IF(ISBLANK(CertifiedCrop[[#This Row],[1. Identifiant interne d’exploitation agricole*]]),"",IF(ISERROR(MATCH(CertifiedCrop[[#This Row],[1. Identifiant interne d’exploitation agricole*]],GroupMember[1. Identifiant interne d’exploitation agricole*],0)),FALSE,TRUE))</f>
        <v>1</v>
      </c>
      <c r="K125" s="122" t="b">
        <f t="array" ref="K125">IF(ISBLANK(CertifiedCrop[[#This Row],[2. Produit agricole certifié*]]),"",IF(ISERROR(MATCH(1,(#REF!=CertifiedCrop[[#This Row],[2. Produit agricole certifié*]])*(#REF!=CertifiedCrop[[#This Row],[3. Variété**]]),0)),FALSE,TRUE))</f>
        <v>0</v>
      </c>
      <c r="L125" s="20" t="str">
        <f t="shared" si="10"/>
        <v/>
      </c>
      <c r="M125" s="54" t="str">
        <f t="shared" si="11"/>
        <v/>
      </c>
      <c r="N125" s="54" t="str">
        <f t="shared" si="12"/>
        <v/>
      </c>
      <c r="O125" s="55">
        <f t="shared" si="13"/>
        <v>543.06930693069307</v>
      </c>
      <c r="P125" s="55">
        <f t="shared" si="14"/>
        <v>497.52475247524751</v>
      </c>
      <c r="Q125" s="9" t="str">
        <f ca="1">IFERROR((VLOOKUP(A125,GM_Table,8,FALSE)-SUMIFS(D:D,A:A,A125,B:B,B125,C:C,C125)),"")</f>
        <v/>
      </c>
      <c r="R125" s="9" t="str">
        <f ca="1">IFERROR(CONCATENATE(VLOOKUP(A125,GM_Table,12,FALSE)," ",(VLOOKUP(A125,GM_Table,13,FALSE))),"")</f>
        <v/>
      </c>
    </row>
    <row r="126" spans="1:18" ht="15" x14ac:dyDescent="0.2">
      <c r="A126" s="145" t="s">
        <v>1089</v>
      </c>
      <c r="B126" s="9" t="s">
        <v>3290</v>
      </c>
      <c r="C126" s="9" t="s">
        <v>3291</v>
      </c>
      <c r="D126" s="252">
        <v>4.1100000000000003</v>
      </c>
      <c r="E126" s="245">
        <v>2468</v>
      </c>
      <c r="F126" s="246">
        <v>2369</v>
      </c>
      <c r="G126" s="247">
        <v>1947</v>
      </c>
      <c r="H126" s="248">
        <v>2028</v>
      </c>
      <c r="I126" s="249">
        <v>1733</v>
      </c>
      <c r="J126" s="122" t="b">
        <f>IF(ISBLANK(CertifiedCrop[[#This Row],[1. Identifiant interne d’exploitation agricole*]]),"",IF(ISERROR(MATCH(CertifiedCrop[[#This Row],[1. Identifiant interne d’exploitation agricole*]],GroupMember[1. Identifiant interne d’exploitation agricole*],0)),FALSE,TRUE))</f>
        <v>1</v>
      </c>
      <c r="K126" s="122" t="b">
        <f t="array" ref="K126">IF(ISBLANK(CertifiedCrop[[#This Row],[2. Produit agricole certifié*]]),"",IF(ISERROR(MATCH(1,(#REF!=CertifiedCrop[[#This Row],[2. Produit agricole certifié*]])*(#REF!=CertifiedCrop[[#This Row],[3. Variété**]]),0)),FALSE,TRUE))</f>
        <v>0</v>
      </c>
      <c r="L126" s="20" t="str">
        <f t="shared" si="10"/>
        <v/>
      </c>
      <c r="M126" s="54" t="str">
        <f t="shared" si="11"/>
        <v/>
      </c>
      <c r="N126" s="54" t="str">
        <f t="shared" si="12"/>
        <v/>
      </c>
      <c r="O126" s="55">
        <f t="shared" si="13"/>
        <v>600.48661800486616</v>
      </c>
      <c r="P126" s="55">
        <f t="shared" si="14"/>
        <v>576.39902676399026</v>
      </c>
      <c r="Q126" s="9" t="str">
        <f ca="1">IFERROR((VLOOKUP(A126,GM_Table,8,FALSE)-SUMIFS(D:D,A:A,A126,B:B,B126,C:C,C126)),"")</f>
        <v/>
      </c>
      <c r="R126" s="9" t="str">
        <f ca="1">IFERROR(CONCATENATE(VLOOKUP(A126,GM_Table,12,FALSE)," ",(VLOOKUP(A126,GM_Table,13,FALSE))),"")</f>
        <v/>
      </c>
    </row>
    <row r="127" spans="1:18" ht="15" x14ac:dyDescent="0.2">
      <c r="A127" s="145" t="s">
        <v>1093</v>
      </c>
      <c r="B127" s="9" t="s">
        <v>3290</v>
      </c>
      <c r="C127" s="9" t="s">
        <v>3291</v>
      </c>
      <c r="D127" s="252">
        <v>2</v>
      </c>
      <c r="E127" s="245">
        <v>1267</v>
      </c>
      <c r="F127" s="246">
        <v>1217</v>
      </c>
      <c r="G127" s="247">
        <v>1217</v>
      </c>
      <c r="H127" s="248">
        <v>770</v>
      </c>
      <c r="I127" s="249">
        <v>990</v>
      </c>
      <c r="J127" s="122" t="b">
        <f>IF(ISBLANK(CertifiedCrop[[#This Row],[1. Identifiant interne d’exploitation agricole*]]),"",IF(ISERROR(MATCH(CertifiedCrop[[#This Row],[1. Identifiant interne d’exploitation agricole*]],GroupMember[1. Identifiant interne d’exploitation agricole*],0)),FALSE,TRUE))</f>
        <v>1</v>
      </c>
      <c r="K127" s="122" t="b">
        <f t="array" ref="K127">IF(ISBLANK(CertifiedCrop[[#This Row],[2. Produit agricole certifié*]]),"",IF(ISERROR(MATCH(1,(#REF!=CertifiedCrop[[#This Row],[2. Produit agricole certifié*]])*(#REF!=CertifiedCrop[[#This Row],[3. Variété**]]),0)),FALSE,TRUE))</f>
        <v>0</v>
      </c>
      <c r="L127" s="20" t="str">
        <f t="shared" si="10"/>
        <v/>
      </c>
      <c r="M127" s="54" t="str">
        <f t="shared" si="11"/>
        <v/>
      </c>
      <c r="N127" s="54" t="str">
        <f t="shared" si="12"/>
        <v>!</v>
      </c>
      <c r="O127" s="55">
        <f t="shared" si="13"/>
        <v>633.5</v>
      </c>
      <c r="P127" s="55">
        <f t="shared" si="14"/>
        <v>608.5</v>
      </c>
      <c r="Q127" s="9" t="str">
        <f ca="1">IFERROR((VLOOKUP(A127,GM_Table,8,FALSE)-SUMIFS(D:D,A:A,A127,B:B,B127,C:C,C127)),"")</f>
        <v/>
      </c>
      <c r="R127" s="9" t="str">
        <f ca="1">IFERROR(CONCATENATE(VLOOKUP(A127,GM_Table,12,FALSE)," ",(VLOOKUP(A127,GM_Table,13,FALSE))),"")</f>
        <v/>
      </c>
    </row>
    <row r="128" spans="1:18" ht="15" x14ac:dyDescent="0.2">
      <c r="A128" s="145" t="s">
        <v>1095</v>
      </c>
      <c r="B128" s="9" t="s">
        <v>3290</v>
      </c>
      <c r="C128" s="9" t="s">
        <v>3291</v>
      </c>
      <c r="D128" s="252">
        <v>5</v>
      </c>
      <c r="E128" s="245">
        <v>2747</v>
      </c>
      <c r="F128" s="246">
        <v>2587</v>
      </c>
      <c r="G128" s="247">
        <v>2034</v>
      </c>
      <c r="H128" s="248">
        <v>2461</v>
      </c>
      <c r="I128" s="249">
        <v>2058</v>
      </c>
      <c r="J128" s="122" t="b">
        <f>IF(ISBLANK(CertifiedCrop[[#This Row],[1. Identifiant interne d’exploitation agricole*]]),"",IF(ISERROR(MATCH(CertifiedCrop[[#This Row],[1. Identifiant interne d’exploitation agricole*]],GroupMember[1. Identifiant interne d’exploitation agricole*],0)),FALSE,TRUE))</f>
        <v>1</v>
      </c>
      <c r="K128" s="122" t="b">
        <f t="array" ref="K128">IF(ISBLANK(CertifiedCrop[[#This Row],[2. Produit agricole certifié*]]),"",IF(ISERROR(MATCH(1,(#REF!=CertifiedCrop[[#This Row],[2. Produit agricole certifié*]])*(#REF!=CertifiedCrop[[#This Row],[3. Variété**]]),0)),FALSE,TRUE))</f>
        <v>0</v>
      </c>
      <c r="L128" s="20" t="str">
        <f t="shared" si="10"/>
        <v/>
      </c>
      <c r="M128" s="54" t="str">
        <f t="shared" si="11"/>
        <v>!</v>
      </c>
      <c r="N128" s="54" t="str">
        <f t="shared" si="12"/>
        <v/>
      </c>
      <c r="O128" s="55">
        <f t="shared" si="13"/>
        <v>549.4</v>
      </c>
      <c r="P128" s="55">
        <f t="shared" si="14"/>
        <v>517.4</v>
      </c>
      <c r="Q128" s="9" t="str">
        <f ca="1">IFERROR((VLOOKUP(A128,GM_Table,8,FALSE)-SUMIFS(D:D,A:A,A128,B:B,B128,C:C,C128)),"")</f>
        <v/>
      </c>
      <c r="R128" s="9" t="str">
        <f ca="1">IFERROR(CONCATENATE(VLOOKUP(A128,GM_Table,12,FALSE)," ",(VLOOKUP(A128,GM_Table,13,FALSE))),"")</f>
        <v/>
      </c>
    </row>
    <row r="129" spans="1:18" ht="15" x14ac:dyDescent="0.2">
      <c r="A129" s="145" t="s">
        <v>1097</v>
      </c>
      <c r="B129" s="9" t="s">
        <v>3290</v>
      </c>
      <c r="C129" s="9" t="s">
        <v>3291</v>
      </c>
      <c r="D129" s="252">
        <v>6.5837000000000003</v>
      </c>
      <c r="E129" s="245">
        <v>4105</v>
      </c>
      <c r="F129" s="246">
        <v>3794</v>
      </c>
      <c r="G129" s="247">
        <v>3794</v>
      </c>
      <c r="H129" s="248">
        <v>3600</v>
      </c>
      <c r="I129" s="249">
        <v>1265</v>
      </c>
      <c r="J129" s="122" t="b">
        <f>IF(ISBLANK(CertifiedCrop[[#This Row],[1. Identifiant interne d’exploitation agricole*]]),"",IF(ISERROR(MATCH(CertifiedCrop[[#This Row],[1. Identifiant interne d’exploitation agricole*]],GroupMember[1. Identifiant interne d’exploitation agricole*],0)),FALSE,TRUE))</f>
        <v>1</v>
      </c>
      <c r="K129" s="122" t="b">
        <f t="array" ref="K129">IF(ISBLANK(CertifiedCrop[[#This Row],[2. Produit agricole certifié*]]),"",IF(ISERROR(MATCH(1,(#REF!=CertifiedCrop[[#This Row],[2. Produit agricole certifié*]])*(#REF!=CertifiedCrop[[#This Row],[3. Variété**]]),0)),FALSE,TRUE))</f>
        <v>0</v>
      </c>
      <c r="L129" s="20" t="str">
        <f t="shared" si="10"/>
        <v/>
      </c>
      <c r="M129" s="54" t="str">
        <f t="shared" si="11"/>
        <v/>
      </c>
      <c r="N129" s="54" t="str">
        <f t="shared" si="12"/>
        <v/>
      </c>
      <c r="O129" s="55">
        <f t="shared" si="13"/>
        <v>623.50957668180502</v>
      </c>
      <c r="P129" s="55">
        <f t="shared" si="14"/>
        <v>576.2717013229643</v>
      </c>
      <c r="Q129" s="9" t="str">
        <f ca="1">IFERROR((VLOOKUP(A129,GM_Table,8,FALSE)-SUMIFS(D:D,A:A,A129,B:B,B129,C:C,C129)),"")</f>
        <v/>
      </c>
      <c r="R129" s="9" t="str">
        <f ca="1">IFERROR(CONCATENATE(VLOOKUP(A129,GM_Table,12,FALSE)," ",(VLOOKUP(A129,GM_Table,13,FALSE))),"")</f>
        <v/>
      </c>
    </row>
    <row r="130" spans="1:18" ht="15" x14ac:dyDescent="0.2">
      <c r="A130" s="145" t="s">
        <v>1100</v>
      </c>
      <c r="B130" s="9" t="s">
        <v>3290</v>
      </c>
      <c r="C130" s="9" t="s">
        <v>3291</v>
      </c>
      <c r="D130" s="252">
        <v>1.1794</v>
      </c>
      <c r="E130" s="221">
        <v>595</v>
      </c>
      <c r="F130" s="246">
        <v>550</v>
      </c>
      <c r="G130" s="247">
        <v>515</v>
      </c>
      <c r="H130" s="248">
        <v>264</v>
      </c>
      <c r="I130" s="249">
        <v>1477</v>
      </c>
      <c r="J130" s="122" t="b">
        <f>IF(ISBLANK(CertifiedCrop[[#This Row],[1. Identifiant interne d’exploitation agricole*]]),"",IF(ISERROR(MATCH(CertifiedCrop[[#This Row],[1. Identifiant interne d’exploitation agricole*]],GroupMember[1. Identifiant interne d’exploitation agricole*],0)),FALSE,TRUE))</f>
        <v>1</v>
      </c>
      <c r="K130" s="122" t="b">
        <f t="array" ref="K130">IF(ISBLANK(CertifiedCrop[[#This Row],[2. Produit agricole certifié*]]),"",IF(ISERROR(MATCH(1,(#REF!=CertifiedCrop[[#This Row],[2. Produit agricole certifié*]])*(#REF!=CertifiedCrop[[#This Row],[3. Variété**]]),0)),FALSE,TRUE))</f>
        <v>0</v>
      </c>
      <c r="L130" s="20" t="str">
        <f t="shared" si="10"/>
        <v/>
      </c>
      <c r="M130" s="54" t="str">
        <f t="shared" si="11"/>
        <v/>
      </c>
      <c r="N130" s="54" t="str">
        <f t="shared" si="12"/>
        <v>!</v>
      </c>
      <c r="O130" s="55">
        <f t="shared" si="13"/>
        <v>504.49381041207391</v>
      </c>
      <c r="P130" s="55">
        <f t="shared" si="14"/>
        <v>466.33881634729522</v>
      </c>
      <c r="Q130" s="9" t="str">
        <f ca="1">IFERROR((VLOOKUP(A130,GM_Table,8,FALSE)-SUMIFS(D:D,A:A,A130,B:B,B130,C:C,C130)),"")</f>
        <v/>
      </c>
      <c r="R130" s="9" t="str">
        <f ca="1">IFERROR(CONCATENATE(VLOOKUP(A130,GM_Table,12,FALSE)," ",(VLOOKUP(A130,GM_Table,13,FALSE))),"")</f>
        <v/>
      </c>
    </row>
    <row r="131" spans="1:18" ht="15" x14ac:dyDescent="0.2">
      <c r="A131" s="145" t="s">
        <v>1103</v>
      </c>
      <c r="B131" s="9" t="s">
        <v>3290</v>
      </c>
      <c r="C131" s="9" t="s">
        <v>3291</v>
      </c>
      <c r="D131" s="252">
        <v>2.4384000000000001</v>
      </c>
      <c r="E131" s="245">
        <v>1545</v>
      </c>
      <c r="F131" s="246">
        <v>1536</v>
      </c>
      <c r="G131" s="247">
        <v>1536</v>
      </c>
      <c r="H131" s="248">
        <v>1240</v>
      </c>
      <c r="I131" s="249">
        <v>1254</v>
      </c>
      <c r="J131" s="122" t="b">
        <f>IF(ISBLANK(CertifiedCrop[[#This Row],[1. Identifiant interne d’exploitation agricole*]]),"",IF(ISERROR(MATCH(CertifiedCrop[[#This Row],[1. Identifiant interne d’exploitation agricole*]],GroupMember[1. Identifiant interne d’exploitation agricole*],0)),FALSE,TRUE))</f>
        <v>1</v>
      </c>
      <c r="K131" s="122" t="b">
        <f t="array" ref="K131">IF(ISBLANK(CertifiedCrop[[#This Row],[2. Produit agricole certifié*]]),"",IF(ISERROR(MATCH(1,(#REF!=CertifiedCrop[[#This Row],[2. Produit agricole certifié*]])*(#REF!=CertifiedCrop[[#This Row],[3. Variété**]]),0)),FALSE,TRUE))</f>
        <v>0</v>
      </c>
      <c r="L131" s="20" t="str">
        <f t="shared" si="10"/>
        <v/>
      </c>
      <c r="M131" s="54" t="str">
        <f t="shared" si="11"/>
        <v/>
      </c>
      <c r="N131" s="54" t="str">
        <f t="shared" si="12"/>
        <v/>
      </c>
      <c r="O131" s="55">
        <f t="shared" si="13"/>
        <v>633.61220472440937</v>
      </c>
      <c r="P131" s="55">
        <f t="shared" si="14"/>
        <v>629.9212598425197</v>
      </c>
      <c r="Q131" s="9" t="str">
        <f ca="1">IFERROR((VLOOKUP(A131,GM_Table,8,FALSE)-SUMIFS(D:D,A:A,A131,B:B,B131,C:C,C131)),"")</f>
        <v/>
      </c>
      <c r="R131" s="9" t="str">
        <f ca="1">IFERROR(CONCATENATE(VLOOKUP(A131,GM_Table,12,FALSE)," ",(VLOOKUP(A131,GM_Table,13,FALSE))),"")</f>
        <v/>
      </c>
    </row>
    <row r="132" spans="1:18" ht="15" x14ac:dyDescent="0.2">
      <c r="A132" s="145" t="s">
        <v>1106</v>
      </c>
      <c r="B132" s="9" t="s">
        <v>3290</v>
      </c>
      <c r="C132" s="9" t="s">
        <v>3291</v>
      </c>
      <c r="D132" s="252">
        <v>2.61</v>
      </c>
      <c r="E132" s="245">
        <v>1384</v>
      </c>
      <c r="F132" s="246">
        <v>1352</v>
      </c>
      <c r="G132" s="247">
        <v>1081</v>
      </c>
      <c r="H132" s="248">
        <v>1276</v>
      </c>
      <c r="I132" s="249">
        <v>1055</v>
      </c>
      <c r="J132" s="122" t="b">
        <f>IF(ISBLANK(CertifiedCrop[[#This Row],[1. Identifiant interne d’exploitation agricole*]]),"",IF(ISERROR(MATCH(CertifiedCrop[[#This Row],[1. Identifiant interne d’exploitation agricole*]],GroupMember[1. Identifiant interne d’exploitation agricole*],0)),FALSE,TRUE))</f>
        <v>1</v>
      </c>
      <c r="K132" s="122" t="b">
        <f t="array" ref="K132">IF(ISBLANK(CertifiedCrop[[#This Row],[2. Produit agricole certifié*]]),"",IF(ISERROR(MATCH(1,(#REF!=CertifiedCrop[[#This Row],[2. Produit agricole certifié*]])*(#REF!=CertifiedCrop[[#This Row],[3. Variété**]]),0)),FALSE,TRUE))</f>
        <v>0</v>
      </c>
      <c r="L132" s="20" t="str">
        <f t="shared" si="10"/>
        <v/>
      </c>
      <c r="M132" s="54" t="str">
        <f t="shared" si="11"/>
        <v>!</v>
      </c>
      <c r="N132" s="54" t="str">
        <f t="shared" si="12"/>
        <v/>
      </c>
      <c r="O132" s="55">
        <f t="shared" si="13"/>
        <v>530.26819923371647</v>
      </c>
      <c r="P132" s="55">
        <f t="shared" si="14"/>
        <v>518.00766283524911</v>
      </c>
      <c r="Q132" s="9" t="str">
        <f ca="1">IFERROR((VLOOKUP(A132,GM_Table,8,FALSE)-SUMIFS(D:D,A:A,A132,B:B,B132,C:C,C132)),"")</f>
        <v/>
      </c>
      <c r="R132" s="9" t="str">
        <f ca="1">IFERROR(CONCATENATE(VLOOKUP(A132,GM_Table,12,FALSE)," ",(VLOOKUP(A132,GM_Table,13,FALSE))),"")</f>
        <v/>
      </c>
    </row>
    <row r="133" spans="1:18" ht="15" x14ac:dyDescent="0.2">
      <c r="A133" s="145" t="s">
        <v>1109</v>
      </c>
      <c r="B133" s="9" t="s">
        <v>3290</v>
      </c>
      <c r="C133" s="9" t="s">
        <v>3291</v>
      </c>
      <c r="D133" s="252">
        <v>2.0499999999999998</v>
      </c>
      <c r="E133" s="245">
        <v>1268</v>
      </c>
      <c r="F133" s="246">
        <v>1205</v>
      </c>
      <c r="G133" s="247">
        <v>527</v>
      </c>
      <c r="H133" s="248">
        <v>1010</v>
      </c>
      <c r="I133" s="249">
        <v>825</v>
      </c>
      <c r="J133" s="122" t="b">
        <f>IF(ISBLANK(CertifiedCrop[[#This Row],[1. Identifiant interne d’exploitation agricole*]]),"",IF(ISERROR(MATCH(CertifiedCrop[[#This Row],[1. Identifiant interne d’exploitation agricole*]],GroupMember[1. Identifiant interne d’exploitation agricole*],0)),FALSE,TRUE))</f>
        <v>1</v>
      </c>
      <c r="K133" s="122" t="b">
        <f t="array" ref="K133">IF(ISBLANK(CertifiedCrop[[#This Row],[2. Produit agricole certifié*]]),"",IF(ISERROR(MATCH(1,(#REF!=CertifiedCrop[[#This Row],[2. Produit agricole certifié*]])*(#REF!=CertifiedCrop[[#This Row],[3. Variété**]]),0)),FALSE,TRUE))</f>
        <v>0</v>
      </c>
      <c r="L133" s="20" t="str">
        <f t="shared" si="10"/>
        <v/>
      </c>
      <c r="M133" s="54" t="str">
        <f t="shared" si="11"/>
        <v>!</v>
      </c>
      <c r="N133" s="54" t="str">
        <f t="shared" si="12"/>
        <v>!</v>
      </c>
      <c r="O133" s="55">
        <f t="shared" si="13"/>
        <v>618.53658536585374</v>
      </c>
      <c r="P133" s="55">
        <f t="shared" si="14"/>
        <v>587.80487804878055</v>
      </c>
      <c r="Q133" s="9" t="str">
        <f ca="1">IFERROR((VLOOKUP(A133,GM_Table,8,FALSE)-SUMIFS(D:D,A:A,A133,B:B,B133,C:C,C133)),"")</f>
        <v/>
      </c>
      <c r="R133" s="9" t="str">
        <f ca="1">IFERROR(CONCATENATE(VLOOKUP(A133,GM_Table,12,FALSE)," ",(VLOOKUP(A133,GM_Table,13,FALSE))),"")</f>
        <v/>
      </c>
    </row>
    <row r="134" spans="1:18" ht="15" x14ac:dyDescent="0.2">
      <c r="A134" s="145" t="s">
        <v>1112</v>
      </c>
      <c r="B134" s="9" t="s">
        <v>3290</v>
      </c>
      <c r="C134" s="9" t="s">
        <v>3291</v>
      </c>
      <c r="D134" s="252">
        <v>2.41</v>
      </c>
      <c r="E134" s="245">
        <v>1314</v>
      </c>
      <c r="F134" s="246">
        <v>1285</v>
      </c>
      <c r="G134" s="247">
        <v>855</v>
      </c>
      <c r="H134" s="248">
        <v>1031</v>
      </c>
      <c r="I134" s="249">
        <v>1088</v>
      </c>
      <c r="J134" s="122" t="b">
        <f>IF(ISBLANK(CertifiedCrop[[#This Row],[1. Identifiant interne d’exploitation agricole*]]),"",IF(ISERROR(MATCH(CertifiedCrop[[#This Row],[1. Identifiant interne d’exploitation agricole*]],GroupMember[1. Identifiant interne d’exploitation agricole*],0)),FALSE,TRUE))</f>
        <v>1</v>
      </c>
      <c r="K134" s="122" t="b">
        <f t="array" ref="K134">IF(ISBLANK(CertifiedCrop[[#This Row],[2. Produit agricole certifié*]]),"",IF(ISERROR(MATCH(1,(#REF!=CertifiedCrop[[#This Row],[2. Produit agricole certifié*]])*(#REF!=CertifiedCrop[[#This Row],[3. Variété**]]),0)),FALSE,TRUE))</f>
        <v>0</v>
      </c>
      <c r="L134" s="20" t="str">
        <f t="shared" si="10"/>
        <v/>
      </c>
      <c r="M134" s="54" t="str">
        <f t="shared" si="11"/>
        <v>!</v>
      </c>
      <c r="N134" s="54" t="str">
        <f t="shared" si="12"/>
        <v/>
      </c>
      <c r="O134" s="55">
        <f t="shared" si="13"/>
        <v>545.22821576763488</v>
      </c>
      <c r="P134" s="55">
        <f t="shared" si="14"/>
        <v>533.19502074688796</v>
      </c>
      <c r="Q134" s="9" t="str">
        <f ca="1">IFERROR((VLOOKUP(A134,GM_Table,8,FALSE)-SUMIFS(D:D,A:A,A134,B:B,B134,C:C,C134)),"")</f>
        <v/>
      </c>
      <c r="R134" s="9" t="str">
        <f ca="1">IFERROR(CONCATENATE(VLOOKUP(A134,GM_Table,12,FALSE)," ",(VLOOKUP(A134,GM_Table,13,FALSE))),"")</f>
        <v/>
      </c>
    </row>
    <row r="135" spans="1:18" ht="15" x14ac:dyDescent="0.2">
      <c r="A135" s="145" t="s">
        <v>1116</v>
      </c>
      <c r="B135" s="9" t="s">
        <v>3290</v>
      </c>
      <c r="C135" s="9" t="s">
        <v>3291</v>
      </c>
      <c r="D135" s="252">
        <v>0.75</v>
      </c>
      <c r="E135" s="221">
        <v>417</v>
      </c>
      <c r="F135" s="246">
        <v>400</v>
      </c>
      <c r="G135" s="247">
        <v>251</v>
      </c>
      <c r="H135" s="248">
        <v>214</v>
      </c>
      <c r="I135" s="249">
        <v>451</v>
      </c>
      <c r="J135" s="122" t="b">
        <f>IF(ISBLANK(CertifiedCrop[[#This Row],[1. Identifiant interne d’exploitation agricole*]]),"",IF(ISERROR(MATCH(CertifiedCrop[[#This Row],[1. Identifiant interne d’exploitation agricole*]],GroupMember[1. Identifiant interne d’exploitation agricole*],0)),FALSE,TRUE))</f>
        <v>1</v>
      </c>
      <c r="K135" s="122" t="b">
        <f t="array" ref="K135">IF(ISBLANK(CertifiedCrop[[#This Row],[2. Produit agricole certifié*]]),"",IF(ISERROR(MATCH(1,(#REF!=CertifiedCrop[[#This Row],[2. Produit agricole certifié*]])*(#REF!=CertifiedCrop[[#This Row],[3. Variété**]]),0)),FALSE,TRUE))</f>
        <v>0</v>
      </c>
      <c r="L135" s="20" t="str">
        <f t="shared" si="10"/>
        <v/>
      </c>
      <c r="M135" s="54" t="str">
        <f t="shared" si="11"/>
        <v>!</v>
      </c>
      <c r="N135" s="54" t="str">
        <f t="shared" si="12"/>
        <v/>
      </c>
      <c r="O135" s="55">
        <f t="shared" si="13"/>
        <v>556</v>
      </c>
      <c r="P135" s="55">
        <f t="shared" si="14"/>
        <v>533.33333333333337</v>
      </c>
      <c r="Q135" s="9" t="str">
        <f ca="1">IFERROR((VLOOKUP(A135,GM_Table,8,FALSE)-SUMIFS(D:D,A:A,A135,B:B,B135,C:C,C135)),"")</f>
        <v/>
      </c>
      <c r="R135" s="9" t="str">
        <f ca="1">IFERROR(CONCATENATE(VLOOKUP(A135,GM_Table,12,FALSE)," ",(VLOOKUP(A135,GM_Table,13,FALSE))),"")</f>
        <v/>
      </c>
    </row>
    <row r="136" spans="1:18" ht="15" x14ac:dyDescent="0.2">
      <c r="A136" s="145" t="s">
        <v>1119</v>
      </c>
      <c r="B136" s="9" t="s">
        <v>3290</v>
      </c>
      <c r="C136" s="9" t="s">
        <v>3291</v>
      </c>
      <c r="D136" s="252">
        <v>2</v>
      </c>
      <c r="E136" s="245">
        <v>1183</v>
      </c>
      <c r="F136" s="246">
        <v>1126</v>
      </c>
      <c r="G136" s="247">
        <v>728</v>
      </c>
      <c r="H136" s="248">
        <v>1110</v>
      </c>
      <c r="I136" s="249">
        <v>875</v>
      </c>
      <c r="J136" s="122" t="b">
        <f>IF(ISBLANK(CertifiedCrop[[#This Row],[1. Identifiant interne d’exploitation agricole*]]),"",IF(ISERROR(MATCH(CertifiedCrop[[#This Row],[1. Identifiant interne d’exploitation agricole*]],GroupMember[1. Identifiant interne d’exploitation agricole*],0)),FALSE,TRUE))</f>
        <v>1</v>
      </c>
      <c r="K136" s="122" t="b">
        <f t="array" ref="K136">IF(ISBLANK(CertifiedCrop[[#This Row],[2. Produit agricole certifié*]]),"",IF(ISERROR(MATCH(1,(#REF!=CertifiedCrop[[#This Row],[2. Produit agricole certifié*]])*(#REF!=CertifiedCrop[[#This Row],[3. Variété**]]),0)),FALSE,TRUE))</f>
        <v>0</v>
      </c>
      <c r="L136" s="20" t="str">
        <f t="shared" si="10"/>
        <v/>
      </c>
      <c r="M136" s="54" t="str">
        <f t="shared" si="11"/>
        <v>!</v>
      </c>
      <c r="N136" s="54" t="str">
        <f t="shared" si="12"/>
        <v>!</v>
      </c>
      <c r="O136" s="55">
        <f t="shared" si="13"/>
        <v>591.5</v>
      </c>
      <c r="P136" s="55">
        <f t="shared" si="14"/>
        <v>563</v>
      </c>
      <c r="Q136" s="9" t="str">
        <f ca="1">IFERROR((VLOOKUP(A136,GM_Table,8,FALSE)-SUMIFS(D:D,A:A,A136,B:B,B136,C:C,C136)),"")</f>
        <v/>
      </c>
      <c r="R136" s="9" t="str">
        <f ca="1">IFERROR(CONCATENATE(VLOOKUP(A136,GM_Table,12,FALSE)," ",(VLOOKUP(A136,GM_Table,13,FALSE))),"")</f>
        <v/>
      </c>
    </row>
    <row r="137" spans="1:18" ht="15" x14ac:dyDescent="0.2">
      <c r="A137" s="145" t="s">
        <v>1122</v>
      </c>
      <c r="B137" s="9" t="s">
        <v>3290</v>
      </c>
      <c r="C137" s="9" t="s">
        <v>3291</v>
      </c>
      <c r="D137" s="252">
        <v>3</v>
      </c>
      <c r="E137" s="245">
        <v>1612</v>
      </c>
      <c r="F137" s="246">
        <v>1559</v>
      </c>
      <c r="G137" s="247">
        <v>696</v>
      </c>
      <c r="H137" s="248">
        <v>1488</v>
      </c>
      <c r="I137" s="249">
        <v>1521</v>
      </c>
      <c r="J137" s="122" t="b">
        <f>IF(ISBLANK(CertifiedCrop[[#This Row],[1. Identifiant interne d’exploitation agricole*]]),"",IF(ISERROR(MATCH(CertifiedCrop[[#This Row],[1. Identifiant interne d’exploitation agricole*]],GroupMember[1. Identifiant interne d’exploitation agricole*],0)),FALSE,TRUE))</f>
        <v>1</v>
      </c>
      <c r="K137" s="122" t="b">
        <f t="array" ref="K137">IF(ISBLANK(CertifiedCrop[[#This Row],[2. Produit agricole certifié*]]),"",IF(ISERROR(MATCH(1,(#REF!=CertifiedCrop[[#This Row],[2. Produit agricole certifié*]])*(#REF!=CertifiedCrop[[#This Row],[3. Variété**]]),0)),FALSE,TRUE))</f>
        <v>0</v>
      </c>
      <c r="L137" s="20" t="str">
        <f t="shared" si="10"/>
        <v/>
      </c>
      <c r="M137" s="54" t="str">
        <f t="shared" si="11"/>
        <v>!</v>
      </c>
      <c r="N137" s="54" t="str">
        <f t="shared" si="12"/>
        <v>!</v>
      </c>
      <c r="O137" s="55">
        <f t="shared" si="13"/>
        <v>537.33333333333337</v>
      </c>
      <c r="P137" s="55">
        <f t="shared" si="14"/>
        <v>519.66666666666663</v>
      </c>
      <c r="Q137" s="9" t="str">
        <f ca="1">IFERROR((VLOOKUP(A137,GM_Table,8,FALSE)-SUMIFS(D:D,A:A,A137,B:B,B137,C:C,C137)),"")</f>
        <v/>
      </c>
      <c r="R137" s="9" t="str">
        <f ca="1">IFERROR(CONCATENATE(VLOOKUP(A137,GM_Table,12,FALSE)," ",(VLOOKUP(A137,GM_Table,13,FALSE))),"")</f>
        <v/>
      </c>
    </row>
    <row r="138" spans="1:18" ht="15" x14ac:dyDescent="0.2">
      <c r="A138" s="145" t="s">
        <v>1126</v>
      </c>
      <c r="B138" s="9" t="s">
        <v>3290</v>
      </c>
      <c r="C138" s="9" t="s">
        <v>3291</v>
      </c>
      <c r="D138" s="252">
        <v>0.84</v>
      </c>
      <c r="E138" s="221">
        <v>534</v>
      </c>
      <c r="F138" s="246">
        <v>500</v>
      </c>
      <c r="G138" s="247">
        <v>429</v>
      </c>
      <c r="H138" s="248">
        <v>430</v>
      </c>
      <c r="I138" s="249">
        <v>1458</v>
      </c>
      <c r="J138" s="122" t="b">
        <f>IF(ISBLANK(CertifiedCrop[[#This Row],[1. Identifiant interne d’exploitation agricole*]]),"",IF(ISERROR(MATCH(CertifiedCrop[[#This Row],[1. Identifiant interne d’exploitation agricole*]],GroupMember[1. Identifiant interne d’exploitation agricole*],0)),FALSE,TRUE))</f>
        <v>1</v>
      </c>
      <c r="K138" s="122" t="b">
        <f t="array" ref="K138">IF(ISBLANK(CertifiedCrop[[#This Row],[2. Produit agricole certifié*]]),"",IF(ISERROR(MATCH(1,(#REF!=CertifiedCrop[[#This Row],[2. Produit agricole certifié*]])*(#REF!=CertifiedCrop[[#This Row],[3. Variété**]]),0)),FALSE,TRUE))</f>
        <v>0</v>
      </c>
      <c r="L138" s="20" t="str">
        <f t="shared" si="10"/>
        <v/>
      </c>
      <c r="M138" s="54" t="str">
        <f t="shared" si="11"/>
        <v/>
      </c>
      <c r="N138" s="54" t="str">
        <f t="shared" si="12"/>
        <v/>
      </c>
      <c r="O138" s="55">
        <f t="shared" si="13"/>
        <v>635.71428571428578</v>
      </c>
      <c r="P138" s="55">
        <f t="shared" si="14"/>
        <v>595.2380952380953</v>
      </c>
      <c r="Q138" s="9" t="str">
        <f ca="1">IFERROR((VLOOKUP(A138,GM_Table,8,FALSE)-SUMIFS(D:D,A:A,A138,B:B,B138,C:C,C138)),"")</f>
        <v/>
      </c>
      <c r="R138" s="9" t="str">
        <f ca="1">IFERROR(CONCATENATE(VLOOKUP(A138,GM_Table,12,FALSE)," ",(VLOOKUP(A138,GM_Table,13,FALSE))),"")</f>
        <v/>
      </c>
    </row>
    <row r="139" spans="1:18" ht="15" x14ac:dyDescent="0.2">
      <c r="A139" s="145" t="s">
        <v>1128</v>
      </c>
      <c r="B139" s="9" t="s">
        <v>3290</v>
      </c>
      <c r="C139" s="9" t="s">
        <v>3291</v>
      </c>
      <c r="D139" s="252">
        <v>6.19</v>
      </c>
      <c r="E139" s="245">
        <v>3202</v>
      </c>
      <c r="F139" s="246">
        <v>3025</v>
      </c>
      <c r="G139" s="247">
        <v>1425</v>
      </c>
      <c r="H139" s="248">
        <v>2987</v>
      </c>
      <c r="I139" s="249">
        <v>2565</v>
      </c>
      <c r="J139" s="122" t="b">
        <f>IF(ISBLANK(CertifiedCrop[[#This Row],[1. Identifiant interne d’exploitation agricole*]]),"",IF(ISERROR(MATCH(CertifiedCrop[[#This Row],[1. Identifiant interne d’exploitation agricole*]],GroupMember[1. Identifiant interne d’exploitation agricole*],0)),FALSE,TRUE))</f>
        <v>1</v>
      </c>
      <c r="K139" s="122" t="b">
        <f t="array" ref="K139">IF(ISBLANK(CertifiedCrop[[#This Row],[2. Produit agricole certifié*]]),"",IF(ISERROR(MATCH(1,(#REF!=CertifiedCrop[[#This Row],[2. Produit agricole certifié*]])*(#REF!=CertifiedCrop[[#This Row],[3. Variété**]]),0)),FALSE,TRUE))</f>
        <v>0</v>
      </c>
      <c r="L139" s="20" t="str">
        <f t="shared" si="10"/>
        <v/>
      </c>
      <c r="M139" s="54" t="str">
        <f t="shared" si="11"/>
        <v>!</v>
      </c>
      <c r="N139" s="54" t="str">
        <f t="shared" si="12"/>
        <v>!</v>
      </c>
      <c r="O139" s="55">
        <f t="shared" si="13"/>
        <v>517.28594507269781</v>
      </c>
      <c r="P139" s="55">
        <f t="shared" si="14"/>
        <v>488.6914378029079</v>
      </c>
      <c r="Q139" s="9" t="str">
        <f ca="1">IFERROR((VLOOKUP(A139,GM_Table,8,FALSE)-SUMIFS(D:D,A:A,A139,B:B,B139,C:C,C139)),"")</f>
        <v/>
      </c>
      <c r="R139" s="9" t="str">
        <f ca="1">IFERROR(CONCATENATE(VLOOKUP(A139,GM_Table,12,FALSE)," ",(VLOOKUP(A139,GM_Table,13,FALSE))),"")</f>
        <v/>
      </c>
    </row>
    <row r="140" spans="1:18" ht="15" x14ac:dyDescent="0.2">
      <c r="A140" s="145" t="s">
        <v>1131</v>
      </c>
      <c r="B140" s="9" t="s">
        <v>3290</v>
      </c>
      <c r="C140" s="9" t="s">
        <v>3291</v>
      </c>
      <c r="D140" s="252">
        <v>2.0099999999999998</v>
      </c>
      <c r="E140" s="245">
        <v>1189</v>
      </c>
      <c r="F140" s="246">
        <v>1174</v>
      </c>
      <c r="G140" s="247">
        <v>1174</v>
      </c>
      <c r="H140" s="248">
        <v>1118</v>
      </c>
      <c r="I140" s="249">
        <v>968</v>
      </c>
      <c r="J140" s="122" t="b">
        <f>IF(ISBLANK(CertifiedCrop[[#This Row],[1. Identifiant interne d’exploitation agricole*]]),"",IF(ISERROR(MATCH(CertifiedCrop[[#This Row],[1. Identifiant interne d’exploitation agricole*]],GroupMember[1. Identifiant interne d’exploitation agricole*],0)),FALSE,TRUE))</f>
        <v>1</v>
      </c>
      <c r="K140" s="122" t="b">
        <f t="array" ref="K140">IF(ISBLANK(CertifiedCrop[[#This Row],[2. Produit agricole certifié*]]),"",IF(ISERROR(MATCH(1,(#REF!=CertifiedCrop[[#This Row],[2. Produit agricole certifié*]])*(#REF!=CertifiedCrop[[#This Row],[3. Variété**]]),0)),FALSE,TRUE))</f>
        <v>0</v>
      </c>
      <c r="L140" s="20" t="str">
        <f t="shared" si="10"/>
        <v/>
      </c>
      <c r="M140" s="54" t="str">
        <f t="shared" si="11"/>
        <v/>
      </c>
      <c r="N140" s="54" t="str">
        <f t="shared" si="12"/>
        <v/>
      </c>
      <c r="O140" s="55">
        <f t="shared" si="13"/>
        <v>591.54228855721396</v>
      </c>
      <c r="P140" s="55">
        <f t="shared" si="14"/>
        <v>584.07960199004981</v>
      </c>
      <c r="Q140" s="9" t="str">
        <f ca="1">IFERROR((VLOOKUP(A140,GM_Table,8,FALSE)-SUMIFS(D:D,A:A,A140,B:B,B140,C:C,C140)),"")</f>
        <v/>
      </c>
      <c r="R140" s="9" t="str">
        <f ca="1">IFERROR(CONCATENATE(VLOOKUP(A140,GM_Table,12,FALSE)," ",(VLOOKUP(A140,GM_Table,13,FALSE))),"")</f>
        <v/>
      </c>
    </row>
    <row r="141" spans="1:18" ht="15" x14ac:dyDescent="0.2">
      <c r="A141" s="145" t="s">
        <v>1135</v>
      </c>
      <c r="B141" s="9" t="s">
        <v>3290</v>
      </c>
      <c r="C141" s="9" t="s">
        <v>3291</v>
      </c>
      <c r="D141" s="252">
        <v>3.4537</v>
      </c>
      <c r="E141" s="245">
        <v>1953</v>
      </c>
      <c r="F141" s="246">
        <v>1802</v>
      </c>
      <c r="G141" s="247">
        <v>1802</v>
      </c>
      <c r="H141" s="248">
        <v>1776</v>
      </c>
      <c r="I141" s="249">
        <v>1595</v>
      </c>
      <c r="J141" s="122" t="b">
        <f>IF(ISBLANK(CertifiedCrop[[#This Row],[1. Identifiant interne d’exploitation agricole*]]),"",IF(ISERROR(MATCH(CertifiedCrop[[#This Row],[1. Identifiant interne d’exploitation agricole*]],GroupMember[1. Identifiant interne d’exploitation agricole*],0)),FALSE,TRUE))</f>
        <v>1</v>
      </c>
      <c r="K141" s="122" t="b">
        <f t="array" ref="K141">IF(ISBLANK(CertifiedCrop[[#This Row],[2. Produit agricole certifié*]]),"",IF(ISERROR(MATCH(1,(#REF!=CertifiedCrop[[#This Row],[2. Produit agricole certifié*]])*(#REF!=CertifiedCrop[[#This Row],[3. Variété**]]),0)),FALSE,TRUE))</f>
        <v>0</v>
      </c>
      <c r="L141" s="20" t="str">
        <f t="shared" si="10"/>
        <v/>
      </c>
      <c r="M141" s="54" t="str">
        <f t="shared" si="11"/>
        <v/>
      </c>
      <c r="N141" s="54" t="str">
        <f t="shared" si="12"/>
        <v/>
      </c>
      <c r="O141" s="55">
        <f t="shared" si="13"/>
        <v>565.48049917479807</v>
      </c>
      <c r="P141" s="55">
        <f t="shared" si="14"/>
        <v>521.7592726640994</v>
      </c>
      <c r="Q141" s="9" t="str">
        <f ca="1">IFERROR((VLOOKUP(A141,GM_Table,8,FALSE)-SUMIFS(D:D,A:A,A141,B:B,B141,C:C,C141)),"")</f>
        <v/>
      </c>
      <c r="R141" s="9" t="str">
        <f ca="1">IFERROR(CONCATENATE(VLOOKUP(A141,GM_Table,12,FALSE)," ",(VLOOKUP(A141,GM_Table,13,FALSE))),"")</f>
        <v/>
      </c>
    </row>
    <row r="142" spans="1:18" ht="15" x14ac:dyDescent="0.2">
      <c r="A142" s="145" t="s">
        <v>1138</v>
      </c>
      <c r="B142" s="9" t="s">
        <v>3290</v>
      </c>
      <c r="C142" s="9" t="s">
        <v>3291</v>
      </c>
      <c r="D142" s="252">
        <v>1.41</v>
      </c>
      <c r="E142" s="221">
        <v>778</v>
      </c>
      <c r="F142" s="246">
        <v>763</v>
      </c>
      <c r="G142" s="247">
        <v>763</v>
      </c>
      <c r="H142" s="248">
        <v>713</v>
      </c>
      <c r="I142" s="249">
        <v>605</v>
      </c>
      <c r="J142" s="122" t="b">
        <f>IF(ISBLANK(CertifiedCrop[[#This Row],[1. Identifiant interne d’exploitation agricole*]]),"",IF(ISERROR(MATCH(CertifiedCrop[[#This Row],[1. Identifiant interne d’exploitation agricole*]],GroupMember[1. Identifiant interne d’exploitation agricole*],0)),FALSE,TRUE))</f>
        <v>1</v>
      </c>
      <c r="K142" s="122" t="b">
        <f t="array" ref="K142">IF(ISBLANK(CertifiedCrop[[#This Row],[2. Produit agricole certifié*]]),"",IF(ISERROR(MATCH(1,(#REF!=CertifiedCrop[[#This Row],[2. Produit agricole certifié*]])*(#REF!=CertifiedCrop[[#This Row],[3. Variété**]]),0)),FALSE,TRUE))</f>
        <v>0</v>
      </c>
      <c r="L142" s="20" t="str">
        <f t="shared" si="10"/>
        <v/>
      </c>
      <c r="M142" s="54" t="str">
        <f t="shared" si="11"/>
        <v/>
      </c>
      <c r="N142" s="54" t="str">
        <f t="shared" si="12"/>
        <v/>
      </c>
      <c r="O142" s="55">
        <f t="shared" si="13"/>
        <v>551.77304964539007</v>
      </c>
      <c r="P142" s="55">
        <f t="shared" si="14"/>
        <v>541.13475177304963</v>
      </c>
      <c r="Q142" s="9" t="str">
        <f ca="1">IFERROR((VLOOKUP(A142,GM_Table,8,FALSE)-SUMIFS(D:D,A:A,A142,B:B,B142,C:C,C142)),"")</f>
        <v/>
      </c>
      <c r="R142" s="9" t="str">
        <f ca="1">IFERROR(CONCATENATE(VLOOKUP(A142,GM_Table,12,FALSE)," ",(VLOOKUP(A142,GM_Table,13,FALSE))),"")</f>
        <v/>
      </c>
    </row>
    <row r="143" spans="1:18" ht="15" x14ac:dyDescent="0.2">
      <c r="A143" s="145" t="s">
        <v>1142</v>
      </c>
      <c r="B143" s="9" t="s">
        <v>3290</v>
      </c>
      <c r="C143" s="9" t="s">
        <v>3291</v>
      </c>
      <c r="D143" s="252">
        <v>5.66</v>
      </c>
      <c r="E143" s="245">
        <v>3053</v>
      </c>
      <c r="F143" s="246">
        <v>2783</v>
      </c>
      <c r="G143" s="247">
        <v>2783</v>
      </c>
      <c r="H143" s="248">
        <v>2613</v>
      </c>
      <c r="I143" s="249">
        <v>2884</v>
      </c>
      <c r="J143" s="122" t="b">
        <f>IF(ISBLANK(CertifiedCrop[[#This Row],[1. Identifiant interne d’exploitation agricole*]]),"",IF(ISERROR(MATCH(CertifiedCrop[[#This Row],[1. Identifiant interne d’exploitation agricole*]],GroupMember[1. Identifiant interne d’exploitation agricole*],0)),FALSE,TRUE))</f>
        <v>1</v>
      </c>
      <c r="K143" s="122" t="b">
        <f t="array" ref="K143">IF(ISBLANK(CertifiedCrop[[#This Row],[2. Produit agricole certifié*]]),"",IF(ISERROR(MATCH(1,(#REF!=CertifiedCrop[[#This Row],[2. Produit agricole certifié*]])*(#REF!=CertifiedCrop[[#This Row],[3. Variété**]]),0)),FALSE,TRUE))</f>
        <v>0</v>
      </c>
      <c r="L143" s="20" t="str">
        <f t="shared" si="10"/>
        <v/>
      </c>
      <c r="M143" s="54" t="str">
        <f t="shared" si="11"/>
        <v/>
      </c>
      <c r="N143" s="54" t="str">
        <f t="shared" si="12"/>
        <v/>
      </c>
      <c r="O143" s="55">
        <f t="shared" si="13"/>
        <v>539.39929328621906</v>
      </c>
      <c r="P143" s="55">
        <f t="shared" si="14"/>
        <v>491.69611307420496</v>
      </c>
      <c r="Q143" s="9" t="str">
        <f ca="1">IFERROR((VLOOKUP(A143,GM_Table,8,FALSE)-SUMIFS(D:D,A:A,A143,B:B,B143,C:C,C143)),"")</f>
        <v/>
      </c>
      <c r="R143" s="9" t="str">
        <f ca="1">IFERROR(CONCATENATE(VLOOKUP(A143,GM_Table,12,FALSE)," ",(VLOOKUP(A143,GM_Table,13,FALSE))),"")</f>
        <v/>
      </c>
    </row>
    <row r="144" spans="1:18" ht="15" x14ac:dyDescent="0.2">
      <c r="A144" s="145" t="s">
        <v>1146</v>
      </c>
      <c r="B144" s="9" t="s">
        <v>3290</v>
      </c>
      <c r="C144" s="9" t="s">
        <v>3291</v>
      </c>
      <c r="D144" s="252">
        <v>3.11</v>
      </c>
      <c r="E144" s="245">
        <v>1837</v>
      </c>
      <c r="F144" s="246">
        <v>1745</v>
      </c>
      <c r="G144" s="247">
        <v>1255</v>
      </c>
      <c r="H144" s="248">
        <v>1734</v>
      </c>
      <c r="I144" s="249">
        <v>962</v>
      </c>
      <c r="J144" s="122" t="b">
        <f>IF(ISBLANK(CertifiedCrop[[#This Row],[1. Identifiant interne d’exploitation agricole*]]),"",IF(ISERROR(MATCH(CertifiedCrop[[#This Row],[1. Identifiant interne d’exploitation agricole*]],GroupMember[1. Identifiant interne d’exploitation agricole*],0)),FALSE,TRUE))</f>
        <v>1</v>
      </c>
      <c r="K144" s="122" t="b">
        <f t="array" ref="K144">IF(ISBLANK(CertifiedCrop[[#This Row],[2. Produit agricole certifié*]]),"",IF(ISERROR(MATCH(1,(#REF!=CertifiedCrop[[#This Row],[2. Produit agricole certifié*]])*(#REF!=CertifiedCrop[[#This Row],[3. Variété**]]),0)),FALSE,TRUE))</f>
        <v>0</v>
      </c>
      <c r="L144" s="20" t="str">
        <f t="shared" si="10"/>
        <v/>
      </c>
      <c r="M144" s="54" t="str">
        <f t="shared" si="11"/>
        <v>!</v>
      </c>
      <c r="N144" s="54" t="str">
        <f t="shared" si="12"/>
        <v>!</v>
      </c>
      <c r="O144" s="55">
        <f t="shared" si="13"/>
        <v>590.67524115755634</v>
      </c>
      <c r="P144" s="55">
        <f t="shared" si="14"/>
        <v>561.09324758842445</v>
      </c>
      <c r="Q144" s="9" t="str">
        <f ca="1">IFERROR((VLOOKUP(A144,GM_Table,8,FALSE)-SUMIFS(D:D,A:A,A144,B:B,B144,C:C,C144)),"")</f>
        <v/>
      </c>
      <c r="R144" s="9" t="str">
        <f ca="1">IFERROR(CONCATENATE(VLOOKUP(A144,GM_Table,12,FALSE)," ",(VLOOKUP(A144,GM_Table,13,FALSE))),"")</f>
        <v/>
      </c>
    </row>
    <row r="145" spans="1:18" ht="15" x14ac:dyDescent="0.2">
      <c r="A145" s="145" t="s">
        <v>1150</v>
      </c>
      <c r="B145" s="9" t="s">
        <v>3290</v>
      </c>
      <c r="C145" s="9" t="s">
        <v>3291</v>
      </c>
      <c r="D145" s="252">
        <v>1.25</v>
      </c>
      <c r="E145" s="221">
        <v>742</v>
      </c>
      <c r="F145" s="246">
        <v>700</v>
      </c>
      <c r="G145" s="247">
        <v>590</v>
      </c>
      <c r="H145" s="248">
        <v>479</v>
      </c>
      <c r="I145" s="249">
        <v>687</v>
      </c>
      <c r="J145" s="122" t="b">
        <f>IF(ISBLANK(CertifiedCrop[[#This Row],[1. Identifiant interne d’exploitation agricole*]]),"",IF(ISERROR(MATCH(CertifiedCrop[[#This Row],[1. Identifiant interne d’exploitation agricole*]],GroupMember[1. Identifiant interne d’exploitation agricole*],0)),FALSE,TRUE))</f>
        <v>1</v>
      </c>
      <c r="K145" s="122" t="b">
        <f t="array" ref="K145">IF(ISBLANK(CertifiedCrop[[#This Row],[2. Produit agricole certifié*]]),"",IF(ISERROR(MATCH(1,(#REF!=CertifiedCrop[[#This Row],[2. Produit agricole certifié*]])*(#REF!=CertifiedCrop[[#This Row],[3. Variété**]]),0)),FALSE,TRUE))</f>
        <v>0</v>
      </c>
      <c r="L145" s="20" t="str">
        <f t="shared" si="10"/>
        <v/>
      </c>
      <c r="M145" s="54" t="str">
        <f t="shared" si="11"/>
        <v/>
      </c>
      <c r="N145" s="54" t="str">
        <f t="shared" si="12"/>
        <v/>
      </c>
      <c r="O145" s="55">
        <f t="shared" si="13"/>
        <v>593.6</v>
      </c>
      <c r="P145" s="55">
        <f t="shared" si="14"/>
        <v>560</v>
      </c>
      <c r="Q145" s="9" t="str">
        <f ca="1">IFERROR((VLOOKUP(A145,GM_Table,8,FALSE)-SUMIFS(D:D,A:A,A145,B:B,B145,C:C,C145)),"")</f>
        <v/>
      </c>
      <c r="R145" s="9" t="str">
        <f ca="1">IFERROR(CONCATENATE(VLOOKUP(A145,GM_Table,12,FALSE)," ",(VLOOKUP(A145,GM_Table,13,FALSE))),"")</f>
        <v/>
      </c>
    </row>
    <row r="146" spans="1:18" ht="15" x14ac:dyDescent="0.2">
      <c r="A146" s="145" t="s">
        <v>1153</v>
      </c>
      <c r="B146" s="9" t="s">
        <v>3290</v>
      </c>
      <c r="C146" s="9" t="s">
        <v>3291</v>
      </c>
      <c r="D146" s="252">
        <v>4</v>
      </c>
      <c r="E146" s="245">
        <v>2157</v>
      </c>
      <c r="F146" s="246">
        <v>2105</v>
      </c>
      <c r="G146" s="247">
        <v>1452</v>
      </c>
      <c r="H146" s="248">
        <v>1965</v>
      </c>
      <c r="I146" s="249">
        <v>1659</v>
      </c>
      <c r="J146" s="122" t="b">
        <f>IF(ISBLANK(CertifiedCrop[[#This Row],[1. Identifiant interne d’exploitation agricole*]]),"",IF(ISERROR(MATCH(CertifiedCrop[[#This Row],[1. Identifiant interne d’exploitation agricole*]],GroupMember[1. Identifiant interne d’exploitation agricole*],0)),FALSE,TRUE))</f>
        <v>1</v>
      </c>
      <c r="K146" s="122" t="b">
        <f t="array" ref="K146">IF(ISBLANK(CertifiedCrop[[#This Row],[2. Produit agricole certifié*]]),"",IF(ISERROR(MATCH(1,(#REF!=CertifiedCrop[[#This Row],[2. Produit agricole certifié*]])*(#REF!=CertifiedCrop[[#This Row],[3. Variété**]]),0)),FALSE,TRUE))</f>
        <v>0</v>
      </c>
      <c r="L146" s="20" t="str">
        <f t="shared" si="10"/>
        <v/>
      </c>
      <c r="M146" s="54" t="str">
        <f t="shared" si="11"/>
        <v>!</v>
      </c>
      <c r="N146" s="54" t="str">
        <f t="shared" si="12"/>
        <v>!</v>
      </c>
      <c r="O146" s="55">
        <f t="shared" si="13"/>
        <v>539.25</v>
      </c>
      <c r="P146" s="55">
        <f t="shared" si="14"/>
        <v>526.25</v>
      </c>
      <c r="Q146" s="9" t="str">
        <f ca="1">IFERROR((VLOOKUP(A146,GM_Table,8,FALSE)-SUMIFS(D:D,A:A,A146,B:B,B146,C:C,C146)),"")</f>
        <v/>
      </c>
      <c r="R146" s="9" t="str">
        <f ca="1">IFERROR(CONCATENATE(VLOOKUP(A146,GM_Table,12,FALSE)," ",(VLOOKUP(A146,GM_Table,13,FALSE))),"")</f>
        <v/>
      </c>
    </row>
    <row r="147" spans="1:18" ht="15" x14ac:dyDescent="0.2">
      <c r="A147" s="145" t="s">
        <v>1155</v>
      </c>
      <c r="B147" s="9" t="s">
        <v>3290</v>
      </c>
      <c r="C147" s="9" t="s">
        <v>3291</v>
      </c>
      <c r="D147" s="252">
        <v>0.72</v>
      </c>
      <c r="E147" s="221">
        <v>396</v>
      </c>
      <c r="F147" s="246">
        <v>380</v>
      </c>
      <c r="G147" s="247">
        <v>269</v>
      </c>
      <c r="H147" s="248">
        <v>296</v>
      </c>
      <c r="I147" s="249">
        <v>388</v>
      </c>
      <c r="J147" s="122" t="b">
        <f>IF(ISBLANK(CertifiedCrop[[#This Row],[1. Identifiant interne d’exploitation agricole*]]),"",IF(ISERROR(MATCH(CertifiedCrop[[#This Row],[1. Identifiant interne d’exploitation agricole*]],GroupMember[1. Identifiant interne d’exploitation agricole*],0)),FALSE,TRUE))</f>
        <v>1</v>
      </c>
      <c r="K147" s="122" t="b">
        <f t="array" ref="K147">IF(ISBLANK(CertifiedCrop[[#This Row],[2. Produit agricole certifié*]]),"",IF(ISERROR(MATCH(1,(#REF!=CertifiedCrop[[#This Row],[2. Produit agricole certifié*]])*(#REF!=CertifiedCrop[[#This Row],[3. Variété**]]),0)),FALSE,TRUE))</f>
        <v>0</v>
      </c>
      <c r="L147" s="20" t="str">
        <f t="shared" si="10"/>
        <v/>
      </c>
      <c r="M147" s="54" t="str">
        <f t="shared" si="11"/>
        <v>!</v>
      </c>
      <c r="N147" s="54" t="str">
        <f t="shared" si="12"/>
        <v/>
      </c>
      <c r="O147" s="55">
        <f t="shared" si="13"/>
        <v>550</v>
      </c>
      <c r="P147" s="55">
        <f t="shared" si="14"/>
        <v>527.77777777777783</v>
      </c>
      <c r="Q147" s="9" t="str">
        <f ca="1">IFERROR((VLOOKUP(A147,GM_Table,8,FALSE)-SUMIFS(D:D,A:A,A147,B:B,B147,C:C,C147)),"")</f>
        <v/>
      </c>
      <c r="R147" s="9" t="str">
        <f ca="1">IFERROR(CONCATENATE(VLOOKUP(A147,GM_Table,12,FALSE)," ",(VLOOKUP(A147,GM_Table,13,FALSE))),"")</f>
        <v/>
      </c>
    </row>
    <row r="148" spans="1:18" ht="15" x14ac:dyDescent="0.2">
      <c r="A148" s="145" t="s">
        <v>1159</v>
      </c>
      <c r="B148" s="9" t="s">
        <v>3290</v>
      </c>
      <c r="C148" s="9" t="s">
        <v>3291</v>
      </c>
      <c r="D148" s="252">
        <v>4.42</v>
      </c>
      <c r="E148" s="245">
        <v>2313</v>
      </c>
      <c r="F148" s="246">
        <v>2214</v>
      </c>
      <c r="G148" s="247">
        <v>2214</v>
      </c>
      <c r="H148" s="248">
        <v>1762</v>
      </c>
      <c r="I148" s="249">
        <v>1865</v>
      </c>
      <c r="J148" s="122" t="b">
        <f>IF(ISBLANK(CertifiedCrop[[#This Row],[1. Identifiant interne d’exploitation agricole*]]),"",IF(ISERROR(MATCH(CertifiedCrop[[#This Row],[1. Identifiant interne d’exploitation agricole*]],GroupMember[1. Identifiant interne d’exploitation agricole*],0)),FALSE,TRUE))</f>
        <v>1</v>
      </c>
      <c r="K148" s="122" t="b">
        <f t="array" ref="K148">IF(ISBLANK(CertifiedCrop[[#This Row],[2. Produit agricole certifié*]]),"",IF(ISERROR(MATCH(1,(#REF!=CertifiedCrop[[#This Row],[2. Produit agricole certifié*]])*(#REF!=CertifiedCrop[[#This Row],[3. Variété**]]),0)),FALSE,TRUE))</f>
        <v>0</v>
      </c>
      <c r="L148" s="20" t="str">
        <f t="shared" si="10"/>
        <v/>
      </c>
      <c r="M148" s="54" t="str">
        <f t="shared" si="11"/>
        <v/>
      </c>
      <c r="N148" s="54" t="str">
        <f t="shared" si="12"/>
        <v>!</v>
      </c>
      <c r="O148" s="55">
        <f t="shared" si="13"/>
        <v>523.30316742081448</v>
      </c>
      <c r="P148" s="55">
        <f t="shared" si="14"/>
        <v>500.90497737556564</v>
      </c>
      <c r="Q148" s="9" t="str">
        <f ca="1">IFERROR((VLOOKUP(A148,GM_Table,8,FALSE)-SUMIFS(D:D,A:A,A148,B:B,B148,C:C,C148)),"")</f>
        <v/>
      </c>
      <c r="R148" s="9" t="str">
        <f ca="1">IFERROR(CONCATENATE(VLOOKUP(A148,GM_Table,12,FALSE)," ",(VLOOKUP(A148,GM_Table,13,FALSE))),"")</f>
        <v/>
      </c>
    </row>
    <row r="149" spans="1:18" ht="15" x14ac:dyDescent="0.2">
      <c r="A149" s="145" t="s">
        <v>1164</v>
      </c>
      <c r="B149" s="9" t="s">
        <v>3290</v>
      </c>
      <c r="C149" s="9" t="s">
        <v>3291</v>
      </c>
      <c r="D149" s="252">
        <v>4.5278</v>
      </c>
      <c r="E149" s="245">
        <v>2620</v>
      </c>
      <c r="F149" s="246">
        <v>2546</v>
      </c>
      <c r="G149" s="247">
        <v>2053</v>
      </c>
      <c r="H149" s="248">
        <v>2232</v>
      </c>
      <c r="I149" s="249">
        <v>1795</v>
      </c>
      <c r="J149" s="122" t="b">
        <f>IF(ISBLANK(CertifiedCrop[[#This Row],[1. Identifiant interne d’exploitation agricole*]]),"",IF(ISERROR(MATCH(CertifiedCrop[[#This Row],[1. Identifiant interne d’exploitation agricole*]],GroupMember[1. Identifiant interne d’exploitation agricole*],0)),FALSE,TRUE))</f>
        <v>1</v>
      </c>
      <c r="K149" s="122" t="b">
        <f t="array" ref="K149">IF(ISBLANK(CertifiedCrop[[#This Row],[2. Produit agricole certifié*]]),"",IF(ISERROR(MATCH(1,(#REF!=CertifiedCrop[[#This Row],[2. Produit agricole certifié*]])*(#REF!=CertifiedCrop[[#This Row],[3. Variété**]]),0)),FALSE,TRUE))</f>
        <v>0</v>
      </c>
      <c r="L149" s="20" t="str">
        <f t="shared" si="10"/>
        <v/>
      </c>
      <c r="M149" s="54" t="str">
        <f t="shared" si="11"/>
        <v/>
      </c>
      <c r="N149" s="54" t="str">
        <f t="shared" si="12"/>
        <v/>
      </c>
      <c r="O149" s="55">
        <f t="shared" si="13"/>
        <v>578.64746676089931</v>
      </c>
      <c r="P149" s="55">
        <f t="shared" si="14"/>
        <v>562.30398869208</v>
      </c>
      <c r="Q149" s="9" t="str">
        <f ca="1">IFERROR((VLOOKUP(A149,GM_Table,8,FALSE)-SUMIFS(D:D,A:A,A149,B:B,B149,C:C,C149)),"")</f>
        <v/>
      </c>
      <c r="R149" s="9" t="str">
        <f ca="1">IFERROR(CONCATENATE(VLOOKUP(A149,GM_Table,12,FALSE)," ",(VLOOKUP(A149,GM_Table,13,FALSE))),"")</f>
        <v/>
      </c>
    </row>
    <row r="150" spans="1:18" ht="15" x14ac:dyDescent="0.2">
      <c r="A150" s="145" t="s">
        <v>1169</v>
      </c>
      <c r="B150" s="9" t="s">
        <v>3290</v>
      </c>
      <c r="C150" s="9" t="s">
        <v>3291</v>
      </c>
      <c r="D150" s="252">
        <v>1.07</v>
      </c>
      <c r="E150" s="221">
        <v>614</v>
      </c>
      <c r="F150" s="246">
        <v>600</v>
      </c>
      <c r="G150" s="247">
        <v>478</v>
      </c>
      <c r="H150" s="248">
        <v>341</v>
      </c>
      <c r="I150" s="249">
        <v>495</v>
      </c>
      <c r="J150" s="122" t="b">
        <f>IF(ISBLANK(CertifiedCrop[[#This Row],[1. Identifiant interne d’exploitation agricole*]]),"",IF(ISERROR(MATCH(CertifiedCrop[[#This Row],[1. Identifiant interne d’exploitation agricole*]],GroupMember[1. Identifiant interne d’exploitation agricole*],0)),FALSE,TRUE))</f>
        <v>1</v>
      </c>
      <c r="K150" s="122" t="b">
        <f t="array" ref="K150">IF(ISBLANK(CertifiedCrop[[#This Row],[2. Produit agricole certifié*]]),"",IF(ISERROR(MATCH(1,(#REF!=CertifiedCrop[[#This Row],[2. Produit agricole certifié*]])*(#REF!=CertifiedCrop[[#This Row],[3. Variété**]]),0)),FALSE,TRUE))</f>
        <v>0</v>
      </c>
      <c r="L150" s="20" t="str">
        <f t="shared" si="10"/>
        <v/>
      </c>
      <c r="M150" s="54" t="str">
        <f t="shared" si="11"/>
        <v>!</v>
      </c>
      <c r="N150" s="54" t="str">
        <f t="shared" si="12"/>
        <v>!</v>
      </c>
      <c r="O150" s="55">
        <f t="shared" si="13"/>
        <v>573.8317757009346</v>
      </c>
      <c r="P150" s="55">
        <f t="shared" si="14"/>
        <v>560.74766355140184</v>
      </c>
      <c r="Q150" s="9" t="str">
        <f ca="1">IFERROR((VLOOKUP(A150,GM_Table,8,FALSE)-SUMIFS(D:D,A:A,A150,B:B,B150,C:C,C150)),"")</f>
        <v/>
      </c>
      <c r="R150" s="9" t="str">
        <f ca="1">IFERROR(CONCATENATE(VLOOKUP(A150,GM_Table,12,FALSE)," ",(VLOOKUP(A150,GM_Table,13,FALSE))),"")</f>
        <v/>
      </c>
    </row>
    <row r="151" spans="1:18" ht="15" x14ac:dyDescent="0.2">
      <c r="A151" s="145" t="s">
        <v>1173</v>
      </c>
      <c r="B151" s="9" t="s">
        <v>3290</v>
      </c>
      <c r="C151" s="9" t="s">
        <v>3291</v>
      </c>
      <c r="D151" s="252">
        <v>2</v>
      </c>
      <c r="E151" s="245">
        <v>1097</v>
      </c>
      <c r="F151" s="246">
        <v>1007</v>
      </c>
      <c r="G151" s="247">
        <v>832</v>
      </c>
      <c r="H151" s="248">
        <v>614</v>
      </c>
      <c r="I151" s="249">
        <v>889</v>
      </c>
      <c r="J151" s="122" t="b">
        <f>IF(ISBLANK(CertifiedCrop[[#This Row],[1. Identifiant interne d’exploitation agricole*]]),"",IF(ISERROR(MATCH(CertifiedCrop[[#This Row],[1. Identifiant interne d’exploitation agricole*]],GroupMember[1. Identifiant interne d’exploitation agricole*],0)),FALSE,TRUE))</f>
        <v>1</v>
      </c>
      <c r="K151" s="122" t="b">
        <f t="array" ref="K151">IF(ISBLANK(CertifiedCrop[[#This Row],[2. Produit agricole certifié*]]),"",IF(ISERROR(MATCH(1,(#REF!=CertifiedCrop[[#This Row],[2. Produit agricole certifié*]])*(#REF!=CertifiedCrop[[#This Row],[3. Variété**]]),0)),FALSE,TRUE))</f>
        <v>0</v>
      </c>
      <c r="L151" s="20" t="str">
        <f t="shared" si="10"/>
        <v/>
      </c>
      <c r="M151" s="54" t="str">
        <f t="shared" si="11"/>
        <v/>
      </c>
      <c r="N151" s="54" t="str">
        <f t="shared" si="12"/>
        <v>!</v>
      </c>
      <c r="O151" s="55">
        <f t="shared" si="13"/>
        <v>548.5</v>
      </c>
      <c r="P151" s="55">
        <f t="shared" si="14"/>
        <v>503.5</v>
      </c>
      <c r="Q151" s="9" t="str">
        <f ca="1">IFERROR((VLOOKUP(A151,GM_Table,8,FALSE)-SUMIFS(D:D,A:A,A151,B:B,B151,C:C,C151)),"")</f>
        <v/>
      </c>
      <c r="R151" s="9" t="str">
        <f ca="1">IFERROR(CONCATENATE(VLOOKUP(A151,GM_Table,12,FALSE)," ",(VLOOKUP(A151,GM_Table,13,FALSE))),"")</f>
        <v/>
      </c>
    </row>
    <row r="152" spans="1:18" ht="15" x14ac:dyDescent="0.2">
      <c r="A152" s="145" t="s">
        <v>1175</v>
      </c>
      <c r="B152" s="9" t="s">
        <v>3290</v>
      </c>
      <c r="C152" s="9" t="s">
        <v>3291</v>
      </c>
      <c r="D152" s="252">
        <v>2</v>
      </c>
      <c r="E152" s="245">
        <v>1045</v>
      </c>
      <c r="F152" s="246">
        <v>961</v>
      </c>
      <c r="G152" s="247">
        <v>961</v>
      </c>
      <c r="H152" s="248">
        <v>741</v>
      </c>
      <c r="I152" s="249">
        <v>825</v>
      </c>
      <c r="J152" s="122" t="b">
        <f>IF(ISBLANK(CertifiedCrop[[#This Row],[1. Identifiant interne d’exploitation agricole*]]),"",IF(ISERROR(MATCH(CertifiedCrop[[#This Row],[1. Identifiant interne d’exploitation agricole*]],GroupMember[1. Identifiant interne d’exploitation agricole*],0)),FALSE,TRUE))</f>
        <v>1</v>
      </c>
      <c r="K152" s="122" t="b">
        <f t="array" ref="K152">IF(ISBLANK(CertifiedCrop[[#This Row],[2. Produit agricole certifié*]]),"",IF(ISERROR(MATCH(1,(#REF!=CertifiedCrop[[#This Row],[2. Produit agricole certifié*]])*(#REF!=CertifiedCrop[[#This Row],[3. Variété**]]),0)),FALSE,TRUE))</f>
        <v>0</v>
      </c>
      <c r="L152" s="20" t="str">
        <f t="shared" si="10"/>
        <v/>
      </c>
      <c r="M152" s="54" t="str">
        <f t="shared" si="11"/>
        <v/>
      </c>
      <c r="N152" s="54" t="str">
        <f t="shared" si="12"/>
        <v>!</v>
      </c>
      <c r="O152" s="55">
        <f t="shared" si="13"/>
        <v>522.5</v>
      </c>
      <c r="P152" s="55">
        <f t="shared" si="14"/>
        <v>480.5</v>
      </c>
      <c r="Q152" s="9" t="str">
        <f ca="1">IFERROR((VLOOKUP(A152,GM_Table,8,FALSE)-SUMIFS(D:D,A:A,A152,B:B,B152,C:C,C152)),"")</f>
        <v/>
      </c>
      <c r="R152" s="9" t="str">
        <f ca="1">IFERROR(CONCATENATE(VLOOKUP(A152,GM_Table,12,FALSE)," ",(VLOOKUP(A152,GM_Table,13,FALSE))),"")</f>
        <v/>
      </c>
    </row>
    <row r="153" spans="1:18" ht="15" x14ac:dyDescent="0.2">
      <c r="A153" s="145" t="s">
        <v>1178</v>
      </c>
      <c r="B153" s="9" t="s">
        <v>3290</v>
      </c>
      <c r="C153" s="9" t="s">
        <v>3291</v>
      </c>
      <c r="D153" s="252">
        <v>5</v>
      </c>
      <c r="E153" s="245">
        <v>3128</v>
      </c>
      <c r="F153" s="246">
        <v>2943</v>
      </c>
      <c r="G153" s="247">
        <v>2843</v>
      </c>
      <c r="H153" s="248">
        <v>2982</v>
      </c>
      <c r="I153" s="249">
        <v>2085</v>
      </c>
      <c r="J153" s="122" t="b">
        <f>IF(ISBLANK(CertifiedCrop[[#This Row],[1. Identifiant interne d’exploitation agricole*]]),"",IF(ISERROR(MATCH(CertifiedCrop[[#This Row],[1. Identifiant interne d’exploitation agricole*]],GroupMember[1. Identifiant interne d’exploitation agricole*],0)),FALSE,TRUE))</f>
        <v>1</v>
      </c>
      <c r="K153" s="122" t="b">
        <f t="array" ref="K153">IF(ISBLANK(CertifiedCrop[[#This Row],[2. Produit agricole certifié*]]),"",IF(ISERROR(MATCH(1,(#REF!=CertifiedCrop[[#This Row],[2. Produit agricole certifié*]])*(#REF!=CertifiedCrop[[#This Row],[3. Variété**]]),0)),FALSE,TRUE))</f>
        <v>0</v>
      </c>
      <c r="L153" s="20" t="str">
        <f t="shared" si="10"/>
        <v/>
      </c>
      <c r="M153" s="54" t="str">
        <f t="shared" si="11"/>
        <v/>
      </c>
      <c r="N153" s="54" t="str">
        <f t="shared" si="12"/>
        <v/>
      </c>
      <c r="O153" s="55">
        <f t="shared" si="13"/>
        <v>625.6</v>
      </c>
      <c r="P153" s="55">
        <f t="shared" si="14"/>
        <v>588.6</v>
      </c>
      <c r="Q153" s="9" t="str">
        <f ca="1">IFERROR((VLOOKUP(A153,GM_Table,8,FALSE)-SUMIFS(D:D,A:A,A153,B:B,B153,C:C,C153)),"")</f>
        <v/>
      </c>
      <c r="R153" s="9" t="str">
        <f ca="1">IFERROR(CONCATENATE(VLOOKUP(A153,GM_Table,12,FALSE)," ",(VLOOKUP(A153,GM_Table,13,FALSE))),"")</f>
        <v/>
      </c>
    </row>
    <row r="154" spans="1:18" ht="15" x14ac:dyDescent="0.2">
      <c r="A154" s="145" t="s">
        <v>1181</v>
      </c>
      <c r="B154" s="9" t="s">
        <v>3290</v>
      </c>
      <c r="C154" s="9" t="s">
        <v>3291</v>
      </c>
      <c r="D154" s="252">
        <v>1.79</v>
      </c>
      <c r="E154" s="221">
        <v>987</v>
      </c>
      <c r="F154" s="246">
        <v>950</v>
      </c>
      <c r="G154" s="247">
        <v>729</v>
      </c>
      <c r="H154" s="248">
        <v>892</v>
      </c>
      <c r="I154" s="249">
        <v>805</v>
      </c>
      <c r="J154" s="122" t="b">
        <f>IF(ISBLANK(CertifiedCrop[[#This Row],[1. Identifiant interne d’exploitation agricole*]]),"",IF(ISERROR(MATCH(CertifiedCrop[[#This Row],[1. Identifiant interne d’exploitation agricole*]],GroupMember[1. Identifiant interne d’exploitation agricole*],0)),FALSE,TRUE))</f>
        <v>1</v>
      </c>
      <c r="K154" s="122" t="b">
        <f t="array" ref="K154">IF(ISBLANK(CertifiedCrop[[#This Row],[2. Produit agricole certifié*]]),"",IF(ISERROR(MATCH(1,(#REF!=CertifiedCrop[[#This Row],[2. Produit agricole certifié*]])*(#REF!=CertifiedCrop[[#This Row],[3. Variété**]]),0)),FALSE,TRUE))</f>
        <v>0</v>
      </c>
      <c r="L154" s="20" t="str">
        <f t="shared" si="10"/>
        <v/>
      </c>
      <c r="M154" s="54" t="str">
        <f t="shared" si="11"/>
        <v>!</v>
      </c>
      <c r="N154" s="54" t="str">
        <f t="shared" si="12"/>
        <v/>
      </c>
      <c r="O154" s="55">
        <f t="shared" si="13"/>
        <v>551.39664804469271</v>
      </c>
      <c r="P154" s="55">
        <f t="shared" si="14"/>
        <v>530.72625698324021</v>
      </c>
      <c r="Q154" s="9" t="str">
        <f ca="1">IFERROR((VLOOKUP(A154,GM_Table,8,FALSE)-SUMIFS(D:D,A:A,A154,B:B,B154,C:C,C154)),"")</f>
        <v/>
      </c>
      <c r="R154" s="9" t="str">
        <f ca="1">IFERROR(CONCATENATE(VLOOKUP(A154,GM_Table,12,FALSE)," ",(VLOOKUP(A154,GM_Table,13,FALSE))),"")</f>
        <v/>
      </c>
    </row>
    <row r="155" spans="1:18" ht="15" x14ac:dyDescent="0.2">
      <c r="A155" s="145" t="s">
        <v>1185</v>
      </c>
      <c r="B155" s="9" t="s">
        <v>3290</v>
      </c>
      <c r="C155" s="9" t="s">
        <v>3291</v>
      </c>
      <c r="D155" s="252">
        <v>1.9093</v>
      </c>
      <c r="E155" s="245">
        <v>1128</v>
      </c>
      <c r="F155" s="246">
        <v>1069</v>
      </c>
      <c r="G155" s="247">
        <v>751</v>
      </c>
      <c r="H155" s="248">
        <v>895</v>
      </c>
      <c r="I155" s="249">
        <v>654</v>
      </c>
      <c r="J155" s="122" t="b">
        <f>IF(ISBLANK(CertifiedCrop[[#This Row],[1. Identifiant interne d’exploitation agricole*]]),"",IF(ISERROR(MATCH(CertifiedCrop[[#This Row],[1. Identifiant interne d’exploitation agricole*]],GroupMember[1. Identifiant interne d’exploitation agricole*],0)),FALSE,TRUE))</f>
        <v>1</v>
      </c>
      <c r="K155" s="122" t="b">
        <f t="array" ref="K155">IF(ISBLANK(CertifiedCrop[[#This Row],[2. Produit agricole certifié*]]),"",IF(ISERROR(MATCH(1,(#REF!=CertifiedCrop[[#This Row],[2. Produit agricole certifié*]])*(#REF!=CertifiedCrop[[#This Row],[3. Variété**]]),0)),FALSE,TRUE))</f>
        <v>0</v>
      </c>
      <c r="L155" s="20" t="str">
        <f t="shared" si="10"/>
        <v/>
      </c>
      <c r="M155" s="54" t="str">
        <f t="shared" si="11"/>
        <v>!</v>
      </c>
      <c r="N155" s="54" t="str">
        <f t="shared" si="12"/>
        <v/>
      </c>
      <c r="O155" s="55">
        <f t="shared" si="13"/>
        <v>590.79243701880273</v>
      </c>
      <c r="P155" s="55">
        <f t="shared" si="14"/>
        <v>559.89105955062064</v>
      </c>
      <c r="Q155" s="9" t="str">
        <f ca="1">IFERROR((VLOOKUP(A155,GM_Table,8,FALSE)-SUMIFS(D:D,A:A,A155,B:B,B155,C:C,C155)),"")</f>
        <v/>
      </c>
      <c r="R155" s="9" t="str">
        <f ca="1">IFERROR(CONCATENATE(VLOOKUP(A155,GM_Table,12,FALSE)," ",(VLOOKUP(A155,GM_Table,13,FALSE))),"")</f>
        <v/>
      </c>
    </row>
    <row r="156" spans="1:18" ht="15" x14ac:dyDescent="0.2">
      <c r="A156" s="145" t="s">
        <v>1189</v>
      </c>
      <c r="B156" s="9" t="s">
        <v>3290</v>
      </c>
      <c r="C156" s="9" t="s">
        <v>3291</v>
      </c>
      <c r="D156" s="252">
        <v>1.31</v>
      </c>
      <c r="E156" s="221">
        <v>688</v>
      </c>
      <c r="F156" s="246">
        <v>650</v>
      </c>
      <c r="G156" s="247">
        <v>470</v>
      </c>
      <c r="H156" s="248">
        <v>623</v>
      </c>
      <c r="I156" s="249">
        <v>697</v>
      </c>
      <c r="J156" s="122" t="b">
        <f>IF(ISBLANK(CertifiedCrop[[#This Row],[1. Identifiant interne d’exploitation agricole*]]),"",IF(ISERROR(MATCH(CertifiedCrop[[#This Row],[1. Identifiant interne d’exploitation agricole*]],GroupMember[1. Identifiant interne d’exploitation agricole*],0)),FALSE,TRUE))</f>
        <v>1</v>
      </c>
      <c r="K156" s="122" t="b">
        <f t="array" ref="K156">IF(ISBLANK(CertifiedCrop[[#This Row],[2. Produit agricole certifié*]]),"",IF(ISERROR(MATCH(1,(#REF!=CertifiedCrop[[#This Row],[2. Produit agricole certifié*]])*(#REF!=CertifiedCrop[[#This Row],[3. Variété**]]),0)),FALSE,TRUE))</f>
        <v>0</v>
      </c>
      <c r="L156" s="20" t="str">
        <f t="shared" si="10"/>
        <v/>
      </c>
      <c r="M156" s="54" t="str">
        <f t="shared" si="11"/>
        <v>!</v>
      </c>
      <c r="N156" s="54" t="str">
        <f t="shared" si="12"/>
        <v/>
      </c>
      <c r="O156" s="55">
        <f t="shared" si="13"/>
        <v>525.19083969465646</v>
      </c>
      <c r="P156" s="55">
        <f t="shared" si="14"/>
        <v>496.18320610687022</v>
      </c>
      <c r="Q156" s="9" t="str">
        <f ca="1">IFERROR((VLOOKUP(A156,GM_Table,8,FALSE)-SUMIFS(D:D,A:A,A156,B:B,B156,C:C,C156)),"")</f>
        <v/>
      </c>
      <c r="R156" s="9" t="str">
        <f ca="1">IFERROR(CONCATENATE(VLOOKUP(A156,GM_Table,12,FALSE)," ",(VLOOKUP(A156,GM_Table,13,FALSE))),"")</f>
        <v/>
      </c>
    </row>
    <row r="157" spans="1:18" ht="15" x14ac:dyDescent="0.2">
      <c r="A157" s="145" t="s">
        <v>1192</v>
      </c>
      <c r="B157" s="9" t="s">
        <v>3290</v>
      </c>
      <c r="C157" s="9" t="s">
        <v>3291</v>
      </c>
      <c r="D157" s="252">
        <v>2.36</v>
      </c>
      <c r="E157" s="245">
        <v>1268</v>
      </c>
      <c r="F157" s="246">
        <v>1164</v>
      </c>
      <c r="G157" s="247">
        <v>1064</v>
      </c>
      <c r="H157" s="248">
        <v>1127</v>
      </c>
      <c r="I157" s="249">
        <v>1255</v>
      </c>
      <c r="J157" s="122" t="b">
        <f>IF(ISBLANK(CertifiedCrop[[#This Row],[1. Identifiant interne d’exploitation agricole*]]),"",IF(ISERROR(MATCH(CertifiedCrop[[#This Row],[1. Identifiant interne d’exploitation agricole*]],GroupMember[1. Identifiant interne d’exploitation agricole*],0)),FALSE,TRUE))</f>
        <v>1</v>
      </c>
      <c r="K157" s="122" t="b">
        <f t="array" ref="K157">IF(ISBLANK(CertifiedCrop[[#This Row],[2. Produit agricole certifié*]]),"",IF(ISERROR(MATCH(1,(#REF!=CertifiedCrop[[#This Row],[2. Produit agricole certifié*]])*(#REF!=CertifiedCrop[[#This Row],[3. Variété**]]),0)),FALSE,TRUE))</f>
        <v>0</v>
      </c>
      <c r="L157" s="20" t="str">
        <f t="shared" si="10"/>
        <v/>
      </c>
      <c r="M157" s="54" t="str">
        <f t="shared" si="11"/>
        <v/>
      </c>
      <c r="N157" s="54" t="str">
        <f t="shared" si="12"/>
        <v/>
      </c>
      <c r="O157" s="55">
        <f t="shared" si="13"/>
        <v>537.28813559322032</v>
      </c>
      <c r="P157" s="55">
        <f t="shared" si="14"/>
        <v>493.22033898305085</v>
      </c>
      <c r="Q157" s="9" t="str">
        <f ca="1">IFERROR((VLOOKUP(A157,GM_Table,8,FALSE)-SUMIFS(D:D,A:A,A157,B:B,B157,C:C,C157)),"")</f>
        <v/>
      </c>
      <c r="R157" s="9" t="str">
        <f ca="1">IFERROR(CONCATENATE(VLOOKUP(A157,GM_Table,12,FALSE)," ",(VLOOKUP(A157,GM_Table,13,FALSE))),"")</f>
        <v/>
      </c>
    </row>
    <row r="158" spans="1:18" ht="15" x14ac:dyDescent="0.2">
      <c r="A158" s="145" t="s">
        <v>1195</v>
      </c>
      <c r="B158" s="9" t="s">
        <v>3290</v>
      </c>
      <c r="C158" s="9" t="s">
        <v>3291</v>
      </c>
      <c r="D158" s="252">
        <v>1.25</v>
      </c>
      <c r="E158" s="221">
        <v>785</v>
      </c>
      <c r="F158" s="246">
        <v>750</v>
      </c>
      <c r="G158" s="247">
        <v>632</v>
      </c>
      <c r="H158" s="248">
        <v>359</v>
      </c>
      <c r="I158" s="249">
        <v>673</v>
      </c>
      <c r="J158" s="122" t="b">
        <f>IF(ISBLANK(CertifiedCrop[[#This Row],[1. Identifiant interne d’exploitation agricole*]]),"",IF(ISERROR(MATCH(CertifiedCrop[[#This Row],[1. Identifiant interne d’exploitation agricole*]],GroupMember[1. Identifiant interne d’exploitation agricole*],0)),FALSE,TRUE))</f>
        <v>1</v>
      </c>
      <c r="K158" s="122" t="b">
        <f t="array" ref="K158">IF(ISBLANK(CertifiedCrop[[#This Row],[2. Produit agricole certifié*]]),"",IF(ISERROR(MATCH(1,(#REF!=CertifiedCrop[[#This Row],[2. Produit agricole certifié*]])*(#REF!=CertifiedCrop[[#This Row],[3. Variété**]]),0)),FALSE,TRUE))</f>
        <v>0</v>
      </c>
      <c r="L158" s="20" t="str">
        <f t="shared" si="10"/>
        <v/>
      </c>
      <c r="M158" s="54" t="str">
        <f t="shared" si="11"/>
        <v/>
      </c>
      <c r="N158" s="54" t="str">
        <f t="shared" si="12"/>
        <v>!</v>
      </c>
      <c r="O158" s="55">
        <f t="shared" si="13"/>
        <v>628</v>
      </c>
      <c r="P158" s="55">
        <f t="shared" si="14"/>
        <v>600</v>
      </c>
      <c r="Q158" s="9" t="str">
        <f ca="1">IFERROR((VLOOKUP(A158,GM_Table,8,FALSE)-SUMIFS(D:D,A:A,A158,B:B,B158,C:C,C158)),"")</f>
        <v/>
      </c>
      <c r="R158" s="9" t="str">
        <f ca="1">IFERROR(CONCATENATE(VLOOKUP(A158,GM_Table,12,FALSE)," ",(VLOOKUP(A158,GM_Table,13,FALSE))),"")</f>
        <v/>
      </c>
    </row>
    <row r="159" spans="1:18" ht="15" x14ac:dyDescent="0.2">
      <c r="A159" s="145" t="s">
        <v>1198</v>
      </c>
      <c r="B159" s="9" t="s">
        <v>3290</v>
      </c>
      <c r="C159" s="9" t="s">
        <v>3291</v>
      </c>
      <c r="D159" s="252">
        <v>0.86</v>
      </c>
      <c r="E159" s="221">
        <v>547</v>
      </c>
      <c r="F159" s="246">
        <v>500</v>
      </c>
      <c r="G159" s="247">
        <v>337</v>
      </c>
      <c r="H159" s="248">
        <v>326</v>
      </c>
      <c r="I159" s="249">
        <v>415</v>
      </c>
      <c r="J159" s="122" t="b">
        <f>IF(ISBLANK(CertifiedCrop[[#This Row],[1. Identifiant interne d’exploitation agricole*]]),"",IF(ISERROR(MATCH(CertifiedCrop[[#This Row],[1. Identifiant interne d’exploitation agricole*]],GroupMember[1. Identifiant interne d’exploitation agricole*],0)),FALSE,TRUE))</f>
        <v>1</v>
      </c>
      <c r="K159" s="122" t="b">
        <f t="array" ref="K159">IF(ISBLANK(CertifiedCrop[[#This Row],[2. Produit agricole certifié*]]),"",IF(ISERROR(MATCH(1,(#REF!=CertifiedCrop[[#This Row],[2. Produit agricole certifié*]])*(#REF!=CertifiedCrop[[#This Row],[3. Variété**]]),0)),FALSE,TRUE))</f>
        <v>0</v>
      </c>
      <c r="L159" s="20" t="str">
        <f t="shared" si="10"/>
        <v/>
      </c>
      <c r="M159" s="54" t="str">
        <f t="shared" si="11"/>
        <v>!</v>
      </c>
      <c r="N159" s="54" t="str">
        <f t="shared" si="12"/>
        <v/>
      </c>
      <c r="O159" s="55">
        <f t="shared" si="13"/>
        <v>636.04651162790697</v>
      </c>
      <c r="P159" s="55">
        <f t="shared" si="14"/>
        <v>581.39534883720933</v>
      </c>
      <c r="Q159" s="9" t="str">
        <f ca="1">IFERROR((VLOOKUP(A159,GM_Table,8,FALSE)-SUMIFS(D:D,A:A,A159,B:B,B159,C:C,C159)),"")</f>
        <v/>
      </c>
      <c r="R159" s="9" t="str">
        <f ca="1">IFERROR(CONCATENATE(VLOOKUP(A159,GM_Table,12,FALSE)," ",(VLOOKUP(A159,GM_Table,13,FALSE))),"")</f>
        <v/>
      </c>
    </row>
    <row r="160" spans="1:18" ht="15" x14ac:dyDescent="0.2">
      <c r="A160" s="145" t="s">
        <v>1200</v>
      </c>
      <c r="B160" s="9" t="s">
        <v>3290</v>
      </c>
      <c r="C160" s="9" t="s">
        <v>3291</v>
      </c>
      <c r="D160" s="252">
        <v>1.44</v>
      </c>
      <c r="E160" s="221">
        <v>850</v>
      </c>
      <c r="F160" s="246">
        <v>800</v>
      </c>
      <c r="G160" s="247">
        <v>605</v>
      </c>
      <c r="H160" s="248">
        <v>738</v>
      </c>
      <c r="I160" s="249">
        <v>793</v>
      </c>
      <c r="J160" s="122" t="b">
        <f>IF(ISBLANK(CertifiedCrop[[#This Row],[1. Identifiant interne d’exploitation agricole*]]),"",IF(ISERROR(MATCH(CertifiedCrop[[#This Row],[1. Identifiant interne d’exploitation agricole*]],GroupMember[1. Identifiant interne d’exploitation agricole*],0)),FALSE,TRUE))</f>
        <v>1</v>
      </c>
      <c r="K160" s="122" t="b">
        <f t="array" ref="K160">IF(ISBLANK(CertifiedCrop[[#This Row],[2. Produit agricole certifié*]]),"",IF(ISERROR(MATCH(1,(#REF!=CertifiedCrop[[#This Row],[2. Produit agricole certifié*]])*(#REF!=CertifiedCrop[[#This Row],[3. Variété**]]),0)),FALSE,TRUE))</f>
        <v>0</v>
      </c>
      <c r="L160" s="20" t="str">
        <f t="shared" si="10"/>
        <v/>
      </c>
      <c r="M160" s="54" t="str">
        <f t="shared" si="11"/>
        <v>!</v>
      </c>
      <c r="N160" s="54" t="str">
        <f t="shared" si="12"/>
        <v/>
      </c>
      <c r="O160" s="55">
        <f t="shared" si="13"/>
        <v>590.27777777777783</v>
      </c>
      <c r="P160" s="55">
        <f t="shared" si="14"/>
        <v>555.55555555555554</v>
      </c>
      <c r="Q160" s="9" t="str">
        <f ca="1">IFERROR((VLOOKUP(A160,GM_Table,8,FALSE)-SUMIFS(D:D,A:A,A160,B:B,B160,C:C,C160)),"")</f>
        <v/>
      </c>
      <c r="R160" s="9" t="str">
        <f ca="1">IFERROR(CONCATENATE(VLOOKUP(A160,GM_Table,12,FALSE)," ",(VLOOKUP(A160,GM_Table,13,FALSE))),"")</f>
        <v/>
      </c>
    </row>
    <row r="161" spans="1:18" ht="15" x14ac:dyDescent="0.2">
      <c r="A161" s="145" t="s">
        <v>1204</v>
      </c>
      <c r="B161" s="9" t="s">
        <v>3290</v>
      </c>
      <c r="C161" s="9" t="s">
        <v>3291</v>
      </c>
      <c r="D161" s="252">
        <v>5</v>
      </c>
      <c r="E161" s="245">
        <v>2732</v>
      </c>
      <c r="F161" s="246">
        <v>2659</v>
      </c>
      <c r="G161" s="247">
        <v>1987</v>
      </c>
      <c r="H161" s="248">
        <v>2440</v>
      </c>
      <c r="I161" s="249">
        <v>2145</v>
      </c>
      <c r="J161" s="122" t="b">
        <f>IF(ISBLANK(CertifiedCrop[[#This Row],[1. Identifiant interne d’exploitation agricole*]]),"",IF(ISERROR(MATCH(CertifiedCrop[[#This Row],[1. Identifiant interne d’exploitation agricole*]],GroupMember[1. Identifiant interne d’exploitation agricole*],0)),FALSE,TRUE))</f>
        <v>1</v>
      </c>
      <c r="K161" s="122" t="b">
        <f t="array" ref="K161">IF(ISBLANK(CertifiedCrop[[#This Row],[2. Produit agricole certifié*]]),"",IF(ISERROR(MATCH(1,(#REF!=CertifiedCrop[[#This Row],[2. Produit agricole certifié*]])*(#REF!=CertifiedCrop[[#This Row],[3. Variété**]]),0)),FALSE,TRUE))</f>
        <v>0</v>
      </c>
      <c r="L161" s="20" t="str">
        <f t="shared" si="10"/>
        <v/>
      </c>
      <c r="M161" s="54" t="str">
        <f t="shared" si="11"/>
        <v>!</v>
      </c>
      <c r="N161" s="54" t="str">
        <f t="shared" si="12"/>
        <v/>
      </c>
      <c r="O161" s="55">
        <f t="shared" si="13"/>
        <v>546.4</v>
      </c>
      <c r="P161" s="55">
        <f t="shared" si="14"/>
        <v>531.79999999999995</v>
      </c>
      <c r="Q161" s="9" t="str">
        <f ca="1">IFERROR((VLOOKUP(A161,GM_Table,8,FALSE)-SUMIFS(D:D,A:A,A161,B:B,B161,C:C,C161)),"")</f>
        <v/>
      </c>
      <c r="R161" s="9" t="str">
        <f ca="1">IFERROR(CONCATENATE(VLOOKUP(A161,GM_Table,12,FALSE)," ",(VLOOKUP(A161,GM_Table,13,FALSE))),"")</f>
        <v/>
      </c>
    </row>
    <row r="162" spans="1:18" ht="15" x14ac:dyDescent="0.2">
      <c r="A162" s="145" t="s">
        <v>1206</v>
      </c>
      <c r="B162" s="9" t="s">
        <v>3290</v>
      </c>
      <c r="C162" s="9" t="s">
        <v>3291</v>
      </c>
      <c r="D162" s="252">
        <v>0.74</v>
      </c>
      <c r="E162" s="221">
        <v>461</v>
      </c>
      <c r="F162" s="246">
        <v>426</v>
      </c>
      <c r="G162" s="247">
        <v>426</v>
      </c>
      <c r="H162" s="248">
        <v>265</v>
      </c>
      <c r="I162" s="249">
        <v>374</v>
      </c>
      <c r="J162" s="122" t="b">
        <f>IF(ISBLANK(CertifiedCrop[[#This Row],[1. Identifiant interne d’exploitation agricole*]]),"",IF(ISERROR(MATCH(CertifiedCrop[[#This Row],[1. Identifiant interne d’exploitation agricole*]],GroupMember[1. Identifiant interne d’exploitation agricole*],0)),FALSE,TRUE))</f>
        <v>1</v>
      </c>
      <c r="K162" s="122" t="b">
        <f t="array" ref="K162">IF(ISBLANK(CertifiedCrop[[#This Row],[2. Produit agricole certifié*]]),"",IF(ISERROR(MATCH(1,(#REF!=CertifiedCrop[[#This Row],[2. Produit agricole certifié*]])*(#REF!=CertifiedCrop[[#This Row],[3. Variété**]]),0)),FALSE,TRUE))</f>
        <v>0</v>
      </c>
      <c r="L162" s="20" t="str">
        <f t="shared" si="10"/>
        <v/>
      </c>
      <c r="M162" s="54" t="str">
        <f t="shared" si="11"/>
        <v/>
      </c>
      <c r="N162" s="54" t="str">
        <f t="shared" si="12"/>
        <v>!</v>
      </c>
      <c r="O162" s="55">
        <f t="shared" si="13"/>
        <v>622.97297297297303</v>
      </c>
      <c r="P162" s="55">
        <f t="shared" si="14"/>
        <v>575.67567567567573</v>
      </c>
      <c r="Q162" s="9" t="str">
        <f ca="1">IFERROR((VLOOKUP(A162,GM_Table,8,FALSE)-SUMIFS(D:D,A:A,A162,B:B,B162,C:C,C162)),"")</f>
        <v/>
      </c>
      <c r="R162" s="9" t="str">
        <f ca="1">IFERROR(CONCATENATE(VLOOKUP(A162,GM_Table,12,FALSE)," ",(VLOOKUP(A162,GM_Table,13,FALSE))),"")</f>
        <v/>
      </c>
    </row>
    <row r="163" spans="1:18" ht="15" x14ac:dyDescent="0.2">
      <c r="A163" s="145" t="s">
        <v>1209</v>
      </c>
      <c r="B163" s="9" t="s">
        <v>3290</v>
      </c>
      <c r="C163" s="9" t="s">
        <v>3291</v>
      </c>
      <c r="D163" s="252">
        <v>0.64</v>
      </c>
      <c r="E163" s="221">
        <v>379</v>
      </c>
      <c r="F163" s="246">
        <v>350</v>
      </c>
      <c r="G163" s="247">
        <v>261</v>
      </c>
      <c r="H163" s="248">
        <v>254</v>
      </c>
      <c r="I163" s="249">
        <v>336</v>
      </c>
      <c r="J163" s="122" t="b">
        <f>IF(ISBLANK(CertifiedCrop[[#This Row],[1. Identifiant interne d’exploitation agricole*]]),"",IF(ISERROR(MATCH(CertifiedCrop[[#This Row],[1. Identifiant interne d’exploitation agricole*]],GroupMember[1. Identifiant interne d’exploitation agricole*],0)),FALSE,TRUE))</f>
        <v>1</v>
      </c>
      <c r="K163" s="122" t="b">
        <f t="array" ref="K163">IF(ISBLANK(CertifiedCrop[[#This Row],[2. Produit agricole certifié*]]),"",IF(ISERROR(MATCH(1,(#REF!=CertifiedCrop[[#This Row],[2. Produit agricole certifié*]])*(#REF!=CertifiedCrop[[#This Row],[3. Variété**]]),0)),FALSE,TRUE))</f>
        <v>0</v>
      </c>
      <c r="L163" s="20" t="str">
        <f t="shared" si="10"/>
        <v/>
      </c>
      <c r="M163" s="54" t="str">
        <f t="shared" si="11"/>
        <v>!</v>
      </c>
      <c r="N163" s="54" t="str">
        <f t="shared" si="12"/>
        <v/>
      </c>
      <c r="O163" s="55">
        <f t="shared" si="13"/>
        <v>592.1875</v>
      </c>
      <c r="P163" s="55">
        <f t="shared" si="14"/>
        <v>546.875</v>
      </c>
      <c r="Q163" s="9" t="str">
        <f ca="1">IFERROR((VLOOKUP(A163,GM_Table,8,FALSE)-SUMIFS(D:D,A:A,A163,B:B,B163,C:C,C163)),"")</f>
        <v/>
      </c>
      <c r="R163" s="9" t="str">
        <f ca="1">IFERROR(CONCATENATE(VLOOKUP(A163,GM_Table,12,FALSE)," ",(VLOOKUP(A163,GM_Table,13,FALSE))),"")</f>
        <v/>
      </c>
    </row>
    <row r="164" spans="1:18" ht="15" x14ac:dyDescent="0.2">
      <c r="A164" s="145" t="s">
        <v>1213</v>
      </c>
      <c r="B164" s="9" t="s">
        <v>3290</v>
      </c>
      <c r="C164" s="9" t="s">
        <v>3291</v>
      </c>
      <c r="D164" s="252">
        <v>1.79</v>
      </c>
      <c r="E164" s="221">
        <v>988</v>
      </c>
      <c r="F164" s="246">
        <v>950</v>
      </c>
      <c r="G164" s="247">
        <v>600</v>
      </c>
      <c r="H164" s="248">
        <v>706</v>
      </c>
      <c r="I164" s="249">
        <v>802</v>
      </c>
      <c r="J164" s="122" t="b">
        <f>IF(ISBLANK(CertifiedCrop[[#This Row],[1. Identifiant interne d’exploitation agricole*]]),"",IF(ISERROR(MATCH(CertifiedCrop[[#This Row],[1. Identifiant interne d’exploitation agricole*]],GroupMember[1. Identifiant interne d’exploitation agricole*],0)),FALSE,TRUE))</f>
        <v>1</v>
      </c>
      <c r="K164" s="122" t="b">
        <f t="array" ref="K164">IF(ISBLANK(CertifiedCrop[[#This Row],[2. Produit agricole certifié*]]),"",IF(ISERROR(MATCH(1,(#REF!=CertifiedCrop[[#This Row],[2. Produit agricole certifié*]])*(#REF!=CertifiedCrop[[#This Row],[3. Variété**]]),0)),FALSE,TRUE))</f>
        <v>0</v>
      </c>
      <c r="L164" s="20" t="str">
        <f t="shared" si="10"/>
        <v/>
      </c>
      <c r="M164" s="54" t="str">
        <f t="shared" si="11"/>
        <v>!</v>
      </c>
      <c r="N164" s="54" t="str">
        <f t="shared" si="12"/>
        <v/>
      </c>
      <c r="O164" s="55">
        <f t="shared" si="13"/>
        <v>551.95530726256982</v>
      </c>
      <c r="P164" s="55">
        <f t="shared" si="14"/>
        <v>530.72625698324021</v>
      </c>
      <c r="Q164" s="9" t="str">
        <f ca="1">IFERROR((VLOOKUP(A164,GM_Table,8,FALSE)-SUMIFS(D:D,A:A,A164,B:B,B164,C:C,C164)),"")</f>
        <v/>
      </c>
      <c r="R164" s="9" t="str">
        <f ca="1">IFERROR(CONCATENATE(VLOOKUP(A164,GM_Table,12,FALSE)," ",(VLOOKUP(A164,GM_Table,13,FALSE))),"")</f>
        <v/>
      </c>
    </row>
    <row r="165" spans="1:18" ht="15" x14ac:dyDescent="0.2">
      <c r="A165" s="145" t="s">
        <v>1215</v>
      </c>
      <c r="B165" s="9" t="s">
        <v>3290</v>
      </c>
      <c r="C165" s="9" t="s">
        <v>3291</v>
      </c>
      <c r="D165" s="252">
        <v>1.64</v>
      </c>
      <c r="E165" s="221">
        <v>970</v>
      </c>
      <c r="F165" s="246">
        <v>950</v>
      </c>
      <c r="G165" s="247">
        <v>771</v>
      </c>
      <c r="H165" s="248">
        <v>827</v>
      </c>
      <c r="I165" s="249">
        <v>760</v>
      </c>
      <c r="J165" s="122" t="b">
        <f>IF(ISBLANK(CertifiedCrop[[#This Row],[1. Identifiant interne d’exploitation agricole*]]),"",IF(ISERROR(MATCH(CertifiedCrop[[#This Row],[1. Identifiant interne d’exploitation agricole*]],GroupMember[1. Identifiant interne d’exploitation agricole*],0)),FALSE,TRUE))</f>
        <v>1</v>
      </c>
      <c r="K165" s="122" t="b">
        <f t="array" ref="K165">IF(ISBLANK(CertifiedCrop[[#This Row],[2. Produit agricole certifié*]]),"",IF(ISERROR(MATCH(1,(#REF!=CertifiedCrop[[#This Row],[2. Produit agricole certifié*]])*(#REF!=CertifiedCrop[[#This Row],[3. Variété**]]),0)),FALSE,TRUE))</f>
        <v>0</v>
      </c>
      <c r="L165" s="20" t="str">
        <f t="shared" si="10"/>
        <v/>
      </c>
      <c r="M165" s="54" t="str">
        <f t="shared" si="11"/>
        <v/>
      </c>
      <c r="N165" s="54" t="str">
        <f t="shared" si="12"/>
        <v/>
      </c>
      <c r="O165" s="55">
        <f t="shared" si="13"/>
        <v>591.46341463414637</v>
      </c>
      <c r="P165" s="55">
        <f t="shared" si="14"/>
        <v>579.26829268292681</v>
      </c>
      <c r="Q165" s="9" t="str">
        <f ca="1">IFERROR((VLOOKUP(A165,GM_Table,8,FALSE)-SUMIFS(D:D,A:A,A165,B:B,B165,C:C,C165)),"")</f>
        <v/>
      </c>
      <c r="R165" s="9" t="str">
        <f ca="1">IFERROR(CONCATENATE(VLOOKUP(A165,GM_Table,12,FALSE)," ",(VLOOKUP(A165,GM_Table,13,FALSE))),"")</f>
        <v/>
      </c>
    </row>
    <row r="166" spans="1:18" ht="15" x14ac:dyDescent="0.2">
      <c r="A166" s="145" t="s">
        <v>1216</v>
      </c>
      <c r="B166" s="9" t="s">
        <v>3290</v>
      </c>
      <c r="C166" s="9" t="s">
        <v>3291</v>
      </c>
      <c r="D166" s="252">
        <v>1.86</v>
      </c>
      <c r="E166" s="245">
        <v>1015</v>
      </c>
      <c r="F166" s="246">
        <v>1000</v>
      </c>
      <c r="G166" s="247">
        <v>754</v>
      </c>
      <c r="H166" s="248">
        <v>928</v>
      </c>
      <c r="I166" s="249">
        <v>878</v>
      </c>
      <c r="J166" s="122" t="b">
        <f>IF(ISBLANK(CertifiedCrop[[#This Row],[1. Identifiant interne d’exploitation agricole*]]),"",IF(ISERROR(MATCH(CertifiedCrop[[#This Row],[1. Identifiant interne d’exploitation agricole*]],GroupMember[1. Identifiant interne d’exploitation agricole*],0)),FALSE,TRUE))</f>
        <v>1</v>
      </c>
      <c r="K166" s="122" t="b">
        <f t="array" ref="K166">IF(ISBLANK(CertifiedCrop[[#This Row],[2. Produit agricole certifié*]]),"",IF(ISERROR(MATCH(1,(#REF!=CertifiedCrop[[#This Row],[2. Produit agricole certifié*]])*(#REF!=CertifiedCrop[[#This Row],[3. Variété**]]),0)),FALSE,TRUE))</f>
        <v>0</v>
      </c>
      <c r="L166" s="20" t="str">
        <f t="shared" si="10"/>
        <v/>
      </c>
      <c r="M166" s="54" t="str">
        <f t="shared" si="11"/>
        <v>!</v>
      </c>
      <c r="N166" s="54" t="str">
        <f t="shared" si="12"/>
        <v/>
      </c>
      <c r="O166" s="55">
        <f t="shared" si="13"/>
        <v>545.69892473118273</v>
      </c>
      <c r="P166" s="55">
        <f t="shared" si="14"/>
        <v>537.63440860215053</v>
      </c>
      <c r="Q166" s="9" t="str">
        <f ca="1">IFERROR((VLOOKUP(A166,GM_Table,8,FALSE)-SUMIFS(D:D,A:A,A166,B:B,B166,C:C,C166)),"")</f>
        <v/>
      </c>
      <c r="R166" s="9" t="str">
        <f ca="1">IFERROR(CONCATENATE(VLOOKUP(A166,GM_Table,12,FALSE)," ",(VLOOKUP(A166,GM_Table,13,FALSE))),"")</f>
        <v/>
      </c>
    </row>
    <row r="167" spans="1:18" ht="15" x14ac:dyDescent="0.2">
      <c r="A167" s="145" t="s">
        <v>1218</v>
      </c>
      <c r="B167" s="9" t="s">
        <v>3290</v>
      </c>
      <c r="C167" s="9" t="s">
        <v>3291</v>
      </c>
      <c r="D167" s="252">
        <v>1.52</v>
      </c>
      <c r="E167" s="221">
        <v>862</v>
      </c>
      <c r="F167" s="246">
        <v>856</v>
      </c>
      <c r="G167" s="247">
        <v>500</v>
      </c>
      <c r="H167" s="248">
        <v>686</v>
      </c>
      <c r="I167" s="249">
        <v>805</v>
      </c>
      <c r="J167" s="122" t="b">
        <f>IF(ISBLANK(CertifiedCrop[[#This Row],[1. Identifiant interne d’exploitation agricole*]]),"",IF(ISERROR(MATCH(CertifiedCrop[[#This Row],[1. Identifiant interne d’exploitation agricole*]],GroupMember[1. Identifiant interne d’exploitation agricole*],0)),FALSE,TRUE))</f>
        <v>1</v>
      </c>
      <c r="K167" s="122" t="b">
        <f t="array" ref="K167">IF(ISBLANK(CertifiedCrop[[#This Row],[2. Produit agricole certifié*]]),"",IF(ISERROR(MATCH(1,(#REF!=CertifiedCrop[[#This Row],[2. Produit agricole certifié*]])*(#REF!=CertifiedCrop[[#This Row],[3. Variété**]]),0)),FALSE,TRUE))</f>
        <v>0</v>
      </c>
      <c r="L167" s="20" t="str">
        <f t="shared" si="10"/>
        <v/>
      </c>
      <c r="M167" s="54" t="str">
        <f t="shared" si="11"/>
        <v>!</v>
      </c>
      <c r="N167" s="54" t="str">
        <f t="shared" si="12"/>
        <v>!</v>
      </c>
      <c r="O167" s="55">
        <f t="shared" si="13"/>
        <v>567.10526315789468</v>
      </c>
      <c r="P167" s="55">
        <f t="shared" si="14"/>
        <v>563.15789473684208</v>
      </c>
      <c r="Q167" s="9" t="str">
        <f ca="1">IFERROR((VLOOKUP(A167,GM_Table,8,FALSE)-SUMIFS(D:D,A:A,A167,B:B,B167,C:C,C167)),"")</f>
        <v/>
      </c>
      <c r="R167" s="9" t="str">
        <f ca="1">IFERROR(CONCATENATE(VLOOKUP(A167,GM_Table,12,FALSE)," ",(VLOOKUP(A167,GM_Table,13,FALSE))),"")</f>
        <v/>
      </c>
    </row>
    <row r="168" spans="1:18" ht="15" x14ac:dyDescent="0.2">
      <c r="A168" s="145" t="s">
        <v>1222</v>
      </c>
      <c r="B168" s="9" t="s">
        <v>3290</v>
      </c>
      <c r="C168" s="9" t="s">
        <v>3291</v>
      </c>
      <c r="D168" s="252">
        <v>2.77</v>
      </c>
      <c r="E168" s="245">
        <v>1588</v>
      </c>
      <c r="F168" s="246">
        <v>1447</v>
      </c>
      <c r="G168" s="247">
        <v>847</v>
      </c>
      <c r="H168" s="248">
        <v>1327</v>
      </c>
      <c r="I168" s="249">
        <v>1187</v>
      </c>
      <c r="J168" s="122" t="b">
        <f>IF(ISBLANK(CertifiedCrop[[#This Row],[1. Identifiant interne d’exploitation agricole*]]),"",IF(ISERROR(MATCH(CertifiedCrop[[#This Row],[1. Identifiant interne d’exploitation agricole*]],GroupMember[1. Identifiant interne d’exploitation agricole*],0)),FALSE,TRUE))</f>
        <v>1</v>
      </c>
      <c r="K168" s="122" t="b">
        <f t="array" ref="K168">IF(ISBLANK(CertifiedCrop[[#This Row],[2. Produit agricole certifié*]]),"",IF(ISERROR(MATCH(1,(#REF!=CertifiedCrop[[#This Row],[2. Produit agricole certifié*]])*(#REF!=CertifiedCrop[[#This Row],[3. Variété**]]),0)),FALSE,TRUE))</f>
        <v>0</v>
      </c>
      <c r="L168" s="20" t="str">
        <f t="shared" si="10"/>
        <v/>
      </c>
      <c r="M168" s="54" t="str">
        <f t="shared" si="11"/>
        <v>!</v>
      </c>
      <c r="N168" s="54" t="str">
        <f t="shared" si="12"/>
        <v>!</v>
      </c>
      <c r="O168" s="55">
        <f t="shared" si="13"/>
        <v>573.28519855595664</v>
      </c>
      <c r="P168" s="55">
        <f t="shared" si="14"/>
        <v>522.38267148014438</v>
      </c>
      <c r="Q168" s="9" t="str">
        <f ca="1">IFERROR((VLOOKUP(A168,GM_Table,8,FALSE)-SUMIFS(D:D,A:A,A168,B:B,B168,C:C,C168)),"")</f>
        <v/>
      </c>
      <c r="R168" s="9" t="str">
        <f ca="1">IFERROR(CONCATENATE(VLOOKUP(A168,GM_Table,12,FALSE)," ",(VLOOKUP(A168,GM_Table,13,FALSE))),"")</f>
        <v/>
      </c>
    </row>
    <row r="169" spans="1:18" ht="15" x14ac:dyDescent="0.2">
      <c r="A169" s="150" t="s">
        <v>1226</v>
      </c>
      <c r="B169" s="9" t="s">
        <v>3290</v>
      </c>
      <c r="C169" s="9" t="s">
        <v>3291</v>
      </c>
      <c r="D169" s="252">
        <v>0.65</v>
      </c>
      <c r="E169" s="221">
        <v>333</v>
      </c>
      <c r="F169" s="246">
        <v>320</v>
      </c>
      <c r="G169" s="247">
        <v>139</v>
      </c>
      <c r="H169" s="248">
        <v>201</v>
      </c>
      <c r="I169" s="249">
        <v>344</v>
      </c>
      <c r="J169" s="122" t="b">
        <f>IF(ISBLANK(CertifiedCrop[[#This Row],[1. Identifiant interne d’exploitation agricole*]]),"",IF(ISERROR(MATCH(CertifiedCrop[[#This Row],[1. Identifiant interne d’exploitation agricole*]],GroupMember[1. Identifiant interne d’exploitation agricole*],0)),FALSE,TRUE))</f>
        <v>1</v>
      </c>
      <c r="K169" s="122" t="b">
        <f t="array" ref="K169">IF(ISBLANK(CertifiedCrop[[#This Row],[2. Produit agricole certifié*]]),"",IF(ISERROR(MATCH(1,(#REF!=CertifiedCrop[[#This Row],[2. Produit agricole certifié*]])*(#REF!=CertifiedCrop[[#This Row],[3. Variété**]]),0)),FALSE,TRUE))</f>
        <v>0</v>
      </c>
      <c r="L169" s="20" t="str">
        <f t="shared" si="10"/>
        <v/>
      </c>
      <c r="M169" s="54" t="str">
        <f t="shared" si="11"/>
        <v>!</v>
      </c>
      <c r="N169" s="54" t="str">
        <f t="shared" si="12"/>
        <v>!</v>
      </c>
      <c r="O169" s="55">
        <f t="shared" si="13"/>
        <v>512.30769230769226</v>
      </c>
      <c r="P169" s="55">
        <f t="shared" si="14"/>
        <v>492.30769230769226</v>
      </c>
      <c r="Q169" s="9" t="str">
        <f ca="1">IFERROR((VLOOKUP(A169,GM_Table,8,FALSE)-SUMIFS(D:D,A:A,A169,B:B,B169,C:C,C169)),"")</f>
        <v/>
      </c>
      <c r="R169" s="9" t="str">
        <f ca="1">IFERROR(CONCATENATE(VLOOKUP(A169,GM_Table,12,FALSE)," ",(VLOOKUP(A169,GM_Table,13,FALSE))),"")</f>
        <v/>
      </c>
    </row>
    <row r="170" spans="1:18" ht="15" x14ac:dyDescent="0.2">
      <c r="A170" s="150" t="s">
        <v>1229</v>
      </c>
      <c r="B170" s="9" t="s">
        <v>3290</v>
      </c>
      <c r="C170" s="9" t="s">
        <v>3291</v>
      </c>
      <c r="D170" s="252">
        <v>2.42</v>
      </c>
      <c r="E170" s="245">
        <v>1483</v>
      </c>
      <c r="F170" s="246">
        <v>1384</v>
      </c>
      <c r="G170" s="247">
        <v>1084</v>
      </c>
      <c r="H170" s="248">
        <v>1384</v>
      </c>
      <c r="I170" s="249">
        <v>965</v>
      </c>
      <c r="J170" s="122" t="b">
        <f>IF(ISBLANK(CertifiedCrop[[#This Row],[1. Identifiant interne d’exploitation agricole*]]),"",IF(ISERROR(MATCH(CertifiedCrop[[#This Row],[1. Identifiant interne d’exploitation agricole*]],GroupMember[1. Identifiant interne d’exploitation agricole*],0)),FALSE,TRUE))</f>
        <v>1</v>
      </c>
      <c r="K170" s="122" t="b">
        <f t="array" ref="K170">IF(ISBLANK(CertifiedCrop[[#This Row],[2. Produit agricole certifié*]]),"",IF(ISERROR(MATCH(1,(#REF!=CertifiedCrop[[#This Row],[2. Produit agricole certifié*]])*(#REF!=CertifiedCrop[[#This Row],[3. Variété**]]),0)),FALSE,TRUE))</f>
        <v>0</v>
      </c>
      <c r="L170" s="20" t="str">
        <f t="shared" si="10"/>
        <v/>
      </c>
      <c r="M170" s="54" t="str">
        <f t="shared" si="11"/>
        <v>!</v>
      </c>
      <c r="N170" s="54" t="str">
        <f t="shared" si="12"/>
        <v/>
      </c>
      <c r="O170" s="55">
        <f t="shared" si="13"/>
        <v>612.80991735537191</v>
      </c>
      <c r="P170" s="55">
        <f t="shared" si="14"/>
        <v>571.90082644628103</v>
      </c>
      <c r="Q170" s="9" t="str">
        <f ca="1">IFERROR((VLOOKUP(A170,GM_Table,8,FALSE)-SUMIFS(D:D,A:A,A170,B:B,B170,C:C,C170)),"")</f>
        <v/>
      </c>
      <c r="R170" s="9" t="str">
        <f ca="1">IFERROR(CONCATENATE(VLOOKUP(A170,GM_Table,12,FALSE)," ",(VLOOKUP(A170,GM_Table,13,FALSE))),"")</f>
        <v/>
      </c>
    </row>
    <row r="171" spans="1:18" ht="15" x14ac:dyDescent="0.2">
      <c r="A171" s="150" t="s">
        <v>1232</v>
      </c>
      <c r="B171" s="9" t="s">
        <v>3290</v>
      </c>
      <c r="C171" s="9" t="s">
        <v>3291</v>
      </c>
      <c r="D171" s="252">
        <v>1.38</v>
      </c>
      <c r="E171" s="221">
        <v>836</v>
      </c>
      <c r="F171" s="246">
        <v>772</v>
      </c>
      <c r="G171" s="247">
        <v>772</v>
      </c>
      <c r="H171" s="248">
        <v>659</v>
      </c>
      <c r="I171" s="249">
        <v>605</v>
      </c>
      <c r="J171" s="122" t="b">
        <f>IF(ISBLANK(CertifiedCrop[[#This Row],[1. Identifiant interne d’exploitation agricole*]]),"",IF(ISERROR(MATCH(CertifiedCrop[[#This Row],[1. Identifiant interne d’exploitation agricole*]],GroupMember[1. Identifiant interne d’exploitation agricole*],0)),FALSE,TRUE))</f>
        <v>1</v>
      </c>
      <c r="K171" s="122" t="b">
        <f t="array" ref="K171">IF(ISBLANK(CertifiedCrop[[#This Row],[2. Produit agricole certifié*]]),"",IF(ISERROR(MATCH(1,(#REF!=CertifiedCrop[[#This Row],[2. Produit agricole certifié*]])*(#REF!=CertifiedCrop[[#This Row],[3. Variété**]]),0)),FALSE,TRUE))</f>
        <v>0</v>
      </c>
      <c r="L171" s="20" t="str">
        <f t="shared" si="10"/>
        <v/>
      </c>
      <c r="M171" s="54" t="str">
        <f t="shared" si="11"/>
        <v/>
      </c>
      <c r="N171" s="54" t="str">
        <f t="shared" si="12"/>
        <v/>
      </c>
      <c r="O171" s="55">
        <f t="shared" si="13"/>
        <v>605.79710144927537</v>
      </c>
      <c r="P171" s="55">
        <f t="shared" si="14"/>
        <v>559.4202898550725</v>
      </c>
      <c r="Q171" s="9" t="str">
        <f ca="1">IFERROR((VLOOKUP(A171,GM_Table,8,FALSE)-SUMIFS(D:D,A:A,A171,B:B,B171,C:C,C171)),"")</f>
        <v/>
      </c>
      <c r="R171" s="9" t="str">
        <f ca="1">IFERROR(CONCATENATE(VLOOKUP(A171,GM_Table,12,FALSE)," ",(VLOOKUP(A171,GM_Table,13,FALSE))),"")</f>
        <v/>
      </c>
    </row>
    <row r="172" spans="1:18" ht="15" x14ac:dyDescent="0.2">
      <c r="A172" s="150" t="s">
        <v>1235</v>
      </c>
      <c r="B172" s="9" t="s">
        <v>3290</v>
      </c>
      <c r="C172" s="9" t="s">
        <v>3291</v>
      </c>
      <c r="D172" s="252">
        <v>1.05</v>
      </c>
      <c r="E172" s="221">
        <v>603</v>
      </c>
      <c r="F172" s="246">
        <v>600</v>
      </c>
      <c r="G172" s="247">
        <v>362</v>
      </c>
      <c r="H172" s="248">
        <v>450</v>
      </c>
      <c r="I172" s="249">
        <v>501</v>
      </c>
      <c r="J172" s="122" t="b">
        <f>IF(ISBLANK(CertifiedCrop[[#This Row],[1. Identifiant interne d’exploitation agricole*]]),"",IF(ISERROR(MATCH(CertifiedCrop[[#This Row],[1. Identifiant interne d’exploitation agricole*]],GroupMember[1. Identifiant interne d’exploitation agricole*],0)),FALSE,TRUE))</f>
        <v>1</v>
      </c>
      <c r="K172" s="122" t="b">
        <f t="array" ref="K172">IF(ISBLANK(CertifiedCrop[[#This Row],[2. Produit agricole certifié*]]),"",IF(ISERROR(MATCH(1,(#REF!=CertifiedCrop[[#This Row],[2. Produit agricole certifié*]])*(#REF!=CertifiedCrop[[#This Row],[3. Variété**]]),0)),FALSE,TRUE))</f>
        <v>0</v>
      </c>
      <c r="L172" s="20" t="str">
        <f t="shared" si="10"/>
        <v/>
      </c>
      <c r="M172" s="54" t="str">
        <f t="shared" si="11"/>
        <v>!</v>
      </c>
      <c r="N172" s="54" t="str">
        <f t="shared" si="12"/>
        <v/>
      </c>
      <c r="O172" s="55">
        <f t="shared" si="13"/>
        <v>574.28571428571422</v>
      </c>
      <c r="P172" s="55">
        <f t="shared" si="14"/>
        <v>571.42857142857144</v>
      </c>
      <c r="Q172" s="9" t="str">
        <f ca="1">IFERROR((VLOOKUP(A172,GM_Table,8,FALSE)-SUMIFS(D:D,A:A,A172,B:B,B172,C:C,C172)),"")</f>
        <v/>
      </c>
      <c r="R172" s="9" t="str">
        <f ca="1">IFERROR(CONCATENATE(VLOOKUP(A172,GM_Table,12,FALSE)," ",(VLOOKUP(A172,GM_Table,13,FALSE))),"")</f>
        <v/>
      </c>
    </row>
    <row r="173" spans="1:18" ht="15" x14ac:dyDescent="0.2">
      <c r="A173" s="150" t="s">
        <v>1238</v>
      </c>
      <c r="B173" s="9" t="s">
        <v>3290</v>
      </c>
      <c r="C173" s="9" t="s">
        <v>3291</v>
      </c>
      <c r="D173" s="252">
        <v>1.91</v>
      </c>
      <c r="E173" s="245">
        <v>1124</v>
      </c>
      <c r="F173" s="246">
        <v>1084</v>
      </c>
      <c r="G173" s="247">
        <v>689</v>
      </c>
      <c r="H173" s="248">
        <v>873</v>
      </c>
      <c r="I173" s="249">
        <v>947</v>
      </c>
      <c r="J173" s="122" t="b">
        <f>IF(ISBLANK(CertifiedCrop[[#This Row],[1. Identifiant interne d’exploitation agricole*]]),"",IF(ISERROR(MATCH(CertifiedCrop[[#This Row],[1. Identifiant interne d’exploitation agricole*]],GroupMember[1. Identifiant interne d’exploitation agricole*],0)),FALSE,TRUE))</f>
        <v>1</v>
      </c>
      <c r="K173" s="122" t="b">
        <f t="array" ref="K173">IF(ISBLANK(CertifiedCrop[[#This Row],[2. Produit agricole certifié*]]),"",IF(ISERROR(MATCH(1,(#REF!=CertifiedCrop[[#This Row],[2. Produit agricole certifié*]])*(#REF!=CertifiedCrop[[#This Row],[3. Variété**]]),0)),FALSE,TRUE))</f>
        <v>0</v>
      </c>
      <c r="L173" s="20" t="str">
        <f t="shared" si="10"/>
        <v/>
      </c>
      <c r="M173" s="54" t="str">
        <f t="shared" si="11"/>
        <v>!</v>
      </c>
      <c r="N173" s="54" t="str">
        <f t="shared" si="12"/>
        <v/>
      </c>
      <c r="O173" s="55">
        <f t="shared" si="13"/>
        <v>588.48167539267013</v>
      </c>
      <c r="P173" s="55">
        <f t="shared" si="14"/>
        <v>567.53926701570686</v>
      </c>
      <c r="Q173" s="9" t="str">
        <f ca="1">IFERROR((VLOOKUP(A173,GM_Table,8,FALSE)-SUMIFS(D:D,A:A,A173,B:B,B173,C:C,C173)),"")</f>
        <v/>
      </c>
      <c r="R173" s="9" t="str">
        <f ca="1">IFERROR(CONCATENATE(VLOOKUP(A173,GM_Table,12,FALSE)," ",(VLOOKUP(A173,GM_Table,13,FALSE))),"")</f>
        <v/>
      </c>
    </row>
    <row r="174" spans="1:18" ht="15" x14ac:dyDescent="0.2">
      <c r="A174" s="150" t="s">
        <v>1241</v>
      </c>
      <c r="B174" s="9" t="s">
        <v>3290</v>
      </c>
      <c r="C174" s="9" t="s">
        <v>3291</v>
      </c>
      <c r="D174" s="252">
        <v>1.62</v>
      </c>
      <c r="E174" s="221">
        <v>910</v>
      </c>
      <c r="F174" s="246">
        <v>900</v>
      </c>
      <c r="G174" s="247">
        <v>731</v>
      </c>
      <c r="H174" s="248">
        <v>1003</v>
      </c>
      <c r="I174" s="249">
        <v>818</v>
      </c>
      <c r="J174" s="122" t="b">
        <f>IF(ISBLANK(CertifiedCrop[[#This Row],[1. Identifiant interne d’exploitation agricole*]]),"",IF(ISERROR(MATCH(CertifiedCrop[[#This Row],[1. Identifiant interne d’exploitation agricole*]],GroupMember[1. Identifiant interne d’exploitation agricole*],0)),FALSE,TRUE))</f>
        <v>1</v>
      </c>
      <c r="K174" s="122" t="b">
        <f t="array" ref="K174">IF(ISBLANK(CertifiedCrop[[#This Row],[2. Produit agricole certifié*]]),"",IF(ISERROR(MATCH(1,(#REF!=CertifiedCrop[[#This Row],[2. Produit agricole certifié*]])*(#REF!=CertifiedCrop[[#This Row],[3. Variété**]]),0)),FALSE,TRUE))</f>
        <v>0</v>
      </c>
      <c r="L174" s="20" t="str">
        <f t="shared" si="10"/>
        <v/>
      </c>
      <c r="M174" s="54" t="str">
        <f t="shared" si="11"/>
        <v/>
      </c>
      <c r="N174" s="54" t="str">
        <f t="shared" si="12"/>
        <v>!</v>
      </c>
      <c r="O174" s="55">
        <f t="shared" si="13"/>
        <v>561.72839506172841</v>
      </c>
      <c r="P174" s="55">
        <f t="shared" si="14"/>
        <v>555.55555555555554</v>
      </c>
      <c r="Q174" s="9" t="str">
        <f ca="1">IFERROR((VLOOKUP(A174,GM_Table,8,FALSE)-SUMIFS(D:D,A:A,A174,B:B,B174,C:C,C174)),"")</f>
        <v/>
      </c>
      <c r="R174" s="9" t="str">
        <f ca="1">IFERROR(CONCATENATE(VLOOKUP(A174,GM_Table,12,FALSE)," ",(VLOOKUP(A174,GM_Table,13,FALSE))),"")</f>
        <v/>
      </c>
    </row>
    <row r="175" spans="1:18" ht="15" x14ac:dyDescent="0.2">
      <c r="A175" s="150" t="s">
        <v>1243</v>
      </c>
      <c r="B175" s="9" t="s">
        <v>3290</v>
      </c>
      <c r="C175" s="9" t="s">
        <v>3291</v>
      </c>
      <c r="D175" s="252">
        <v>1.63</v>
      </c>
      <c r="E175" s="221">
        <v>943</v>
      </c>
      <c r="F175" s="246">
        <v>900</v>
      </c>
      <c r="G175" s="247">
        <v>487</v>
      </c>
      <c r="H175" s="248">
        <v>861</v>
      </c>
      <c r="I175" s="249">
        <v>899</v>
      </c>
      <c r="J175" s="122" t="b">
        <f>IF(ISBLANK(CertifiedCrop[[#This Row],[1. Identifiant interne d’exploitation agricole*]]),"",IF(ISERROR(MATCH(CertifiedCrop[[#This Row],[1. Identifiant interne d’exploitation agricole*]],GroupMember[1. Identifiant interne d’exploitation agricole*],0)),FALSE,TRUE))</f>
        <v>1</v>
      </c>
      <c r="K175" s="122" t="b">
        <f t="array" ref="K175">IF(ISBLANK(CertifiedCrop[[#This Row],[2. Produit agricole certifié*]]),"",IF(ISERROR(MATCH(1,(#REF!=CertifiedCrop[[#This Row],[2. Produit agricole certifié*]])*(#REF!=CertifiedCrop[[#This Row],[3. Variété**]]),0)),FALSE,TRUE))</f>
        <v>0</v>
      </c>
      <c r="L175" s="20" t="str">
        <f t="shared" si="10"/>
        <v/>
      </c>
      <c r="M175" s="54" t="str">
        <f t="shared" si="11"/>
        <v>!</v>
      </c>
      <c r="N175" s="54" t="str">
        <f t="shared" si="12"/>
        <v>!</v>
      </c>
      <c r="O175" s="55">
        <f t="shared" si="13"/>
        <v>578.52760736196319</v>
      </c>
      <c r="P175" s="55">
        <f t="shared" si="14"/>
        <v>552.14723926380373</v>
      </c>
      <c r="Q175" s="9" t="str">
        <f ca="1">IFERROR((VLOOKUP(A175,GM_Table,8,FALSE)-SUMIFS(D:D,A:A,A175,B:B,B175,C:C,C175)),"")</f>
        <v/>
      </c>
      <c r="R175" s="9" t="str">
        <f ca="1">IFERROR(CONCATENATE(VLOOKUP(A175,GM_Table,12,FALSE)," ",(VLOOKUP(A175,GM_Table,13,FALSE))),"")</f>
        <v/>
      </c>
    </row>
    <row r="176" spans="1:18" ht="15" x14ac:dyDescent="0.2">
      <c r="A176" s="150" t="s">
        <v>1245</v>
      </c>
      <c r="B176" s="9" t="s">
        <v>3290</v>
      </c>
      <c r="C176" s="9" t="s">
        <v>3291</v>
      </c>
      <c r="D176" s="252">
        <v>2</v>
      </c>
      <c r="E176" s="245">
        <v>1181</v>
      </c>
      <c r="F176" s="246">
        <v>1170</v>
      </c>
      <c r="G176" s="247">
        <v>1170</v>
      </c>
      <c r="H176" s="248">
        <v>931</v>
      </c>
      <c r="I176" s="249">
        <v>1034</v>
      </c>
      <c r="J176" s="122" t="b">
        <f>IF(ISBLANK(CertifiedCrop[[#This Row],[1. Identifiant interne d’exploitation agricole*]]),"",IF(ISERROR(MATCH(CertifiedCrop[[#This Row],[1. Identifiant interne d’exploitation agricole*]],GroupMember[1. Identifiant interne d’exploitation agricole*],0)),FALSE,TRUE))</f>
        <v>1</v>
      </c>
      <c r="K176" s="122" t="b">
        <f t="array" ref="K176">IF(ISBLANK(CertifiedCrop[[#This Row],[2. Produit agricole certifié*]]),"",IF(ISERROR(MATCH(1,(#REF!=CertifiedCrop[[#This Row],[2. Produit agricole certifié*]])*(#REF!=CertifiedCrop[[#This Row],[3. Variété**]]),0)),FALSE,TRUE))</f>
        <v>0</v>
      </c>
      <c r="L176" s="20" t="str">
        <f t="shared" si="10"/>
        <v/>
      </c>
      <c r="M176" s="54" t="str">
        <f t="shared" si="11"/>
        <v/>
      </c>
      <c r="N176" s="54" t="str">
        <f t="shared" si="12"/>
        <v>!</v>
      </c>
      <c r="O176" s="55">
        <f t="shared" si="13"/>
        <v>590.5</v>
      </c>
      <c r="P176" s="55">
        <f t="shared" si="14"/>
        <v>585</v>
      </c>
      <c r="Q176" s="9" t="str">
        <f ca="1">IFERROR((VLOOKUP(A176,GM_Table,8,FALSE)-SUMIFS(D:D,A:A,A176,B:B,B176,C:C,C176)),"")</f>
        <v/>
      </c>
      <c r="R176" s="9" t="str">
        <f ca="1">IFERROR(CONCATENATE(VLOOKUP(A176,GM_Table,12,FALSE)," ",(VLOOKUP(A176,GM_Table,13,FALSE))),"")</f>
        <v/>
      </c>
    </row>
    <row r="177" spans="1:18" ht="15" x14ac:dyDescent="0.2">
      <c r="A177" s="150" t="s">
        <v>1247</v>
      </c>
      <c r="B177" s="9" t="s">
        <v>3290</v>
      </c>
      <c r="C177" s="9" t="s">
        <v>3291</v>
      </c>
      <c r="D177" s="252">
        <v>1.51</v>
      </c>
      <c r="E177" s="221">
        <v>833</v>
      </c>
      <c r="F177" s="246">
        <v>800</v>
      </c>
      <c r="G177" s="247">
        <v>633</v>
      </c>
      <c r="H177" s="248">
        <v>760</v>
      </c>
      <c r="I177" s="249">
        <v>769</v>
      </c>
      <c r="J177" s="122" t="b">
        <f>IF(ISBLANK(CertifiedCrop[[#This Row],[1. Identifiant interne d’exploitation agricole*]]),"",IF(ISERROR(MATCH(CertifiedCrop[[#This Row],[1. Identifiant interne d’exploitation agricole*]],GroupMember[1. Identifiant interne d’exploitation agricole*],0)),FALSE,TRUE))</f>
        <v>1</v>
      </c>
      <c r="K177" s="122" t="b">
        <f t="array" ref="K177">IF(ISBLANK(CertifiedCrop[[#This Row],[2. Produit agricole certifié*]]),"",IF(ISERROR(MATCH(1,(#REF!=CertifiedCrop[[#This Row],[2. Produit agricole certifié*]])*(#REF!=CertifiedCrop[[#This Row],[3. Variété**]]),0)),FALSE,TRUE))</f>
        <v>0</v>
      </c>
      <c r="L177" s="20" t="str">
        <f t="shared" si="10"/>
        <v/>
      </c>
      <c r="M177" s="54" t="str">
        <f t="shared" si="11"/>
        <v>!</v>
      </c>
      <c r="N177" s="54" t="str">
        <f t="shared" si="12"/>
        <v/>
      </c>
      <c r="O177" s="55">
        <f t="shared" si="13"/>
        <v>551.65562913907286</v>
      </c>
      <c r="P177" s="55">
        <f t="shared" si="14"/>
        <v>529.80132450331121</v>
      </c>
      <c r="Q177" s="9" t="str">
        <f ca="1">IFERROR((VLOOKUP(A177,GM_Table,8,FALSE)-SUMIFS(D:D,A:A,A177,B:B,B177,C:C,C177)),"")</f>
        <v/>
      </c>
      <c r="R177" s="9" t="str">
        <f ca="1">IFERROR(CONCATENATE(VLOOKUP(A177,GM_Table,12,FALSE)," ",(VLOOKUP(A177,GM_Table,13,FALSE))),"")</f>
        <v/>
      </c>
    </row>
    <row r="178" spans="1:18" ht="15" x14ac:dyDescent="0.2">
      <c r="A178" s="150" t="s">
        <v>1249</v>
      </c>
      <c r="B178" s="9" t="s">
        <v>3290</v>
      </c>
      <c r="C178" s="9" t="s">
        <v>3291</v>
      </c>
      <c r="D178" s="252">
        <v>6.22</v>
      </c>
      <c r="E178" s="245">
        <v>3430</v>
      </c>
      <c r="F178" s="246">
        <v>3269</v>
      </c>
      <c r="G178" s="247">
        <v>2445</v>
      </c>
      <c r="H178" s="248">
        <v>3061</v>
      </c>
      <c r="I178" s="249">
        <v>3275</v>
      </c>
      <c r="J178" s="122" t="b">
        <f>IF(ISBLANK(CertifiedCrop[[#This Row],[1. Identifiant interne d’exploitation agricole*]]),"",IF(ISERROR(MATCH(CertifiedCrop[[#This Row],[1. Identifiant interne d’exploitation agricole*]],GroupMember[1. Identifiant interne d’exploitation agricole*],0)),FALSE,TRUE))</f>
        <v>1</v>
      </c>
      <c r="K178" s="122" t="b">
        <f t="array" ref="K178">IF(ISBLANK(CertifiedCrop[[#This Row],[2. Produit agricole certifié*]]),"",IF(ISERROR(MATCH(1,(#REF!=CertifiedCrop[[#This Row],[2. Produit agricole certifié*]])*(#REF!=CertifiedCrop[[#This Row],[3. Variété**]]),0)),FALSE,TRUE))</f>
        <v>0</v>
      </c>
      <c r="L178" s="20" t="str">
        <f t="shared" si="10"/>
        <v/>
      </c>
      <c r="M178" s="54" t="str">
        <f t="shared" si="11"/>
        <v>!</v>
      </c>
      <c r="N178" s="54" t="str">
        <f t="shared" si="12"/>
        <v/>
      </c>
      <c r="O178" s="55">
        <f t="shared" si="13"/>
        <v>551.4469453376206</v>
      </c>
      <c r="P178" s="55">
        <f t="shared" si="14"/>
        <v>525.56270096463027</v>
      </c>
      <c r="Q178" s="9" t="str">
        <f ca="1">IFERROR((VLOOKUP(A178,GM_Table,8,FALSE)-SUMIFS(D:D,A:A,A178,B:B,B178,C:C,C178)),"")</f>
        <v/>
      </c>
      <c r="R178" s="9" t="str">
        <f ca="1">IFERROR(CONCATENATE(VLOOKUP(A178,GM_Table,12,FALSE)," ",(VLOOKUP(A178,GM_Table,13,FALSE))),"")</f>
        <v/>
      </c>
    </row>
    <row r="179" spans="1:18" ht="15" x14ac:dyDescent="0.2">
      <c r="A179" s="150" t="s">
        <v>1252</v>
      </c>
      <c r="B179" s="9" t="s">
        <v>3290</v>
      </c>
      <c r="C179" s="9" t="s">
        <v>3291</v>
      </c>
      <c r="D179" s="252">
        <v>1.42</v>
      </c>
      <c r="E179" s="221">
        <v>782</v>
      </c>
      <c r="F179" s="246">
        <v>738</v>
      </c>
      <c r="G179" s="247">
        <v>738</v>
      </c>
      <c r="H179" s="248">
        <v>703</v>
      </c>
      <c r="I179" s="249">
        <v>701</v>
      </c>
      <c r="J179" s="122" t="b">
        <f>IF(ISBLANK(CertifiedCrop[[#This Row],[1. Identifiant interne d’exploitation agricole*]]),"",IF(ISERROR(MATCH(CertifiedCrop[[#This Row],[1. Identifiant interne d’exploitation agricole*]],GroupMember[1. Identifiant interne d’exploitation agricole*],0)),FALSE,TRUE))</f>
        <v>1</v>
      </c>
      <c r="K179" s="122" t="b">
        <f t="array" ref="K179">IF(ISBLANK(CertifiedCrop[[#This Row],[2. Produit agricole certifié*]]),"",IF(ISERROR(MATCH(1,(#REF!=CertifiedCrop[[#This Row],[2. Produit agricole certifié*]])*(#REF!=CertifiedCrop[[#This Row],[3. Variété**]]),0)),FALSE,TRUE))</f>
        <v>0</v>
      </c>
      <c r="L179" s="20" t="str">
        <f t="shared" ref="L179:L242" si="15">IF((F179-G179)&lt;0,"!","")</f>
        <v/>
      </c>
      <c r="M179" s="54" t="str">
        <f t="shared" ref="M179:M242" si="16">IFERROR(IF((F179-G179)/G179&gt;25%,"!",IF((F179-G179)/G179&lt;-25%,"!","")),"")</f>
        <v/>
      </c>
      <c r="N179" s="54" t="str">
        <f t="shared" ref="N179:N242" si="17">IFERROR(IF((G179-H179)/H179&gt;25%,"!",IF((G179-H179)/H179&lt;-25%,"!","")),"")</f>
        <v/>
      </c>
      <c r="O179" s="55">
        <f t="shared" ref="O179:O242" si="18">IFERROR(E179/D179,"")</f>
        <v>550.70422535211276</v>
      </c>
      <c r="P179" s="55">
        <f t="shared" ref="P179:P242" si="19">IFERROR(F179/D179,"")</f>
        <v>519.71830985915494</v>
      </c>
      <c r="Q179" s="9" t="str">
        <f ca="1">IFERROR((VLOOKUP(A179,GM_Table,8,FALSE)-SUMIFS(D:D,A:A,A179,B:B,B179,C:C,C179)),"")</f>
        <v/>
      </c>
      <c r="R179" s="9" t="str">
        <f ca="1">IFERROR(CONCATENATE(VLOOKUP(A179,GM_Table,12,FALSE)," ",(VLOOKUP(A179,GM_Table,13,FALSE))),"")</f>
        <v/>
      </c>
    </row>
    <row r="180" spans="1:18" ht="15" x14ac:dyDescent="0.2">
      <c r="A180" s="150" t="s">
        <v>1255</v>
      </c>
      <c r="B180" s="9" t="s">
        <v>3290</v>
      </c>
      <c r="C180" s="9" t="s">
        <v>3291</v>
      </c>
      <c r="D180" s="252">
        <v>1.89</v>
      </c>
      <c r="E180" s="245">
        <v>1082</v>
      </c>
      <c r="F180" s="246">
        <v>1045</v>
      </c>
      <c r="G180" s="247">
        <v>951</v>
      </c>
      <c r="H180" s="248">
        <v>608</v>
      </c>
      <c r="I180" s="249">
        <v>932</v>
      </c>
      <c r="J180" s="122" t="b">
        <f>IF(ISBLANK(CertifiedCrop[[#This Row],[1. Identifiant interne d’exploitation agricole*]]),"",IF(ISERROR(MATCH(CertifiedCrop[[#This Row],[1. Identifiant interne d’exploitation agricole*]],GroupMember[1. Identifiant interne d’exploitation agricole*],0)),FALSE,TRUE))</f>
        <v>1</v>
      </c>
      <c r="K180" s="122" t="b">
        <f t="array" ref="K180">IF(ISBLANK(CertifiedCrop[[#This Row],[2. Produit agricole certifié*]]),"",IF(ISERROR(MATCH(1,(#REF!=CertifiedCrop[[#This Row],[2. Produit agricole certifié*]])*(#REF!=CertifiedCrop[[#This Row],[3. Variété**]]),0)),FALSE,TRUE))</f>
        <v>0</v>
      </c>
      <c r="L180" s="20" t="str">
        <f t="shared" si="15"/>
        <v/>
      </c>
      <c r="M180" s="54" t="str">
        <f t="shared" si="16"/>
        <v/>
      </c>
      <c r="N180" s="54" t="str">
        <f t="shared" si="17"/>
        <v>!</v>
      </c>
      <c r="O180" s="55">
        <f t="shared" si="18"/>
        <v>572.48677248677257</v>
      </c>
      <c r="P180" s="55">
        <f t="shared" si="19"/>
        <v>552.91005291005297</v>
      </c>
      <c r="Q180" s="9" t="str">
        <f ca="1">IFERROR((VLOOKUP(A180,GM_Table,8,FALSE)-SUMIFS(D:D,A:A,A180,B:B,B180,C:C,C180)),"")</f>
        <v/>
      </c>
      <c r="R180" s="9" t="str">
        <f ca="1">IFERROR(CONCATENATE(VLOOKUP(A180,GM_Table,12,FALSE)," ",(VLOOKUP(A180,GM_Table,13,FALSE))),"")</f>
        <v/>
      </c>
    </row>
    <row r="181" spans="1:18" ht="15" x14ac:dyDescent="0.2">
      <c r="A181" s="150" t="s">
        <v>1258</v>
      </c>
      <c r="B181" s="9" t="s">
        <v>3290</v>
      </c>
      <c r="C181" s="9" t="s">
        <v>3291</v>
      </c>
      <c r="D181" s="252">
        <v>1.68</v>
      </c>
      <c r="E181" s="245">
        <v>1055</v>
      </c>
      <c r="F181" s="246">
        <v>989</v>
      </c>
      <c r="G181" s="247">
        <v>248</v>
      </c>
      <c r="H181" s="248">
        <v>660</v>
      </c>
      <c r="I181" s="249">
        <v>812</v>
      </c>
      <c r="J181" s="122" t="b">
        <f>IF(ISBLANK(CertifiedCrop[[#This Row],[1. Identifiant interne d’exploitation agricole*]]),"",IF(ISERROR(MATCH(CertifiedCrop[[#This Row],[1. Identifiant interne d’exploitation agricole*]],GroupMember[1. Identifiant interne d’exploitation agricole*],0)),FALSE,TRUE))</f>
        <v>1</v>
      </c>
      <c r="K181" s="122" t="b">
        <f t="array" ref="K181">IF(ISBLANK(CertifiedCrop[[#This Row],[2. Produit agricole certifié*]]),"",IF(ISERROR(MATCH(1,(#REF!=CertifiedCrop[[#This Row],[2. Produit agricole certifié*]])*(#REF!=CertifiedCrop[[#This Row],[3. Variété**]]),0)),FALSE,TRUE))</f>
        <v>0</v>
      </c>
      <c r="L181" s="20" t="str">
        <f t="shared" si="15"/>
        <v/>
      </c>
      <c r="M181" s="54" t="str">
        <f t="shared" si="16"/>
        <v>!</v>
      </c>
      <c r="N181" s="54" t="str">
        <f t="shared" si="17"/>
        <v>!</v>
      </c>
      <c r="O181" s="55">
        <f t="shared" si="18"/>
        <v>627.97619047619048</v>
      </c>
      <c r="P181" s="55">
        <f t="shared" si="19"/>
        <v>588.69047619047626</v>
      </c>
      <c r="Q181" s="9" t="str">
        <f ca="1">IFERROR((VLOOKUP(A181,GM_Table,8,FALSE)-SUMIFS(D:D,A:A,A181,B:B,B181,C:C,C181)),"")</f>
        <v/>
      </c>
      <c r="R181" s="9" t="str">
        <f ca="1">IFERROR(CONCATENATE(VLOOKUP(A181,GM_Table,12,FALSE)," ",(VLOOKUP(A181,GM_Table,13,FALSE))),"")</f>
        <v/>
      </c>
    </row>
    <row r="182" spans="1:18" ht="15" x14ac:dyDescent="0.2">
      <c r="A182" s="150" t="s">
        <v>1260</v>
      </c>
      <c r="B182" s="9" t="s">
        <v>3290</v>
      </c>
      <c r="C182" s="9" t="s">
        <v>3291</v>
      </c>
      <c r="D182" s="252">
        <v>1.1200000000000001</v>
      </c>
      <c r="E182" s="221">
        <v>606</v>
      </c>
      <c r="F182" s="246">
        <v>600</v>
      </c>
      <c r="G182" s="247">
        <v>546</v>
      </c>
      <c r="H182" s="248">
        <v>294</v>
      </c>
      <c r="I182" s="249">
        <v>592</v>
      </c>
      <c r="J182" s="122" t="b">
        <f>IF(ISBLANK(CertifiedCrop[[#This Row],[1. Identifiant interne d’exploitation agricole*]]),"",IF(ISERROR(MATCH(CertifiedCrop[[#This Row],[1. Identifiant interne d’exploitation agricole*]],GroupMember[1. Identifiant interne d’exploitation agricole*],0)),FALSE,TRUE))</f>
        <v>1</v>
      </c>
      <c r="K182" s="122" t="b">
        <f t="array" ref="K182">IF(ISBLANK(CertifiedCrop[[#This Row],[2. Produit agricole certifié*]]),"",IF(ISERROR(MATCH(1,(#REF!=CertifiedCrop[[#This Row],[2. Produit agricole certifié*]])*(#REF!=CertifiedCrop[[#This Row],[3. Variété**]]),0)),FALSE,TRUE))</f>
        <v>0</v>
      </c>
      <c r="L182" s="20" t="str">
        <f t="shared" si="15"/>
        <v/>
      </c>
      <c r="M182" s="54" t="str">
        <f t="shared" si="16"/>
        <v/>
      </c>
      <c r="N182" s="54" t="str">
        <f t="shared" si="17"/>
        <v>!</v>
      </c>
      <c r="O182" s="55">
        <f t="shared" si="18"/>
        <v>541.07142857142856</v>
      </c>
      <c r="P182" s="55">
        <f t="shared" si="19"/>
        <v>535.71428571428567</v>
      </c>
      <c r="Q182" s="9" t="str">
        <f ca="1">IFERROR((VLOOKUP(A182,GM_Table,8,FALSE)-SUMIFS(D:D,A:A,A182,B:B,B182,C:C,C182)),"")</f>
        <v/>
      </c>
      <c r="R182" s="9" t="str">
        <f ca="1">IFERROR(CONCATENATE(VLOOKUP(A182,GM_Table,12,FALSE)," ",(VLOOKUP(A182,GM_Table,13,FALSE))),"")</f>
        <v/>
      </c>
    </row>
    <row r="183" spans="1:18" ht="15" x14ac:dyDescent="0.2">
      <c r="A183" s="150" t="s">
        <v>1263</v>
      </c>
      <c r="B183" s="9" t="s">
        <v>3290</v>
      </c>
      <c r="C183" s="9" t="s">
        <v>3291</v>
      </c>
      <c r="D183" s="252">
        <v>1.57</v>
      </c>
      <c r="E183" s="221">
        <v>844</v>
      </c>
      <c r="F183" s="246">
        <v>825</v>
      </c>
      <c r="G183" s="247">
        <v>763</v>
      </c>
      <c r="H183" s="248">
        <v>720</v>
      </c>
      <c r="I183" s="249">
        <v>854</v>
      </c>
      <c r="J183" s="122" t="b">
        <f>IF(ISBLANK(CertifiedCrop[[#This Row],[1. Identifiant interne d’exploitation agricole*]]),"",IF(ISERROR(MATCH(CertifiedCrop[[#This Row],[1. Identifiant interne d’exploitation agricole*]],GroupMember[1. Identifiant interne d’exploitation agricole*],0)),FALSE,TRUE))</f>
        <v>1</v>
      </c>
      <c r="K183" s="122" t="b">
        <f t="array" ref="K183">IF(ISBLANK(CertifiedCrop[[#This Row],[2. Produit agricole certifié*]]),"",IF(ISERROR(MATCH(1,(#REF!=CertifiedCrop[[#This Row],[2. Produit agricole certifié*]])*(#REF!=CertifiedCrop[[#This Row],[3. Variété**]]),0)),FALSE,TRUE))</f>
        <v>0</v>
      </c>
      <c r="L183" s="20" t="str">
        <f t="shared" si="15"/>
        <v/>
      </c>
      <c r="M183" s="54" t="str">
        <f t="shared" si="16"/>
        <v/>
      </c>
      <c r="N183" s="54" t="str">
        <f t="shared" si="17"/>
        <v/>
      </c>
      <c r="O183" s="55">
        <f t="shared" si="18"/>
        <v>537.57961783439487</v>
      </c>
      <c r="P183" s="55">
        <f t="shared" si="19"/>
        <v>525.47770700636943</v>
      </c>
      <c r="Q183" s="9" t="str">
        <f ca="1">IFERROR((VLOOKUP(A183,GM_Table,8,FALSE)-SUMIFS(D:D,A:A,A183,B:B,B183,C:C,C183)),"")</f>
        <v/>
      </c>
      <c r="R183" s="9" t="str">
        <f ca="1">IFERROR(CONCATENATE(VLOOKUP(A183,GM_Table,12,FALSE)," ",(VLOOKUP(A183,GM_Table,13,FALSE))),"")</f>
        <v/>
      </c>
    </row>
    <row r="184" spans="1:18" ht="15" x14ac:dyDescent="0.2">
      <c r="A184" s="150" t="s">
        <v>1265</v>
      </c>
      <c r="B184" s="9" t="s">
        <v>3290</v>
      </c>
      <c r="C184" s="9" t="s">
        <v>3291</v>
      </c>
      <c r="D184" s="252">
        <v>1.31</v>
      </c>
      <c r="E184" s="221">
        <v>785</v>
      </c>
      <c r="F184" s="246">
        <v>770</v>
      </c>
      <c r="G184" s="247">
        <v>664</v>
      </c>
      <c r="H184" s="248">
        <v>662</v>
      </c>
      <c r="I184" s="249">
        <v>704</v>
      </c>
      <c r="J184" s="122" t="b">
        <f>IF(ISBLANK(CertifiedCrop[[#This Row],[1. Identifiant interne d’exploitation agricole*]]),"",IF(ISERROR(MATCH(CertifiedCrop[[#This Row],[1. Identifiant interne d’exploitation agricole*]],GroupMember[1. Identifiant interne d’exploitation agricole*],0)),FALSE,TRUE))</f>
        <v>1</v>
      </c>
      <c r="K184" s="122" t="b">
        <f t="array" ref="K184">IF(ISBLANK(CertifiedCrop[[#This Row],[2. Produit agricole certifié*]]),"",IF(ISERROR(MATCH(1,(#REF!=CertifiedCrop[[#This Row],[2. Produit agricole certifié*]])*(#REF!=CertifiedCrop[[#This Row],[3. Variété**]]),0)),FALSE,TRUE))</f>
        <v>0</v>
      </c>
      <c r="L184" s="20" t="str">
        <f t="shared" si="15"/>
        <v/>
      </c>
      <c r="M184" s="54" t="str">
        <f t="shared" si="16"/>
        <v/>
      </c>
      <c r="N184" s="54" t="str">
        <f t="shared" si="17"/>
        <v/>
      </c>
      <c r="O184" s="55">
        <f t="shared" si="18"/>
        <v>599.23664122137404</v>
      </c>
      <c r="P184" s="55">
        <f t="shared" si="19"/>
        <v>587.78625954198469</v>
      </c>
      <c r="Q184" s="9" t="str">
        <f ca="1">IFERROR((VLOOKUP(A184,GM_Table,8,FALSE)-SUMIFS(D:D,A:A,A184,B:B,B184,C:C,C184)),"")</f>
        <v/>
      </c>
      <c r="R184" s="9" t="str">
        <f ca="1">IFERROR(CONCATENATE(VLOOKUP(A184,GM_Table,12,FALSE)," ",(VLOOKUP(A184,GM_Table,13,FALSE))),"")</f>
        <v/>
      </c>
    </row>
    <row r="185" spans="1:18" ht="15" x14ac:dyDescent="0.2">
      <c r="A185" s="150" t="s">
        <v>1267</v>
      </c>
      <c r="B185" s="9" t="s">
        <v>3290</v>
      </c>
      <c r="C185" s="9" t="s">
        <v>3291</v>
      </c>
      <c r="D185" s="252">
        <v>1.73</v>
      </c>
      <c r="E185" s="245">
        <v>1102</v>
      </c>
      <c r="F185" s="246">
        <v>1085</v>
      </c>
      <c r="G185" s="247">
        <v>893</v>
      </c>
      <c r="H185" s="248">
        <v>656</v>
      </c>
      <c r="I185" s="249">
        <v>896</v>
      </c>
      <c r="J185" s="122" t="b">
        <f>IF(ISBLANK(CertifiedCrop[[#This Row],[1. Identifiant interne d’exploitation agricole*]]),"",IF(ISERROR(MATCH(CertifiedCrop[[#This Row],[1. Identifiant interne d’exploitation agricole*]],GroupMember[1. Identifiant interne d’exploitation agricole*],0)),FALSE,TRUE))</f>
        <v>1</v>
      </c>
      <c r="K185" s="122" t="b">
        <f t="array" ref="K185">IF(ISBLANK(CertifiedCrop[[#This Row],[2. Produit agricole certifié*]]),"",IF(ISERROR(MATCH(1,(#REF!=CertifiedCrop[[#This Row],[2. Produit agricole certifié*]])*(#REF!=CertifiedCrop[[#This Row],[3. Variété**]]),0)),FALSE,TRUE))</f>
        <v>0</v>
      </c>
      <c r="L185" s="20" t="str">
        <f t="shared" si="15"/>
        <v/>
      </c>
      <c r="M185" s="54" t="str">
        <f t="shared" si="16"/>
        <v/>
      </c>
      <c r="N185" s="54" t="str">
        <f t="shared" si="17"/>
        <v>!</v>
      </c>
      <c r="O185" s="55">
        <f t="shared" si="18"/>
        <v>636.99421965317924</v>
      </c>
      <c r="P185" s="55">
        <f t="shared" si="19"/>
        <v>627.16763005780342</v>
      </c>
      <c r="Q185" s="9" t="str">
        <f ca="1">IFERROR((VLOOKUP(A185,GM_Table,8,FALSE)-SUMIFS(D:D,A:A,A185,B:B,B185,C:C,C185)),"")</f>
        <v/>
      </c>
      <c r="R185" s="9" t="str">
        <f ca="1">IFERROR(CONCATENATE(VLOOKUP(A185,GM_Table,12,FALSE)," ",(VLOOKUP(A185,GM_Table,13,FALSE))),"")</f>
        <v/>
      </c>
    </row>
    <row r="186" spans="1:18" ht="15" x14ac:dyDescent="0.2">
      <c r="A186" s="150" t="s">
        <v>1269</v>
      </c>
      <c r="B186" s="9" t="s">
        <v>3290</v>
      </c>
      <c r="C186" s="9" t="s">
        <v>3291</v>
      </c>
      <c r="D186" s="252">
        <v>1.0982000000000001</v>
      </c>
      <c r="E186" s="221">
        <v>606</v>
      </c>
      <c r="F186" s="246">
        <v>600</v>
      </c>
      <c r="G186" s="247">
        <v>327</v>
      </c>
      <c r="H186" s="248">
        <v>541</v>
      </c>
      <c r="I186" s="249">
        <v>795</v>
      </c>
      <c r="J186" s="122" t="b">
        <f>IF(ISBLANK(CertifiedCrop[[#This Row],[1. Identifiant interne d’exploitation agricole*]]),"",IF(ISERROR(MATCH(CertifiedCrop[[#This Row],[1. Identifiant interne d’exploitation agricole*]],GroupMember[1. Identifiant interne d’exploitation agricole*],0)),FALSE,TRUE))</f>
        <v>1</v>
      </c>
      <c r="K186" s="122" t="b">
        <f t="array" ref="K186">IF(ISBLANK(CertifiedCrop[[#This Row],[2. Produit agricole certifié*]]),"",IF(ISERROR(MATCH(1,(#REF!=CertifiedCrop[[#This Row],[2. Produit agricole certifié*]])*(#REF!=CertifiedCrop[[#This Row],[3. Variété**]]),0)),FALSE,TRUE))</f>
        <v>0</v>
      </c>
      <c r="L186" s="20" t="str">
        <f t="shared" si="15"/>
        <v/>
      </c>
      <c r="M186" s="54" t="str">
        <f t="shared" si="16"/>
        <v>!</v>
      </c>
      <c r="N186" s="54" t="str">
        <f t="shared" si="17"/>
        <v>!</v>
      </c>
      <c r="O186" s="55">
        <f t="shared" si="18"/>
        <v>551.81205609178653</v>
      </c>
      <c r="P186" s="55">
        <f t="shared" si="19"/>
        <v>546.34857038790744</v>
      </c>
      <c r="Q186" s="9" t="str">
        <f ca="1">IFERROR((VLOOKUP(A186,GM_Table,8,FALSE)-SUMIFS(D:D,A:A,A186,B:B,B186,C:C,C186)),"")</f>
        <v/>
      </c>
      <c r="R186" s="9" t="str">
        <f ca="1">IFERROR(CONCATENATE(VLOOKUP(A186,GM_Table,12,FALSE)," ",(VLOOKUP(A186,GM_Table,13,FALSE))),"")</f>
        <v/>
      </c>
    </row>
    <row r="187" spans="1:18" ht="15" x14ac:dyDescent="0.2">
      <c r="A187" s="150" t="s">
        <v>1271</v>
      </c>
      <c r="B187" s="9" t="s">
        <v>3290</v>
      </c>
      <c r="C187" s="9" t="s">
        <v>3291</v>
      </c>
      <c r="D187" s="252">
        <v>1.59</v>
      </c>
      <c r="E187" s="221">
        <v>911</v>
      </c>
      <c r="F187" s="246">
        <v>905</v>
      </c>
      <c r="G187" s="247">
        <v>570</v>
      </c>
      <c r="H187" s="248">
        <v>700</v>
      </c>
      <c r="I187" s="249">
        <v>806</v>
      </c>
      <c r="J187" s="122" t="b">
        <f>IF(ISBLANK(CertifiedCrop[[#This Row],[1. Identifiant interne d’exploitation agricole*]]),"",IF(ISERROR(MATCH(CertifiedCrop[[#This Row],[1. Identifiant interne d’exploitation agricole*]],GroupMember[1. Identifiant interne d’exploitation agricole*],0)),FALSE,TRUE))</f>
        <v>1</v>
      </c>
      <c r="K187" s="122" t="b">
        <f t="array" ref="K187">IF(ISBLANK(CertifiedCrop[[#This Row],[2. Produit agricole certifié*]]),"",IF(ISERROR(MATCH(1,(#REF!=CertifiedCrop[[#This Row],[2. Produit agricole certifié*]])*(#REF!=CertifiedCrop[[#This Row],[3. Variété**]]),0)),FALSE,TRUE))</f>
        <v>0</v>
      </c>
      <c r="L187" s="20" t="str">
        <f t="shared" si="15"/>
        <v/>
      </c>
      <c r="M187" s="54" t="str">
        <f t="shared" si="16"/>
        <v>!</v>
      </c>
      <c r="N187" s="54" t="str">
        <f t="shared" si="17"/>
        <v/>
      </c>
      <c r="O187" s="55">
        <f t="shared" si="18"/>
        <v>572.95597484276732</v>
      </c>
      <c r="P187" s="55">
        <f t="shared" si="19"/>
        <v>569.1823899371069</v>
      </c>
      <c r="Q187" s="9" t="str">
        <f ca="1">IFERROR((VLOOKUP(A187,GM_Table,8,FALSE)-SUMIFS(D:D,A:A,A187,B:B,B187,C:C,C187)),"")</f>
        <v/>
      </c>
      <c r="R187" s="9" t="str">
        <f ca="1">IFERROR(CONCATENATE(VLOOKUP(A187,GM_Table,12,FALSE)," ",(VLOOKUP(A187,GM_Table,13,FALSE))),"")</f>
        <v/>
      </c>
    </row>
    <row r="188" spans="1:18" ht="15" x14ac:dyDescent="0.2">
      <c r="A188" s="150" t="s">
        <v>1274</v>
      </c>
      <c r="B188" s="9" t="s">
        <v>3290</v>
      </c>
      <c r="C188" s="9" t="s">
        <v>3291</v>
      </c>
      <c r="D188" s="252">
        <v>1.18</v>
      </c>
      <c r="E188" s="221">
        <v>699</v>
      </c>
      <c r="F188" s="246">
        <v>650</v>
      </c>
      <c r="G188" s="247">
        <v>502</v>
      </c>
      <c r="H188" s="248">
        <v>538</v>
      </c>
      <c r="I188" s="249">
        <v>673</v>
      </c>
      <c r="J188" s="122" t="b">
        <f>IF(ISBLANK(CertifiedCrop[[#This Row],[1. Identifiant interne d’exploitation agricole*]]),"",IF(ISERROR(MATCH(CertifiedCrop[[#This Row],[1. Identifiant interne d’exploitation agricole*]],GroupMember[1. Identifiant interne d’exploitation agricole*],0)),FALSE,TRUE))</f>
        <v>1</v>
      </c>
      <c r="K188" s="122" t="b">
        <f t="array" ref="K188">IF(ISBLANK(CertifiedCrop[[#This Row],[2. Produit agricole certifié*]]),"",IF(ISERROR(MATCH(1,(#REF!=CertifiedCrop[[#This Row],[2. Produit agricole certifié*]])*(#REF!=CertifiedCrop[[#This Row],[3. Variété**]]),0)),FALSE,TRUE))</f>
        <v>0</v>
      </c>
      <c r="L188" s="20" t="str">
        <f t="shared" si="15"/>
        <v/>
      </c>
      <c r="M188" s="54" t="str">
        <f t="shared" si="16"/>
        <v>!</v>
      </c>
      <c r="N188" s="54" t="str">
        <f t="shared" si="17"/>
        <v/>
      </c>
      <c r="O188" s="55">
        <f t="shared" si="18"/>
        <v>592.37288135593224</v>
      </c>
      <c r="P188" s="55">
        <f t="shared" si="19"/>
        <v>550.84745762711873</v>
      </c>
      <c r="Q188" s="9" t="str">
        <f ca="1">IFERROR((VLOOKUP(A188,GM_Table,8,FALSE)-SUMIFS(D:D,A:A,A188,B:B,B188,C:C,C188)),"")</f>
        <v/>
      </c>
      <c r="R188" s="9" t="str">
        <f ca="1">IFERROR(CONCATENATE(VLOOKUP(A188,GM_Table,12,FALSE)," ",(VLOOKUP(A188,GM_Table,13,FALSE))),"")</f>
        <v/>
      </c>
    </row>
    <row r="189" spans="1:18" ht="15" x14ac:dyDescent="0.2">
      <c r="A189" s="150" t="s">
        <v>1276</v>
      </c>
      <c r="B189" s="9" t="s">
        <v>3290</v>
      </c>
      <c r="C189" s="9" t="s">
        <v>3291</v>
      </c>
      <c r="D189" s="252">
        <v>2.12</v>
      </c>
      <c r="E189" s="245">
        <v>1330</v>
      </c>
      <c r="F189" s="246">
        <v>1296</v>
      </c>
      <c r="G189" s="247">
        <v>979</v>
      </c>
      <c r="H189" s="248">
        <v>1242</v>
      </c>
      <c r="I189" s="249">
        <v>905</v>
      </c>
      <c r="J189" s="122" t="b">
        <f>IF(ISBLANK(CertifiedCrop[[#This Row],[1. Identifiant interne d’exploitation agricole*]]),"",IF(ISERROR(MATCH(CertifiedCrop[[#This Row],[1. Identifiant interne d’exploitation agricole*]],GroupMember[1. Identifiant interne d’exploitation agricole*],0)),FALSE,TRUE))</f>
        <v>1</v>
      </c>
      <c r="K189" s="122" t="b">
        <f t="array" ref="K189">IF(ISBLANK(CertifiedCrop[[#This Row],[2. Produit agricole certifié*]]),"",IF(ISERROR(MATCH(1,(#REF!=CertifiedCrop[[#This Row],[2. Produit agricole certifié*]])*(#REF!=CertifiedCrop[[#This Row],[3. Variété**]]),0)),FALSE,TRUE))</f>
        <v>0</v>
      </c>
      <c r="L189" s="20" t="str">
        <f t="shared" si="15"/>
        <v/>
      </c>
      <c r="M189" s="54" t="str">
        <f t="shared" si="16"/>
        <v>!</v>
      </c>
      <c r="N189" s="54" t="str">
        <f t="shared" si="17"/>
        <v/>
      </c>
      <c r="O189" s="55">
        <f t="shared" si="18"/>
        <v>627.35849056603774</v>
      </c>
      <c r="P189" s="55">
        <f t="shared" si="19"/>
        <v>611.32075471698113</v>
      </c>
      <c r="Q189" s="9" t="str">
        <f ca="1">IFERROR((VLOOKUP(A189,GM_Table,8,FALSE)-SUMIFS(D:D,A:A,A189,B:B,B189,C:C,C189)),"")</f>
        <v/>
      </c>
      <c r="R189" s="9" t="str">
        <f ca="1">IFERROR(CONCATENATE(VLOOKUP(A189,GM_Table,12,FALSE)," ",(VLOOKUP(A189,GM_Table,13,FALSE))),"")</f>
        <v/>
      </c>
    </row>
    <row r="190" spans="1:18" ht="15" x14ac:dyDescent="0.2">
      <c r="A190" s="150" t="s">
        <v>1278</v>
      </c>
      <c r="B190" s="9" t="s">
        <v>3290</v>
      </c>
      <c r="C190" s="9" t="s">
        <v>3291</v>
      </c>
      <c r="D190" s="252">
        <v>0.94</v>
      </c>
      <c r="E190" s="221">
        <v>591</v>
      </c>
      <c r="F190" s="246">
        <v>625</v>
      </c>
      <c r="G190" s="247">
        <v>424</v>
      </c>
      <c r="H190" s="248">
        <v>311</v>
      </c>
      <c r="I190" s="249">
        <v>501</v>
      </c>
      <c r="J190" s="122" t="b">
        <f>IF(ISBLANK(CertifiedCrop[[#This Row],[1. Identifiant interne d’exploitation agricole*]]),"",IF(ISERROR(MATCH(CertifiedCrop[[#This Row],[1. Identifiant interne d’exploitation agricole*]],GroupMember[1. Identifiant interne d’exploitation agricole*],0)),FALSE,TRUE))</f>
        <v>1</v>
      </c>
      <c r="K190" s="122" t="b">
        <f t="array" ref="K190">IF(ISBLANK(CertifiedCrop[[#This Row],[2. Produit agricole certifié*]]),"",IF(ISERROR(MATCH(1,(#REF!=CertifiedCrop[[#This Row],[2. Produit agricole certifié*]])*(#REF!=CertifiedCrop[[#This Row],[3. Variété**]]),0)),FALSE,TRUE))</f>
        <v>0</v>
      </c>
      <c r="L190" s="20" t="str">
        <f t="shared" si="15"/>
        <v/>
      </c>
      <c r="M190" s="54" t="str">
        <f t="shared" si="16"/>
        <v>!</v>
      </c>
      <c r="N190" s="54" t="str">
        <f t="shared" si="17"/>
        <v>!</v>
      </c>
      <c r="O190" s="55">
        <f t="shared" si="18"/>
        <v>628.72340425531922</v>
      </c>
      <c r="P190" s="55">
        <f t="shared" si="19"/>
        <v>664.89361702127667</v>
      </c>
      <c r="Q190" s="9" t="str">
        <f ca="1">IFERROR((VLOOKUP(A190,GM_Table,8,FALSE)-SUMIFS(D:D,A:A,A190,B:B,B190,C:C,C190)),"")</f>
        <v/>
      </c>
      <c r="R190" s="9" t="str">
        <f ca="1">IFERROR(CONCATENATE(VLOOKUP(A190,GM_Table,12,FALSE)," ",(VLOOKUP(A190,GM_Table,13,FALSE))),"")</f>
        <v/>
      </c>
    </row>
    <row r="191" spans="1:18" ht="15" x14ac:dyDescent="0.2">
      <c r="A191" s="150" t="s">
        <v>1281</v>
      </c>
      <c r="B191" s="9" t="s">
        <v>3290</v>
      </c>
      <c r="C191" s="9" t="s">
        <v>3291</v>
      </c>
      <c r="D191" s="252">
        <v>3.05</v>
      </c>
      <c r="E191" s="245">
        <v>1663</v>
      </c>
      <c r="F191" s="246">
        <v>1568</v>
      </c>
      <c r="G191" s="247">
        <v>1061</v>
      </c>
      <c r="H191" s="248">
        <v>1418</v>
      </c>
      <c r="I191" s="249">
        <v>1165</v>
      </c>
      <c r="J191" s="122" t="b">
        <f>IF(ISBLANK(CertifiedCrop[[#This Row],[1. Identifiant interne d’exploitation agricole*]]),"",IF(ISERROR(MATCH(CertifiedCrop[[#This Row],[1. Identifiant interne d’exploitation agricole*]],GroupMember[1. Identifiant interne d’exploitation agricole*],0)),FALSE,TRUE))</f>
        <v>1</v>
      </c>
      <c r="K191" s="122" t="b">
        <f t="array" ref="K191">IF(ISBLANK(CertifiedCrop[[#This Row],[2. Produit agricole certifié*]]),"",IF(ISERROR(MATCH(1,(#REF!=CertifiedCrop[[#This Row],[2. Produit agricole certifié*]])*(#REF!=CertifiedCrop[[#This Row],[3. Variété**]]),0)),FALSE,TRUE))</f>
        <v>0</v>
      </c>
      <c r="L191" s="20" t="str">
        <f t="shared" si="15"/>
        <v/>
      </c>
      <c r="M191" s="54" t="str">
        <f t="shared" si="16"/>
        <v>!</v>
      </c>
      <c r="N191" s="54" t="str">
        <f t="shared" si="17"/>
        <v>!</v>
      </c>
      <c r="O191" s="55">
        <f t="shared" si="18"/>
        <v>545.24590163934431</v>
      </c>
      <c r="P191" s="55">
        <f t="shared" si="19"/>
        <v>514.09836065573768</v>
      </c>
      <c r="Q191" s="9" t="str">
        <f ca="1">IFERROR((VLOOKUP(A191,GM_Table,8,FALSE)-SUMIFS(D:D,A:A,A191,B:B,B191,C:C,C191)),"")</f>
        <v/>
      </c>
      <c r="R191" s="9" t="str">
        <f ca="1">IFERROR(CONCATENATE(VLOOKUP(A191,GM_Table,12,FALSE)," ",(VLOOKUP(A191,GM_Table,13,FALSE))),"")</f>
        <v/>
      </c>
    </row>
    <row r="192" spans="1:18" ht="15" x14ac:dyDescent="0.2">
      <c r="A192" s="150" t="s">
        <v>1283</v>
      </c>
      <c r="B192" s="9" t="s">
        <v>3290</v>
      </c>
      <c r="C192" s="9" t="s">
        <v>3291</v>
      </c>
      <c r="D192" s="252">
        <v>1.92</v>
      </c>
      <c r="E192" s="245">
        <v>1084</v>
      </c>
      <c r="F192" s="246">
        <v>987</v>
      </c>
      <c r="G192" s="247">
        <v>376</v>
      </c>
      <c r="H192" s="248">
        <v>914</v>
      </c>
      <c r="I192" s="249">
        <v>758</v>
      </c>
      <c r="J192" s="122" t="b">
        <f>IF(ISBLANK(CertifiedCrop[[#This Row],[1. Identifiant interne d’exploitation agricole*]]),"",IF(ISERROR(MATCH(CertifiedCrop[[#This Row],[1. Identifiant interne d’exploitation agricole*]],GroupMember[1. Identifiant interne d’exploitation agricole*],0)),FALSE,TRUE))</f>
        <v>1</v>
      </c>
      <c r="K192" s="122" t="b">
        <f t="array" ref="K192">IF(ISBLANK(CertifiedCrop[[#This Row],[2. Produit agricole certifié*]]),"",IF(ISERROR(MATCH(1,(#REF!=CertifiedCrop[[#This Row],[2. Produit agricole certifié*]])*(#REF!=CertifiedCrop[[#This Row],[3. Variété**]]),0)),FALSE,TRUE))</f>
        <v>0</v>
      </c>
      <c r="L192" s="20" t="str">
        <f t="shared" si="15"/>
        <v/>
      </c>
      <c r="M192" s="54" t="str">
        <f t="shared" si="16"/>
        <v>!</v>
      </c>
      <c r="N192" s="54" t="str">
        <f t="shared" si="17"/>
        <v>!</v>
      </c>
      <c r="O192" s="55">
        <f t="shared" si="18"/>
        <v>564.58333333333337</v>
      </c>
      <c r="P192" s="55">
        <f t="shared" si="19"/>
        <v>514.0625</v>
      </c>
      <c r="Q192" s="9" t="str">
        <f ca="1">IFERROR((VLOOKUP(A192,GM_Table,8,FALSE)-SUMIFS(D:D,A:A,A192,B:B,B192,C:C,C192)),"")</f>
        <v/>
      </c>
      <c r="R192" s="9" t="str">
        <f ca="1">IFERROR(CONCATENATE(VLOOKUP(A192,GM_Table,12,FALSE)," ",(VLOOKUP(A192,GM_Table,13,FALSE))),"")</f>
        <v/>
      </c>
    </row>
    <row r="193" spans="1:18" ht="15" x14ac:dyDescent="0.2">
      <c r="A193" s="150" t="s">
        <v>1286</v>
      </c>
      <c r="B193" s="9" t="s">
        <v>3290</v>
      </c>
      <c r="C193" s="9" t="s">
        <v>3291</v>
      </c>
      <c r="D193" s="252">
        <v>1.21</v>
      </c>
      <c r="E193" s="221">
        <v>766</v>
      </c>
      <c r="F193" s="246">
        <v>750</v>
      </c>
      <c r="G193" s="247">
        <v>187</v>
      </c>
      <c r="H193" s="248">
        <v>647</v>
      </c>
      <c r="I193" s="249">
        <v>772</v>
      </c>
      <c r="J193" s="122" t="b">
        <f>IF(ISBLANK(CertifiedCrop[[#This Row],[1. Identifiant interne d’exploitation agricole*]]),"",IF(ISERROR(MATCH(CertifiedCrop[[#This Row],[1. Identifiant interne d’exploitation agricole*]],GroupMember[1. Identifiant interne d’exploitation agricole*],0)),FALSE,TRUE))</f>
        <v>1</v>
      </c>
      <c r="K193" s="122" t="b">
        <f t="array" ref="K193">IF(ISBLANK(CertifiedCrop[[#This Row],[2. Produit agricole certifié*]]),"",IF(ISERROR(MATCH(1,(#REF!=CertifiedCrop[[#This Row],[2. Produit agricole certifié*]])*(#REF!=CertifiedCrop[[#This Row],[3. Variété**]]),0)),FALSE,TRUE))</f>
        <v>0</v>
      </c>
      <c r="L193" s="20" t="str">
        <f t="shared" si="15"/>
        <v/>
      </c>
      <c r="M193" s="54" t="str">
        <f t="shared" si="16"/>
        <v>!</v>
      </c>
      <c r="N193" s="54" t="str">
        <f t="shared" si="17"/>
        <v>!</v>
      </c>
      <c r="O193" s="55">
        <f t="shared" si="18"/>
        <v>633.05785123966939</v>
      </c>
      <c r="P193" s="55">
        <f t="shared" si="19"/>
        <v>619.83471074380168</v>
      </c>
      <c r="Q193" s="9" t="str">
        <f ca="1">IFERROR((VLOOKUP(A193,GM_Table,8,FALSE)-SUMIFS(D:D,A:A,A193,B:B,B193,C:C,C193)),"")</f>
        <v/>
      </c>
      <c r="R193" s="9" t="str">
        <f ca="1">IFERROR(CONCATENATE(VLOOKUP(A193,GM_Table,12,FALSE)," ",(VLOOKUP(A193,GM_Table,13,FALSE))),"")</f>
        <v/>
      </c>
    </row>
    <row r="194" spans="1:18" ht="15" x14ac:dyDescent="0.2">
      <c r="A194" s="150" t="s">
        <v>1289</v>
      </c>
      <c r="B194" s="9" t="s">
        <v>3290</v>
      </c>
      <c r="C194" s="9" t="s">
        <v>3291</v>
      </c>
      <c r="D194" s="252">
        <v>1.0900000000000001</v>
      </c>
      <c r="E194" s="221">
        <v>591</v>
      </c>
      <c r="F194" s="246">
        <v>560</v>
      </c>
      <c r="G194" s="247">
        <v>251</v>
      </c>
      <c r="H194" s="248">
        <v>523</v>
      </c>
      <c r="I194" s="249">
        <v>596</v>
      </c>
      <c r="J194" s="122" t="b">
        <f>IF(ISBLANK(CertifiedCrop[[#This Row],[1. Identifiant interne d’exploitation agricole*]]),"",IF(ISERROR(MATCH(CertifiedCrop[[#This Row],[1. Identifiant interne d’exploitation agricole*]],GroupMember[1. Identifiant interne d’exploitation agricole*],0)),FALSE,TRUE))</f>
        <v>1</v>
      </c>
      <c r="K194" s="122" t="b">
        <f t="array" ref="K194">IF(ISBLANK(CertifiedCrop[[#This Row],[2. Produit agricole certifié*]]),"",IF(ISERROR(MATCH(1,(#REF!=CertifiedCrop[[#This Row],[2. Produit agricole certifié*]])*(#REF!=CertifiedCrop[[#This Row],[3. Variété**]]),0)),FALSE,TRUE))</f>
        <v>0</v>
      </c>
      <c r="L194" s="20" t="str">
        <f t="shared" si="15"/>
        <v/>
      </c>
      <c r="M194" s="54" t="str">
        <f t="shared" si="16"/>
        <v>!</v>
      </c>
      <c r="N194" s="54" t="str">
        <f t="shared" si="17"/>
        <v>!</v>
      </c>
      <c r="O194" s="55">
        <f t="shared" si="18"/>
        <v>542.20183486238523</v>
      </c>
      <c r="P194" s="55">
        <f t="shared" si="19"/>
        <v>513.7614678899082</v>
      </c>
      <c r="Q194" s="9" t="str">
        <f ca="1">IFERROR((VLOOKUP(A194,GM_Table,8,FALSE)-SUMIFS(D:D,A:A,A194,B:B,B194,C:C,C194)),"")</f>
        <v/>
      </c>
      <c r="R194" s="9" t="str">
        <f ca="1">IFERROR(CONCATENATE(VLOOKUP(A194,GM_Table,12,FALSE)," ",(VLOOKUP(A194,GM_Table,13,FALSE))),"")</f>
        <v/>
      </c>
    </row>
    <row r="195" spans="1:18" ht="15" x14ac:dyDescent="0.2">
      <c r="A195" s="150" t="s">
        <v>1293</v>
      </c>
      <c r="B195" s="9" t="s">
        <v>3290</v>
      </c>
      <c r="C195" s="9" t="s">
        <v>3291</v>
      </c>
      <c r="D195" s="252">
        <v>5</v>
      </c>
      <c r="E195" s="245">
        <v>2727</v>
      </c>
      <c r="F195" s="246">
        <v>2685</v>
      </c>
      <c r="G195" s="247">
        <v>2176</v>
      </c>
      <c r="H195" s="248">
        <v>2581</v>
      </c>
      <c r="I195" s="249">
        <v>2005</v>
      </c>
      <c r="J195" s="122" t="b">
        <f>IF(ISBLANK(CertifiedCrop[[#This Row],[1. Identifiant interne d’exploitation agricole*]]),"",IF(ISERROR(MATCH(CertifiedCrop[[#This Row],[1. Identifiant interne d’exploitation agricole*]],GroupMember[1. Identifiant interne d’exploitation agricole*],0)),FALSE,TRUE))</f>
        <v>1</v>
      </c>
      <c r="K195" s="122" t="b">
        <f t="array" ref="K195">IF(ISBLANK(CertifiedCrop[[#This Row],[2. Produit agricole certifié*]]),"",IF(ISERROR(MATCH(1,(#REF!=CertifiedCrop[[#This Row],[2. Produit agricole certifié*]])*(#REF!=CertifiedCrop[[#This Row],[3. Variété**]]),0)),FALSE,TRUE))</f>
        <v>0</v>
      </c>
      <c r="L195" s="20" t="str">
        <f t="shared" si="15"/>
        <v/>
      </c>
      <c r="M195" s="54" t="str">
        <f t="shared" si="16"/>
        <v/>
      </c>
      <c r="N195" s="54" t="str">
        <f t="shared" si="17"/>
        <v/>
      </c>
      <c r="O195" s="55">
        <f t="shared" si="18"/>
        <v>545.4</v>
      </c>
      <c r="P195" s="55">
        <f t="shared" si="19"/>
        <v>537</v>
      </c>
      <c r="Q195" s="9" t="str">
        <f ca="1">IFERROR((VLOOKUP(A195,GM_Table,8,FALSE)-SUMIFS(D:D,A:A,A195,B:B,B195,C:C,C195)),"")</f>
        <v/>
      </c>
      <c r="R195" s="9" t="str">
        <f ca="1">IFERROR(CONCATENATE(VLOOKUP(A195,GM_Table,12,FALSE)," ",(VLOOKUP(A195,GM_Table,13,FALSE))),"")</f>
        <v/>
      </c>
    </row>
    <row r="196" spans="1:18" ht="15" x14ac:dyDescent="0.2">
      <c r="A196" s="150" t="s">
        <v>1296</v>
      </c>
      <c r="B196" s="9" t="s">
        <v>3290</v>
      </c>
      <c r="C196" s="9" t="s">
        <v>3291</v>
      </c>
      <c r="D196" s="252">
        <v>1.17</v>
      </c>
      <c r="E196" s="221">
        <v>647</v>
      </c>
      <c r="F196" s="246">
        <v>623</v>
      </c>
      <c r="G196" s="247">
        <v>426</v>
      </c>
      <c r="H196" s="248">
        <v>269</v>
      </c>
      <c r="I196" s="249">
        <v>587</v>
      </c>
      <c r="J196" s="122" t="b">
        <f>IF(ISBLANK(CertifiedCrop[[#This Row],[1. Identifiant interne d’exploitation agricole*]]),"",IF(ISERROR(MATCH(CertifiedCrop[[#This Row],[1. Identifiant interne d’exploitation agricole*]],GroupMember[1. Identifiant interne d’exploitation agricole*],0)),FALSE,TRUE))</f>
        <v>1</v>
      </c>
      <c r="K196" s="122" t="b">
        <f t="array" ref="K196">IF(ISBLANK(CertifiedCrop[[#This Row],[2. Produit agricole certifié*]]),"",IF(ISERROR(MATCH(1,(#REF!=CertifiedCrop[[#This Row],[2. Produit agricole certifié*]])*(#REF!=CertifiedCrop[[#This Row],[3. Variété**]]),0)),FALSE,TRUE))</f>
        <v>0</v>
      </c>
      <c r="L196" s="20" t="str">
        <f t="shared" si="15"/>
        <v/>
      </c>
      <c r="M196" s="54" t="str">
        <f t="shared" si="16"/>
        <v>!</v>
      </c>
      <c r="N196" s="54" t="str">
        <f t="shared" si="17"/>
        <v>!</v>
      </c>
      <c r="O196" s="55">
        <f t="shared" si="18"/>
        <v>552.991452991453</v>
      </c>
      <c r="P196" s="55">
        <f t="shared" si="19"/>
        <v>532.47863247863256</v>
      </c>
      <c r="Q196" s="9" t="str">
        <f ca="1">IFERROR((VLOOKUP(A196,GM_Table,8,FALSE)-SUMIFS(D:D,A:A,A196,B:B,B196,C:C,C196)),"")</f>
        <v/>
      </c>
      <c r="R196" s="9" t="str">
        <f ca="1">IFERROR(CONCATENATE(VLOOKUP(A196,GM_Table,12,FALSE)," ",(VLOOKUP(A196,GM_Table,13,FALSE))),"")</f>
        <v/>
      </c>
    </row>
    <row r="197" spans="1:18" ht="15" x14ac:dyDescent="0.2">
      <c r="A197" s="150" t="s">
        <v>1298</v>
      </c>
      <c r="B197" s="9" t="s">
        <v>3290</v>
      </c>
      <c r="C197" s="9" t="s">
        <v>3291</v>
      </c>
      <c r="D197" s="252">
        <v>2.5</v>
      </c>
      <c r="E197" s="245">
        <v>1480</v>
      </c>
      <c r="F197" s="246">
        <v>1385</v>
      </c>
      <c r="G197" s="247">
        <v>1220</v>
      </c>
      <c r="H197" s="248">
        <v>1410</v>
      </c>
      <c r="I197" s="249">
        <v>968</v>
      </c>
      <c r="J197" s="122" t="b">
        <f>IF(ISBLANK(CertifiedCrop[[#This Row],[1. Identifiant interne d’exploitation agricole*]]),"",IF(ISERROR(MATCH(CertifiedCrop[[#This Row],[1. Identifiant interne d’exploitation agricole*]],GroupMember[1. Identifiant interne d’exploitation agricole*],0)),FALSE,TRUE))</f>
        <v>1</v>
      </c>
      <c r="K197" s="122" t="b">
        <f t="array" ref="K197">IF(ISBLANK(CertifiedCrop[[#This Row],[2. Produit agricole certifié*]]),"",IF(ISERROR(MATCH(1,(#REF!=CertifiedCrop[[#This Row],[2. Produit agricole certifié*]])*(#REF!=CertifiedCrop[[#This Row],[3. Variété**]]),0)),FALSE,TRUE))</f>
        <v>0</v>
      </c>
      <c r="L197" s="20" t="str">
        <f t="shared" si="15"/>
        <v/>
      </c>
      <c r="M197" s="54" t="str">
        <f t="shared" si="16"/>
        <v/>
      </c>
      <c r="N197" s="54" t="str">
        <f t="shared" si="17"/>
        <v/>
      </c>
      <c r="O197" s="55">
        <f t="shared" si="18"/>
        <v>592</v>
      </c>
      <c r="P197" s="55">
        <f t="shared" si="19"/>
        <v>554</v>
      </c>
      <c r="Q197" s="9" t="str">
        <f ca="1">IFERROR((VLOOKUP(A197,GM_Table,8,FALSE)-SUMIFS(D:D,A:A,A197,B:B,B197,C:C,C197)),"")</f>
        <v/>
      </c>
      <c r="R197" s="9" t="str">
        <f ca="1">IFERROR(CONCATENATE(VLOOKUP(A197,GM_Table,12,FALSE)," ",(VLOOKUP(A197,GM_Table,13,FALSE))),"")</f>
        <v/>
      </c>
    </row>
    <row r="198" spans="1:18" ht="15" x14ac:dyDescent="0.2">
      <c r="A198" s="150" t="s">
        <v>1300</v>
      </c>
      <c r="B198" s="9" t="s">
        <v>3290</v>
      </c>
      <c r="C198" s="9" t="s">
        <v>3291</v>
      </c>
      <c r="D198" s="252">
        <v>1.22</v>
      </c>
      <c r="E198" s="221">
        <v>672</v>
      </c>
      <c r="F198" s="246">
        <v>658</v>
      </c>
      <c r="G198" s="247">
        <v>598</v>
      </c>
      <c r="H198" s="248">
        <v>621</v>
      </c>
      <c r="I198" s="249">
        <v>712</v>
      </c>
      <c r="J198" s="122" t="b">
        <f>IF(ISBLANK(CertifiedCrop[[#This Row],[1. Identifiant interne d’exploitation agricole*]]),"",IF(ISERROR(MATCH(CertifiedCrop[[#This Row],[1. Identifiant interne d’exploitation agricole*]],GroupMember[1. Identifiant interne d’exploitation agricole*],0)),FALSE,TRUE))</f>
        <v>1</v>
      </c>
      <c r="K198" s="122" t="b">
        <f t="array" ref="K198">IF(ISBLANK(CertifiedCrop[[#This Row],[2. Produit agricole certifié*]]),"",IF(ISERROR(MATCH(1,(#REF!=CertifiedCrop[[#This Row],[2. Produit agricole certifié*]])*(#REF!=CertifiedCrop[[#This Row],[3. Variété**]]),0)),FALSE,TRUE))</f>
        <v>0</v>
      </c>
      <c r="L198" s="20" t="str">
        <f t="shared" si="15"/>
        <v/>
      </c>
      <c r="M198" s="54" t="str">
        <f t="shared" si="16"/>
        <v/>
      </c>
      <c r="N198" s="54" t="str">
        <f t="shared" si="17"/>
        <v/>
      </c>
      <c r="O198" s="55">
        <f t="shared" si="18"/>
        <v>550.81967213114751</v>
      </c>
      <c r="P198" s="55">
        <f t="shared" si="19"/>
        <v>539.34426229508199</v>
      </c>
      <c r="Q198" s="9" t="str">
        <f ca="1">IFERROR((VLOOKUP(A198,GM_Table,8,FALSE)-SUMIFS(D:D,A:A,A198,B:B,B198,C:C,C198)),"")</f>
        <v/>
      </c>
      <c r="R198" s="9" t="str">
        <f ca="1">IFERROR(CONCATENATE(VLOOKUP(A198,GM_Table,12,FALSE)," ",(VLOOKUP(A198,GM_Table,13,FALSE))),"")</f>
        <v/>
      </c>
    </row>
    <row r="199" spans="1:18" ht="15" x14ac:dyDescent="0.2">
      <c r="A199" s="150" t="s">
        <v>1303</v>
      </c>
      <c r="B199" s="9" t="s">
        <v>3290</v>
      </c>
      <c r="C199" s="9" t="s">
        <v>3291</v>
      </c>
      <c r="D199" s="252">
        <v>3</v>
      </c>
      <c r="E199" s="245">
        <v>1777</v>
      </c>
      <c r="F199" s="246">
        <v>1765</v>
      </c>
      <c r="G199" s="247">
        <v>1260</v>
      </c>
      <c r="H199" s="248">
        <v>1618</v>
      </c>
      <c r="I199" s="249">
        <v>1206</v>
      </c>
      <c r="J199" s="122" t="b">
        <f>IF(ISBLANK(CertifiedCrop[[#This Row],[1. Identifiant interne d’exploitation agricole*]]),"",IF(ISERROR(MATCH(CertifiedCrop[[#This Row],[1. Identifiant interne d’exploitation agricole*]],GroupMember[1. Identifiant interne d’exploitation agricole*],0)),FALSE,TRUE))</f>
        <v>1</v>
      </c>
      <c r="K199" s="122" t="b">
        <f t="array" ref="K199">IF(ISBLANK(CertifiedCrop[[#This Row],[2. Produit agricole certifié*]]),"",IF(ISERROR(MATCH(1,(#REF!=CertifiedCrop[[#This Row],[2. Produit agricole certifié*]])*(#REF!=CertifiedCrop[[#This Row],[3. Variété**]]),0)),FALSE,TRUE))</f>
        <v>0</v>
      </c>
      <c r="L199" s="20" t="str">
        <f t="shared" si="15"/>
        <v/>
      </c>
      <c r="M199" s="54" t="str">
        <f t="shared" si="16"/>
        <v>!</v>
      </c>
      <c r="N199" s="54" t="str">
        <f t="shared" si="17"/>
        <v/>
      </c>
      <c r="O199" s="55">
        <f t="shared" si="18"/>
        <v>592.33333333333337</v>
      </c>
      <c r="P199" s="55">
        <f t="shared" si="19"/>
        <v>588.33333333333337</v>
      </c>
      <c r="Q199" s="9" t="str">
        <f ca="1">IFERROR((VLOOKUP(A199,GM_Table,8,FALSE)-SUMIFS(D:D,A:A,A199,B:B,B199,C:C,C199)),"")</f>
        <v/>
      </c>
      <c r="R199" s="9" t="str">
        <f ca="1">IFERROR(CONCATENATE(VLOOKUP(A199,GM_Table,12,FALSE)," ",(VLOOKUP(A199,GM_Table,13,FALSE))),"")</f>
        <v/>
      </c>
    </row>
    <row r="200" spans="1:18" ht="15" x14ac:dyDescent="0.2">
      <c r="A200" s="150" t="s">
        <v>1305</v>
      </c>
      <c r="B200" s="9" t="s">
        <v>3290</v>
      </c>
      <c r="C200" s="9" t="s">
        <v>3291</v>
      </c>
      <c r="D200" s="252">
        <v>2.7</v>
      </c>
      <c r="E200" s="245">
        <v>1594</v>
      </c>
      <c r="F200" s="246">
        <v>1508</v>
      </c>
      <c r="G200" s="247">
        <v>1148</v>
      </c>
      <c r="H200" s="248">
        <v>1515</v>
      </c>
      <c r="I200" s="249">
        <v>1095</v>
      </c>
      <c r="J200" s="122" t="b">
        <f>IF(ISBLANK(CertifiedCrop[[#This Row],[1. Identifiant interne d’exploitation agricole*]]),"",IF(ISERROR(MATCH(CertifiedCrop[[#This Row],[1. Identifiant interne d’exploitation agricole*]],GroupMember[1. Identifiant interne d’exploitation agricole*],0)),FALSE,TRUE))</f>
        <v>1</v>
      </c>
      <c r="K200" s="122" t="b">
        <f t="array" ref="K200">IF(ISBLANK(CertifiedCrop[[#This Row],[2. Produit agricole certifié*]]),"",IF(ISERROR(MATCH(1,(#REF!=CertifiedCrop[[#This Row],[2. Produit agricole certifié*]])*(#REF!=CertifiedCrop[[#This Row],[3. Variété**]]),0)),FALSE,TRUE))</f>
        <v>0</v>
      </c>
      <c r="L200" s="20" t="str">
        <f t="shared" si="15"/>
        <v/>
      </c>
      <c r="M200" s="54" t="str">
        <f t="shared" si="16"/>
        <v>!</v>
      </c>
      <c r="N200" s="54" t="str">
        <f t="shared" si="17"/>
        <v/>
      </c>
      <c r="O200" s="55">
        <f t="shared" si="18"/>
        <v>590.37037037037032</v>
      </c>
      <c r="P200" s="55">
        <f t="shared" si="19"/>
        <v>558.51851851851848</v>
      </c>
      <c r="Q200" s="9" t="str">
        <f ca="1">IFERROR((VLOOKUP(A200,GM_Table,8,FALSE)-SUMIFS(D:D,A:A,A200,B:B,B200,C:C,C200)),"")</f>
        <v/>
      </c>
      <c r="R200" s="9" t="str">
        <f ca="1">IFERROR(CONCATENATE(VLOOKUP(A200,GM_Table,12,FALSE)," ",(VLOOKUP(A200,GM_Table,13,FALSE))),"")</f>
        <v/>
      </c>
    </row>
    <row r="201" spans="1:18" ht="15" x14ac:dyDescent="0.2">
      <c r="A201" s="150" t="s">
        <v>1307</v>
      </c>
      <c r="B201" s="9" t="s">
        <v>3290</v>
      </c>
      <c r="C201" s="9" t="s">
        <v>3291</v>
      </c>
      <c r="D201" s="252">
        <v>1.6476</v>
      </c>
      <c r="E201" s="221">
        <v>907</v>
      </c>
      <c r="F201" s="246">
        <v>900</v>
      </c>
      <c r="G201" s="247">
        <v>750</v>
      </c>
      <c r="H201" s="248">
        <v>852</v>
      </c>
      <c r="I201" s="249">
        <v>968</v>
      </c>
      <c r="J201" s="122" t="b">
        <f>IF(ISBLANK(CertifiedCrop[[#This Row],[1. Identifiant interne d’exploitation agricole*]]),"",IF(ISERROR(MATCH(CertifiedCrop[[#This Row],[1. Identifiant interne d’exploitation agricole*]],GroupMember[1. Identifiant interne d’exploitation agricole*],0)),FALSE,TRUE))</f>
        <v>1</v>
      </c>
      <c r="K201" s="122" t="b">
        <f t="array" ref="K201">IF(ISBLANK(CertifiedCrop[[#This Row],[2. Produit agricole certifié*]]),"",IF(ISERROR(MATCH(1,(#REF!=CertifiedCrop[[#This Row],[2. Produit agricole certifié*]])*(#REF!=CertifiedCrop[[#This Row],[3. Variété**]]),0)),FALSE,TRUE))</f>
        <v>0</v>
      </c>
      <c r="L201" s="20" t="str">
        <f t="shared" si="15"/>
        <v/>
      </c>
      <c r="M201" s="54" t="str">
        <f t="shared" si="16"/>
        <v/>
      </c>
      <c r="N201" s="54" t="str">
        <f t="shared" si="17"/>
        <v/>
      </c>
      <c r="O201" s="55">
        <f t="shared" si="18"/>
        <v>550.4976936149551</v>
      </c>
      <c r="P201" s="55">
        <f t="shared" si="19"/>
        <v>546.24908958485071</v>
      </c>
      <c r="Q201" s="9" t="str">
        <f ca="1">IFERROR((VLOOKUP(A201,GM_Table,8,FALSE)-SUMIFS(D:D,A:A,A201,B:B,B201,C:C,C201)),"")</f>
        <v/>
      </c>
      <c r="R201" s="9" t="str">
        <f ca="1">IFERROR(CONCATENATE(VLOOKUP(A201,GM_Table,12,FALSE)," ",(VLOOKUP(A201,GM_Table,13,FALSE))),"")</f>
        <v/>
      </c>
    </row>
    <row r="202" spans="1:18" ht="15" x14ac:dyDescent="0.2">
      <c r="A202" s="150" t="s">
        <v>1310</v>
      </c>
      <c r="B202" s="9" t="s">
        <v>3290</v>
      </c>
      <c r="C202" s="9" t="s">
        <v>3291</v>
      </c>
      <c r="D202" s="252">
        <v>1.6089</v>
      </c>
      <c r="E202" s="245">
        <v>1023</v>
      </c>
      <c r="F202" s="246">
        <v>989</v>
      </c>
      <c r="G202" s="247">
        <v>656</v>
      </c>
      <c r="H202" s="248">
        <v>978</v>
      </c>
      <c r="I202" s="249">
        <v>985</v>
      </c>
      <c r="J202" s="122" t="b">
        <f>IF(ISBLANK(CertifiedCrop[[#This Row],[1. Identifiant interne d’exploitation agricole*]]),"",IF(ISERROR(MATCH(CertifiedCrop[[#This Row],[1. Identifiant interne d’exploitation agricole*]],GroupMember[1. Identifiant interne d’exploitation agricole*],0)),FALSE,TRUE))</f>
        <v>1</v>
      </c>
      <c r="K202" s="122" t="b">
        <f t="array" ref="K202">IF(ISBLANK(CertifiedCrop[[#This Row],[2. Produit agricole certifié*]]),"",IF(ISERROR(MATCH(1,(#REF!=CertifiedCrop[[#This Row],[2. Produit agricole certifié*]])*(#REF!=CertifiedCrop[[#This Row],[3. Variété**]]),0)),FALSE,TRUE))</f>
        <v>0</v>
      </c>
      <c r="L202" s="20" t="str">
        <f t="shared" si="15"/>
        <v/>
      </c>
      <c r="M202" s="54" t="str">
        <f t="shared" si="16"/>
        <v>!</v>
      </c>
      <c r="N202" s="54" t="str">
        <f t="shared" si="17"/>
        <v>!</v>
      </c>
      <c r="O202" s="55">
        <f t="shared" si="18"/>
        <v>635.83815028901734</v>
      </c>
      <c r="P202" s="55">
        <f t="shared" si="19"/>
        <v>614.70569954627388</v>
      </c>
      <c r="Q202" s="9" t="str">
        <f ca="1">IFERROR((VLOOKUP(A202,GM_Table,8,FALSE)-SUMIFS(D:D,A:A,A202,B:B,B202,C:C,C202)),"")</f>
        <v/>
      </c>
      <c r="R202" s="9" t="str">
        <f ca="1">IFERROR(CONCATENATE(VLOOKUP(A202,GM_Table,12,FALSE)," ",(VLOOKUP(A202,GM_Table,13,FALSE))),"")</f>
        <v/>
      </c>
    </row>
    <row r="203" spans="1:18" ht="15" x14ac:dyDescent="0.2">
      <c r="A203" s="150" t="s">
        <v>1312</v>
      </c>
      <c r="B203" s="9" t="s">
        <v>3290</v>
      </c>
      <c r="C203" s="9" t="s">
        <v>3291</v>
      </c>
      <c r="D203" s="252">
        <v>2.11</v>
      </c>
      <c r="E203" s="245">
        <v>1153</v>
      </c>
      <c r="F203" s="246">
        <v>1069</v>
      </c>
      <c r="G203" s="247">
        <v>731</v>
      </c>
      <c r="H203" s="248">
        <v>1009</v>
      </c>
      <c r="I203" s="249">
        <v>1158</v>
      </c>
      <c r="J203" s="122" t="b">
        <f>IF(ISBLANK(CertifiedCrop[[#This Row],[1. Identifiant interne d’exploitation agricole*]]),"",IF(ISERROR(MATCH(CertifiedCrop[[#This Row],[1. Identifiant interne d’exploitation agricole*]],GroupMember[1. Identifiant interne d’exploitation agricole*],0)),FALSE,TRUE))</f>
        <v>1</v>
      </c>
      <c r="K203" s="122" t="b">
        <f t="array" ref="K203">IF(ISBLANK(CertifiedCrop[[#This Row],[2. Produit agricole certifié*]]),"",IF(ISERROR(MATCH(1,(#REF!=CertifiedCrop[[#This Row],[2. Produit agricole certifié*]])*(#REF!=CertifiedCrop[[#This Row],[3. Variété**]]),0)),FALSE,TRUE))</f>
        <v>0</v>
      </c>
      <c r="L203" s="20" t="str">
        <f t="shared" si="15"/>
        <v/>
      </c>
      <c r="M203" s="54" t="str">
        <f t="shared" si="16"/>
        <v>!</v>
      </c>
      <c r="N203" s="54" t="str">
        <f t="shared" si="17"/>
        <v>!</v>
      </c>
      <c r="O203" s="55">
        <f t="shared" si="18"/>
        <v>546.44549763033183</v>
      </c>
      <c r="P203" s="55">
        <f t="shared" si="19"/>
        <v>506.6350710900474</v>
      </c>
      <c r="Q203" s="9" t="str">
        <f ca="1">IFERROR((VLOOKUP(A203,GM_Table,8,FALSE)-SUMIFS(D:D,A:A,A203,B:B,B203,C:C,C203)),"")</f>
        <v/>
      </c>
      <c r="R203" s="9" t="str">
        <f ca="1">IFERROR(CONCATENATE(VLOOKUP(A203,GM_Table,12,FALSE)," ",(VLOOKUP(A203,GM_Table,13,FALSE))),"")</f>
        <v/>
      </c>
    </row>
    <row r="204" spans="1:18" ht="15" x14ac:dyDescent="0.2">
      <c r="A204" s="150" t="s">
        <v>1314</v>
      </c>
      <c r="B204" s="9" t="s">
        <v>3290</v>
      </c>
      <c r="C204" s="9" t="s">
        <v>3291</v>
      </c>
      <c r="D204" s="252">
        <v>4.21</v>
      </c>
      <c r="E204" s="245">
        <v>2220</v>
      </c>
      <c r="F204" s="246">
        <v>2156</v>
      </c>
      <c r="G204" s="247">
        <v>1770</v>
      </c>
      <c r="H204" s="248">
        <v>1924</v>
      </c>
      <c r="I204" s="249">
        <v>1033</v>
      </c>
      <c r="J204" s="122" t="b">
        <f>IF(ISBLANK(CertifiedCrop[[#This Row],[1. Identifiant interne d’exploitation agricole*]]),"",IF(ISERROR(MATCH(CertifiedCrop[[#This Row],[1. Identifiant interne d’exploitation agricole*]],GroupMember[1. Identifiant interne d’exploitation agricole*],0)),FALSE,TRUE))</f>
        <v>1</v>
      </c>
      <c r="K204" s="122" t="b">
        <f t="array" ref="K204">IF(ISBLANK(CertifiedCrop[[#This Row],[2. Produit agricole certifié*]]),"",IF(ISERROR(MATCH(1,(#REF!=CertifiedCrop[[#This Row],[2. Produit agricole certifié*]])*(#REF!=CertifiedCrop[[#This Row],[3. Variété**]]),0)),FALSE,TRUE))</f>
        <v>0</v>
      </c>
      <c r="L204" s="20" t="str">
        <f t="shared" si="15"/>
        <v/>
      </c>
      <c r="M204" s="54" t="str">
        <f t="shared" si="16"/>
        <v/>
      </c>
      <c r="N204" s="54" t="str">
        <f t="shared" si="17"/>
        <v/>
      </c>
      <c r="O204" s="55">
        <f t="shared" si="18"/>
        <v>527.31591448931113</v>
      </c>
      <c r="P204" s="55">
        <f t="shared" si="19"/>
        <v>512.11401425178144</v>
      </c>
      <c r="Q204" s="9" t="str">
        <f ca="1">IFERROR((VLOOKUP(A204,GM_Table,8,FALSE)-SUMIFS(D:D,A:A,A204,B:B,B204,C:C,C204)),"")</f>
        <v/>
      </c>
      <c r="R204" s="9" t="str">
        <f ca="1">IFERROR(CONCATENATE(VLOOKUP(A204,GM_Table,12,FALSE)," ",(VLOOKUP(A204,GM_Table,13,FALSE))),"")</f>
        <v/>
      </c>
    </row>
    <row r="205" spans="1:18" ht="15" x14ac:dyDescent="0.2">
      <c r="A205" s="150" t="s">
        <v>1316</v>
      </c>
      <c r="B205" s="9" t="s">
        <v>3290</v>
      </c>
      <c r="C205" s="9" t="s">
        <v>3291</v>
      </c>
      <c r="D205" s="252">
        <v>0.89</v>
      </c>
      <c r="E205" s="221">
        <v>514</v>
      </c>
      <c r="F205" s="246">
        <v>505</v>
      </c>
      <c r="G205" s="247">
        <v>314</v>
      </c>
      <c r="H205" s="248">
        <v>302</v>
      </c>
      <c r="I205" s="249">
        <v>487</v>
      </c>
      <c r="J205" s="122" t="b">
        <f>IF(ISBLANK(CertifiedCrop[[#This Row],[1. Identifiant interne d’exploitation agricole*]]),"",IF(ISERROR(MATCH(CertifiedCrop[[#This Row],[1. Identifiant interne d’exploitation agricole*]],GroupMember[1. Identifiant interne d’exploitation agricole*],0)),FALSE,TRUE))</f>
        <v>1</v>
      </c>
      <c r="K205" s="122" t="b">
        <f t="array" ref="K205">IF(ISBLANK(CertifiedCrop[[#This Row],[2. Produit agricole certifié*]]),"",IF(ISERROR(MATCH(1,(#REF!=CertifiedCrop[[#This Row],[2. Produit agricole certifié*]])*(#REF!=CertifiedCrop[[#This Row],[3. Variété**]]),0)),FALSE,TRUE))</f>
        <v>0</v>
      </c>
      <c r="L205" s="20" t="str">
        <f t="shared" si="15"/>
        <v/>
      </c>
      <c r="M205" s="54" t="str">
        <f t="shared" si="16"/>
        <v>!</v>
      </c>
      <c r="N205" s="54" t="str">
        <f t="shared" si="17"/>
        <v/>
      </c>
      <c r="O205" s="55">
        <f t="shared" si="18"/>
        <v>577.52808988764048</v>
      </c>
      <c r="P205" s="55">
        <f t="shared" si="19"/>
        <v>567.41573033707868</v>
      </c>
      <c r="Q205" s="9" t="str">
        <f ca="1">IFERROR((VLOOKUP(A205,GM_Table,8,FALSE)-SUMIFS(D:D,A:A,A205,B:B,B205,C:C,C205)),"")</f>
        <v/>
      </c>
      <c r="R205" s="9" t="str">
        <f ca="1">IFERROR(CONCATENATE(VLOOKUP(A205,GM_Table,12,FALSE)," ",(VLOOKUP(A205,GM_Table,13,FALSE))),"")</f>
        <v/>
      </c>
    </row>
    <row r="206" spans="1:18" ht="15" x14ac:dyDescent="0.2">
      <c r="A206" s="150" t="s">
        <v>1318</v>
      </c>
      <c r="B206" s="9" t="s">
        <v>3290</v>
      </c>
      <c r="C206" s="9" t="s">
        <v>3291</v>
      </c>
      <c r="D206" s="252">
        <v>1.8281000000000001</v>
      </c>
      <c r="E206" s="245">
        <v>1000</v>
      </c>
      <c r="F206" s="246">
        <v>956</v>
      </c>
      <c r="G206" s="247">
        <v>790</v>
      </c>
      <c r="H206" s="248">
        <v>827</v>
      </c>
      <c r="I206" s="249">
        <v>885</v>
      </c>
      <c r="J206" s="122" t="b">
        <f>IF(ISBLANK(CertifiedCrop[[#This Row],[1. Identifiant interne d’exploitation agricole*]]),"",IF(ISERROR(MATCH(CertifiedCrop[[#This Row],[1. Identifiant interne d’exploitation agricole*]],GroupMember[1. Identifiant interne d’exploitation agricole*],0)),FALSE,TRUE))</f>
        <v>1</v>
      </c>
      <c r="K206" s="122" t="b">
        <f t="array" ref="K206">IF(ISBLANK(CertifiedCrop[[#This Row],[2. Produit agricole certifié*]]),"",IF(ISERROR(MATCH(1,(#REF!=CertifiedCrop[[#This Row],[2. Produit agricole certifié*]])*(#REF!=CertifiedCrop[[#This Row],[3. Variété**]]),0)),FALSE,TRUE))</f>
        <v>0</v>
      </c>
      <c r="L206" s="20" t="str">
        <f t="shared" si="15"/>
        <v/>
      </c>
      <c r="M206" s="54" t="str">
        <f t="shared" si="16"/>
        <v/>
      </c>
      <c r="N206" s="54" t="str">
        <f t="shared" si="17"/>
        <v/>
      </c>
      <c r="O206" s="55">
        <f t="shared" si="18"/>
        <v>547.01602756960779</v>
      </c>
      <c r="P206" s="55">
        <f t="shared" si="19"/>
        <v>522.94732235654499</v>
      </c>
      <c r="Q206" s="9" t="str">
        <f ca="1">IFERROR((VLOOKUP(A206,GM_Table,8,FALSE)-SUMIFS(D:D,A:A,A206,B:B,B206,C:C,C206)),"")</f>
        <v/>
      </c>
      <c r="R206" s="9" t="str">
        <f ca="1">IFERROR(CONCATENATE(VLOOKUP(A206,GM_Table,12,FALSE)," ",(VLOOKUP(A206,GM_Table,13,FALSE))),"")</f>
        <v/>
      </c>
    </row>
    <row r="207" spans="1:18" ht="15" x14ac:dyDescent="0.2">
      <c r="A207" s="150" t="s">
        <v>1321</v>
      </c>
      <c r="B207" s="9" t="s">
        <v>3290</v>
      </c>
      <c r="C207" s="9" t="s">
        <v>3291</v>
      </c>
      <c r="D207" s="252">
        <v>1.1463000000000001</v>
      </c>
      <c r="E207" s="221">
        <v>658</v>
      </c>
      <c r="F207" s="246">
        <v>650</v>
      </c>
      <c r="G207" s="247">
        <v>264</v>
      </c>
      <c r="H207" s="248">
        <v>509</v>
      </c>
      <c r="I207" s="249">
        <v>968</v>
      </c>
      <c r="J207" s="122" t="b">
        <f>IF(ISBLANK(CertifiedCrop[[#This Row],[1. Identifiant interne d’exploitation agricole*]]),"",IF(ISERROR(MATCH(CertifiedCrop[[#This Row],[1. Identifiant interne d’exploitation agricole*]],GroupMember[1. Identifiant interne d’exploitation agricole*],0)),FALSE,TRUE))</f>
        <v>1</v>
      </c>
      <c r="K207" s="122" t="b">
        <f t="array" ref="K207">IF(ISBLANK(CertifiedCrop[[#This Row],[2. Produit agricole certifié*]]),"",IF(ISERROR(MATCH(1,(#REF!=CertifiedCrop[[#This Row],[2. Produit agricole certifié*]])*(#REF!=CertifiedCrop[[#This Row],[3. Variété**]]),0)),FALSE,TRUE))</f>
        <v>0</v>
      </c>
      <c r="L207" s="20" t="str">
        <f t="shared" si="15"/>
        <v/>
      </c>
      <c r="M207" s="54" t="str">
        <f t="shared" si="16"/>
        <v>!</v>
      </c>
      <c r="N207" s="54" t="str">
        <f t="shared" si="17"/>
        <v>!</v>
      </c>
      <c r="O207" s="55">
        <f t="shared" si="18"/>
        <v>574.02076245310991</v>
      </c>
      <c r="P207" s="55">
        <f t="shared" si="19"/>
        <v>567.04178661781384</v>
      </c>
      <c r="Q207" s="9" t="str">
        <f ca="1">IFERROR((VLOOKUP(A207,GM_Table,8,FALSE)-SUMIFS(D:D,A:A,A207,B:B,B207,C:C,C207)),"")</f>
        <v/>
      </c>
      <c r="R207" s="9" t="str">
        <f ca="1">IFERROR(CONCATENATE(VLOOKUP(A207,GM_Table,12,FALSE)," ",(VLOOKUP(A207,GM_Table,13,FALSE))),"")</f>
        <v/>
      </c>
    </row>
    <row r="208" spans="1:18" ht="15" x14ac:dyDescent="0.2">
      <c r="A208" s="150" t="s">
        <v>1323</v>
      </c>
      <c r="B208" s="9" t="s">
        <v>3290</v>
      </c>
      <c r="C208" s="9" t="s">
        <v>3291</v>
      </c>
      <c r="D208" s="252">
        <v>5.4</v>
      </c>
      <c r="E208" s="245">
        <v>3145</v>
      </c>
      <c r="F208" s="246">
        <v>3011</v>
      </c>
      <c r="G208" s="247">
        <v>3011</v>
      </c>
      <c r="H208" s="248">
        <v>3033</v>
      </c>
      <c r="I208" s="249">
        <v>2241</v>
      </c>
      <c r="J208" s="122" t="b">
        <f>IF(ISBLANK(CertifiedCrop[[#This Row],[1. Identifiant interne d’exploitation agricole*]]),"",IF(ISERROR(MATCH(CertifiedCrop[[#This Row],[1. Identifiant interne d’exploitation agricole*]],GroupMember[1. Identifiant interne d’exploitation agricole*],0)),FALSE,TRUE))</f>
        <v>1</v>
      </c>
      <c r="K208" s="122" t="b">
        <f t="array" ref="K208">IF(ISBLANK(CertifiedCrop[[#This Row],[2. Produit agricole certifié*]]),"",IF(ISERROR(MATCH(1,(#REF!=CertifiedCrop[[#This Row],[2. Produit agricole certifié*]])*(#REF!=CertifiedCrop[[#This Row],[3. Variété**]]),0)),FALSE,TRUE))</f>
        <v>0</v>
      </c>
      <c r="L208" s="20" t="str">
        <f t="shared" si="15"/>
        <v/>
      </c>
      <c r="M208" s="54" t="str">
        <f t="shared" si="16"/>
        <v/>
      </c>
      <c r="N208" s="54" t="str">
        <f t="shared" si="17"/>
        <v/>
      </c>
      <c r="O208" s="55">
        <f t="shared" si="18"/>
        <v>582.40740740740739</v>
      </c>
      <c r="P208" s="55">
        <f t="shared" si="19"/>
        <v>557.59259259259261</v>
      </c>
      <c r="Q208" s="9" t="str">
        <f ca="1">IFERROR((VLOOKUP(A208,GM_Table,8,FALSE)-SUMIFS(D:D,A:A,A208,B:B,B208,C:C,C208)),"")</f>
        <v/>
      </c>
      <c r="R208" s="9" t="str">
        <f ca="1">IFERROR(CONCATENATE(VLOOKUP(A208,GM_Table,12,FALSE)," ",(VLOOKUP(A208,GM_Table,13,FALSE))),"")</f>
        <v/>
      </c>
    </row>
    <row r="209" spans="1:18" ht="15" x14ac:dyDescent="0.2">
      <c r="A209" s="150" t="s">
        <v>1325</v>
      </c>
      <c r="B209" s="9" t="s">
        <v>3290</v>
      </c>
      <c r="C209" s="9" t="s">
        <v>3291</v>
      </c>
      <c r="D209" s="252">
        <v>1.61</v>
      </c>
      <c r="E209" s="221">
        <v>965</v>
      </c>
      <c r="F209" s="246">
        <v>954</v>
      </c>
      <c r="G209" s="247">
        <v>695</v>
      </c>
      <c r="H209" s="248">
        <v>858</v>
      </c>
      <c r="I209" s="249">
        <v>695</v>
      </c>
      <c r="J209" s="122" t="b">
        <f>IF(ISBLANK(CertifiedCrop[[#This Row],[1. Identifiant interne d’exploitation agricole*]]),"",IF(ISERROR(MATCH(CertifiedCrop[[#This Row],[1. Identifiant interne d’exploitation agricole*]],GroupMember[1. Identifiant interne d’exploitation agricole*],0)),FALSE,TRUE))</f>
        <v>1</v>
      </c>
      <c r="K209" s="122" t="b">
        <f t="array" ref="K209">IF(ISBLANK(CertifiedCrop[[#This Row],[2. Produit agricole certifié*]]),"",IF(ISERROR(MATCH(1,(#REF!=CertifiedCrop[[#This Row],[2. Produit agricole certifié*]])*(#REF!=CertifiedCrop[[#This Row],[3. Variété**]]),0)),FALSE,TRUE))</f>
        <v>0</v>
      </c>
      <c r="L209" s="20" t="str">
        <f t="shared" si="15"/>
        <v/>
      </c>
      <c r="M209" s="54" t="str">
        <f t="shared" si="16"/>
        <v>!</v>
      </c>
      <c r="N209" s="54" t="str">
        <f t="shared" si="17"/>
        <v/>
      </c>
      <c r="O209" s="55">
        <f t="shared" si="18"/>
        <v>599.37888198757764</v>
      </c>
      <c r="P209" s="55">
        <f t="shared" si="19"/>
        <v>592.5465838509316</v>
      </c>
      <c r="Q209" s="9" t="str">
        <f ca="1">IFERROR((VLOOKUP(A209,GM_Table,8,FALSE)-SUMIFS(D:D,A:A,A209,B:B,B209,C:C,C209)),"")</f>
        <v/>
      </c>
      <c r="R209" s="9" t="str">
        <f ca="1">IFERROR(CONCATENATE(VLOOKUP(A209,GM_Table,12,FALSE)," ",(VLOOKUP(A209,GM_Table,13,FALSE))),"")</f>
        <v/>
      </c>
    </row>
    <row r="210" spans="1:18" ht="15" x14ac:dyDescent="0.2">
      <c r="A210" s="150" t="s">
        <v>1327</v>
      </c>
      <c r="B210" s="9" t="s">
        <v>3290</v>
      </c>
      <c r="C210" s="9" t="s">
        <v>3291</v>
      </c>
      <c r="D210" s="252">
        <v>1.73</v>
      </c>
      <c r="E210" s="221">
        <v>986</v>
      </c>
      <c r="F210" s="246">
        <v>966</v>
      </c>
      <c r="G210" s="247">
        <v>966</v>
      </c>
      <c r="H210" s="248">
        <v>872</v>
      </c>
      <c r="I210" s="249">
        <v>943</v>
      </c>
      <c r="J210" s="122" t="b">
        <f>IF(ISBLANK(CertifiedCrop[[#This Row],[1. Identifiant interne d’exploitation agricole*]]),"",IF(ISERROR(MATCH(CertifiedCrop[[#This Row],[1. Identifiant interne d’exploitation agricole*]],GroupMember[1. Identifiant interne d’exploitation agricole*],0)),FALSE,TRUE))</f>
        <v>1</v>
      </c>
      <c r="K210" s="122" t="b">
        <f t="array" ref="K210">IF(ISBLANK(CertifiedCrop[[#This Row],[2. Produit agricole certifié*]]),"",IF(ISERROR(MATCH(1,(#REF!=CertifiedCrop[[#This Row],[2. Produit agricole certifié*]])*(#REF!=CertifiedCrop[[#This Row],[3. Variété**]]),0)),FALSE,TRUE))</f>
        <v>0</v>
      </c>
      <c r="L210" s="20" t="str">
        <f t="shared" si="15"/>
        <v/>
      </c>
      <c r="M210" s="54" t="str">
        <f t="shared" si="16"/>
        <v/>
      </c>
      <c r="N210" s="54" t="str">
        <f t="shared" si="17"/>
        <v/>
      </c>
      <c r="O210" s="55">
        <f t="shared" si="18"/>
        <v>569.94219653179186</v>
      </c>
      <c r="P210" s="55">
        <f t="shared" si="19"/>
        <v>558.38150289017346</v>
      </c>
      <c r="Q210" s="9" t="str">
        <f ca="1">IFERROR((VLOOKUP(A210,GM_Table,8,FALSE)-SUMIFS(D:D,A:A,A210,B:B,B210,C:C,C210)),"")</f>
        <v/>
      </c>
      <c r="R210" s="9" t="str">
        <f ca="1">IFERROR(CONCATENATE(VLOOKUP(A210,GM_Table,12,FALSE)," ",(VLOOKUP(A210,GM_Table,13,FALSE))),"")</f>
        <v/>
      </c>
    </row>
    <row r="211" spans="1:18" ht="15" x14ac:dyDescent="0.2">
      <c r="A211" s="150" t="s">
        <v>1329</v>
      </c>
      <c r="B211" s="9" t="s">
        <v>3290</v>
      </c>
      <c r="C211" s="9" t="s">
        <v>3291</v>
      </c>
      <c r="D211" s="252">
        <v>1.46</v>
      </c>
      <c r="E211" s="221">
        <v>782</v>
      </c>
      <c r="F211" s="246">
        <v>750</v>
      </c>
      <c r="G211" s="247">
        <v>545</v>
      </c>
      <c r="H211" s="248">
        <v>589</v>
      </c>
      <c r="I211" s="249">
        <v>730</v>
      </c>
      <c r="J211" s="122" t="b">
        <f>IF(ISBLANK(CertifiedCrop[[#This Row],[1. Identifiant interne d’exploitation agricole*]]),"",IF(ISERROR(MATCH(CertifiedCrop[[#This Row],[1. Identifiant interne d’exploitation agricole*]],GroupMember[1. Identifiant interne d’exploitation agricole*],0)),FALSE,TRUE))</f>
        <v>1</v>
      </c>
      <c r="K211" s="122" t="b">
        <f t="array" ref="K211">IF(ISBLANK(CertifiedCrop[[#This Row],[2. Produit agricole certifié*]]),"",IF(ISERROR(MATCH(1,(#REF!=CertifiedCrop[[#This Row],[2. Produit agricole certifié*]])*(#REF!=CertifiedCrop[[#This Row],[3. Variété**]]),0)),FALSE,TRUE))</f>
        <v>0</v>
      </c>
      <c r="L211" s="20" t="str">
        <f t="shared" si="15"/>
        <v/>
      </c>
      <c r="M211" s="54" t="str">
        <f t="shared" si="16"/>
        <v>!</v>
      </c>
      <c r="N211" s="54" t="str">
        <f t="shared" si="17"/>
        <v/>
      </c>
      <c r="O211" s="55">
        <f t="shared" si="18"/>
        <v>535.61643835616439</v>
      </c>
      <c r="P211" s="55">
        <f t="shared" si="19"/>
        <v>513.69863013698637</v>
      </c>
      <c r="Q211" s="9" t="str">
        <f ca="1">IFERROR((VLOOKUP(A211,GM_Table,8,FALSE)-SUMIFS(D:D,A:A,A211,B:B,B211,C:C,C211)),"")</f>
        <v/>
      </c>
      <c r="R211" s="9" t="str">
        <f ca="1">IFERROR(CONCATENATE(VLOOKUP(A211,GM_Table,12,FALSE)," ",(VLOOKUP(A211,GM_Table,13,FALSE))),"")</f>
        <v/>
      </c>
    </row>
    <row r="212" spans="1:18" ht="15" x14ac:dyDescent="0.2">
      <c r="A212" s="150" t="s">
        <v>1332</v>
      </c>
      <c r="B212" s="9" t="s">
        <v>3290</v>
      </c>
      <c r="C212" s="9" t="s">
        <v>3291</v>
      </c>
      <c r="D212" s="252">
        <v>1.04</v>
      </c>
      <c r="E212" s="221">
        <v>653</v>
      </c>
      <c r="F212" s="246">
        <v>625</v>
      </c>
      <c r="G212" s="247">
        <v>625</v>
      </c>
      <c r="H212" s="248">
        <v>581</v>
      </c>
      <c r="I212" s="249">
        <v>607</v>
      </c>
      <c r="J212" s="122" t="b">
        <f>IF(ISBLANK(CertifiedCrop[[#This Row],[1. Identifiant interne d’exploitation agricole*]]),"",IF(ISERROR(MATCH(CertifiedCrop[[#This Row],[1. Identifiant interne d’exploitation agricole*]],GroupMember[1. Identifiant interne d’exploitation agricole*],0)),FALSE,TRUE))</f>
        <v>1</v>
      </c>
      <c r="K212" s="122" t="b">
        <f t="array" ref="K212">IF(ISBLANK(CertifiedCrop[[#This Row],[2. Produit agricole certifié*]]),"",IF(ISERROR(MATCH(1,(#REF!=CertifiedCrop[[#This Row],[2. Produit agricole certifié*]])*(#REF!=CertifiedCrop[[#This Row],[3. Variété**]]),0)),FALSE,TRUE))</f>
        <v>0</v>
      </c>
      <c r="L212" s="20" t="str">
        <f t="shared" si="15"/>
        <v/>
      </c>
      <c r="M212" s="54" t="str">
        <f t="shared" si="16"/>
        <v/>
      </c>
      <c r="N212" s="54" t="str">
        <f t="shared" si="17"/>
        <v/>
      </c>
      <c r="O212" s="55">
        <f t="shared" si="18"/>
        <v>627.88461538461536</v>
      </c>
      <c r="P212" s="55">
        <f t="shared" si="19"/>
        <v>600.96153846153845</v>
      </c>
      <c r="Q212" s="9" t="str">
        <f ca="1">IFERROR((VLOOKUP(A212,GM_Table,8,FALSE)-SUMIFS(D:D,A:A,A212,B:B,B212,C:C,C212)),"")</f>
        <v/>
      </c>
      <c r="R212" s="9" t="str">
        <f ca="1">IFERROR(CONCATENATE(VLOOKUP(A212,GM_Table,12,FALSE)," ",(VLOOKUP(A212,GM_Table,13,FALSE))),"")</f>
        <v/>
      </c>
    </row>
    <row r="213" spans="1:18" ht="15" x14ac:dyDescent="0.2">
      <c r="A213" s="150" t="s">
        <v>1335</v>
      </c>
      <c r="B213" s="9" t="s">
        <v>3290</v>
      </c>
      <c r="C213" s="9" t="s">
        <v>3291</v>
      </c>
      <c r="D213" s="252">
        <v>1.06</v>
      </c>
      <c r="E213" s="221">
        <v>584</v>
      </c>
      <c r="F213" s="246">
        <v>550</v>
      </c>
      <c r="G213" s="247">
        <v>488</v>
      </c>
      <c r="H213" s="248">
        <v>491</v>
      </c>
      <c r="I213" s="249">
        <v>425</v>
      </c>
      <c r="J213" s="122" t="b">
        <f>IF(ISBLANK(CertifiedCrop[[#This Row],[1. Identifiant interne d’exploitation agricole*]]),"",IF(ISERROR(MATCH(CertifiedCrop[[#This Row],[1. Identifiant interne d’exploitation agricole*]],GroupMember[1. Identifiant interne d’exploitation agricole*],0)),FALSE,TRUE))</f>
        <v>1</v>
      </c>
      <c r="K213" s="122" t="b">
        <f t="array" ref="K213">IF(ISBLANK(CertifiedCrop[[#This Row],[2. Produit agricole certifié*]]),"",IF(ISERROR(MATCH(1,(#REF!=CertifiedCrop[[#This Row],[2. Produit agricole certifié*]])*(#REF!=CertifiedCrop[[#This Row],[3. Variété**]]),0)),FALSE,TRUE))</f>
        <v>0</v>
      </c>
      <c r="L213" s="20" t="str">
        <f t="shared" si="15"/>
        <v/>
      </c>
      <c r="M213" s="54" t="str">
        <f t="shared" si="16"/>
        <v/>
      </c>
      <c r="N213" s="54" t="str">
        <f t="shared" si="17"/>
        <v/>
      </c>
      <c r="O213" s="55">
        <f t="shared" si="18"/>
        <v>550.94339622641508</v>
      </c>
      <c r="P213" s="55">
        <f t="shared" si="19"/>
        <v>518.86792452830184</v>
      </c>
      <c r="Q213" s="9" t="str">
        <f ca="1">IFERROR((VLOOKUP(A213,GM_Table,8,FALSE)-SUMIFS(D:D,A:A,A213,B:B,B213,C:C,C213)),"")</f>
        <v/>
      </c>
      <c r="R213" s="9" t="str">
        <f ca="1">IFERROR(CONCATENATE(VLOOKUP(A213,GM_Table,12,FALSE)," ",(VLOOKUP(A213,GM_Table,13,FALSE))),"")</f>
        <v/>
      </c>
    </row>
    <row r="214" spans="1:18" ht="15" x14ac:dyDescent="0.2">
      <c r="A214" s="150" t="s">
        <v>1337</v>
      </c>
      <c r="B214" s="9" t="s">
        <v>3290</v>
      </c>
      <c r="C214" s="9" t="s">
        <v>3291</v>
      </c>
      <c r="D214" s="252">
        <v>1.79</v>
      </c>
      <c r="E214" s="245">
        <v>1061</v>
      </c>
      <c r="F214" s="246">
        <v>989</v>
      </c>
      <c r="G214" s="247">
        <v>951</v>
      </c>
      <c r="H214" s="248">
        <v>1000</v>
      </c>
      <c r="I214" s="249">
        <v>802</v>
      </c>
      <c r="J214" s="122" t="b">
        <f>IF(ISBLANK(CertifiedCrop[[#This Row],[1. Identifiant interne d’exploitation agricole*]]),"",IF(ISERROR(MATCH(CertifiedCrop[[#This Row],[1. Identifiant interne d’exploitation agricole*]],GroupMember[1. Identifiant interne d’exploitation agricole*],0)),FALSE,TRUE))</f>
        <v>1</v>
      </c>
      <c r="K214" s="122" t="b">
        <f t="array" ref="K214">IF(ISBLANK(CertifiedCrop[[#This Row],[2. Produit agricole certifié*]]),"",IF(ISERROR(MATCH(1,(#REF!=CertifiedCrop[[#This Row],[2. Produit agricole certifié*]])*(#REF!=CertifiedCrop[[#This Row],[3. Variété**]]),0)),FALSE,TRUE))</f>
        <v>0</v>
      </c>
      <c r="L214" s="20" t="str">
        <f t="shared" si="15"/>
        <v/>
      </c>
      <c r="M214" s="54" t="str">
        <f t="shared" si="16"/>
        <v/>
      </c>
      <c r="N214" s="54" t="str">
        <f t="shared" si="17"/>
        <v/>
      </c>
      <c r="O214" s="55">
        <f t="shared" si="18"/>
        <v>592.73743016759772</v>
      </c>
      <c r="P214" s="55">
        <f t="shared" si="19"/>
        <v>552.51396648044692</v>
      </c>
      <c r="Q214" s="9" t="str">
        <f ca="1">IFERROR((VLOOKUP(A214,GM_Table,8,FALSE)-SUMIFS(D:D,A:A,A214,B:B,B214,C:C,C214)),"")</f>
        <v/>
      </c>
      <c r="R214" s="9" t="str">
        <f ca="1">IFERROR(CONCATENATE(VLOOKUP(A214,GM_Table,12,FALSE)," ",(VLOOKUP(A214,GM_Table,13,FALSE))),"")</f>
        <v/>
      </c>
    </row>
    <row r="215" spans="1:18" ht="15" x14ac:dyDescent="0.2">
      <c r="A215" s="150" t="s">
        <v>1339</v>
      </c>
      <c r="B215" s="9" t="s">
        <v>3290</v>
      </c>
      <c r="C215" s="9" t="s">
        <v>3291</v>
      </c>
      <c r="D215" s="252">
        <v>3</v>
      </c>
      <c r="E215" s="245">
        <v>1660</v>
      </c>
      <c r="F215" s="246">
        <v>1565</v>
      </c>
      <c r="G215" s="247">
        <v>720</v>
      </c>
      <c r="H215" s="248">
        <v>1519</v>
      </c>
      <c r="I215" s="249">
        <v>1165</v>
      </c>
      <c r="J215" s="122" t="b">
        <f>IF(ISBLANK(CertifiedCrop[[#This Row],[1. Identifiant interne d’exploitation agricole*]]),"",IF(ISERROR(MATCH(CertifiedCrop[[#This Row],[1. Identifiant interne d’exploitation agricole*]],GroupMember[1. Identifiant interne d’exploitation agricole*],0)),FALSE,TRUE))</f>
        <v>1</v>
      </c>
      <c r="K215" s="122" t="b">
        <f t="array" ref="K215">IF(ISBLANK(CertifiedCrop[[#This Row],[2. Produit agricole certifié*]]),"",IF(ISERROR(MATCH(1,(#REF!=CertifiedCrop[[#This Row],[2. Produit agricole certifié*]])*(#REF!=CertifiedCrop[[#This Row],[3. Variété**]]),0)),FALSE,TRUE))</f>
        <v>0</v>
      </c>
      <c r="L215" s="20" t="str">
        <f t="shared" si="15"/>
        <v/>
      </c>
      <c r="M215" s="54" t="str">
        <f t="shared" si="16"/>
        <v>!</v>
      </c>
      <c r="N215" s="54" t="str">
        <f t="shared" si="17"/>
        <v>!</v>
      </c>
      <c r="O215" s="55">
        <f t="shared" si="18"/>
        <v>553.33333333333337</v>
      </c>
      <c r="P215" s="55">
        <f t="shared" si="19"/>
        <v>521.66666666666663</v>
      </c>
      <c r="Q215" s="9" t="str">
        <f ca="1">IFERROR((VLOOKUP(A215,GM_Table,8,FALSE)-SUMIFS(D:D,A:A,A215,B:B,B215,C:C,C215)),"")</f>
        <v/>
      </c>
      <c r="R215" s="9" t="str">
        <f ca="1">IFERROR(CONCATENATE(VLOOKUP(A215,GM_Table,12,FALSE)," ",(VLOOKUP(A215,GM_Table,13,FALSE))),"")</f>
        <v/>
      </c>
    </row>
    <row r="216" spans="1:18" ht="15" x14ac:dyDescent="0.2">
      <c r="A216" s="150" t="s">
        <v>1341</v>
      </c>
      <c r="B216" s="9" t="s">
        <v>3290</v>
      </c>
      <c r="C216" s="9" t="s">
        <v>3291</v>
      </c>
      <c r="D216" s="252">
        <v>1.95</v>
      </c>
      <c r="E216" s="245">
        <v>1076</v>
      </c>
      <c r="F216" s="246">
        <v>1047</v>
      </c>
      <c r="G216" s="247">
        <v>872</v>
      </c>
      <c r="H216" s="248">
        <v>803</v>
      </c>
      <c r="I216" s="249">
        <v>795</v>
      </c>
      <c r="J216" s="122" t="b">
        <f>IF(ISBLANK(CertifiedCrop[[#This Row],[1. Identifiant interne d’exploitation agricole*]]),"",IF(ISERROR(MATCH(CertifiedCrop[[#This Row],[1. Identifiant interne d’exploitation agricole*]],GroupMember[1. Identifiant interne d’exploitation agricole*],0)),FALSE,TRUE))</f>
        <v>1</v>
      </c>
      <c r="K216" s="122" t="b">
        <f t="array" ref="K216">IF(ISBLANK(CertifiedCrop[[#This Row],[2. Produit agricole certifié*]]),"",IF(ISERROR(MATCH(1,(#REF!=CertifiedCrop[[#This Row],[2. Produit agricole certifié*]])*(#REF!=CertifiedCrop[[#This Row],[3. Variété**]]),0)),FALSE,TRUE))</f>
        <v>0</v>
      </c>
      <c r="L216" s="20" t="str">
        <f t="shared" si="15"/>
        <v/>
      </c>
      <c r="M216" s="54" t="str">
        <f t="shared" si="16"/>
        <v/>
      </c>
      <c r="N216" s="54" t="str">
        <f t="shared" si="17"/>
        <v/>
      </c>
      <c r="O216" s="55">
        <f t="shared" si="18"/>
        <v>551.79487179487182</v>
      </c>
      <c r="P216" s="55">
        <f t="shared" si="19"/>
        <v>536.92307692307691</v>
      </c>
      <c r="Q216" s="9" t="str">
        <f ca="1">IFERROR((VLOOKUP(A216,GM_Table,8,FALSE)-SUMIFS(D:D,A:A,A216,B:B,B216,C:C,C216)),"")</f>
        <v/>
      </c>
      <c r="R216" s="9" t="str">
        <f ca="1">IFERROR(CONCATENATE(VLOOKUP(A216,GM_Table,12,FALSE)," ",(VLOOKUP(A216,GM_Table,13,FALSE))),"")</f>
        <v/>
      </c>
    </row>
    <row r="217" spans="1:18" ht="15" x14ac:dyDescent="0.2">
      <c r="A217" s="150" t="s">
        <v>1345</v>
      </c>
      <c r="B217" s="9" t="s">
        <v>3290</v>
      </c>
      <c r="C217" s="9" t="s">
        <v>3291</v>
      </c>
      <c r="D217" s="252">
        <v>1.82</v>
      </c>
      <c r="E217" s="245">
        <v>1142</v>
      </c>
      <c r="F217" s="246">
        <v>1077</v>
      </c>
      <c r="G217" s="247">
        <v>1077</v>
      </c>
      <c r="H217" s="248">
        <v>1048</v>
      </c>
      <c r="I217" s="249">
        <v>1013</v>
      </c>
      <c r="J217" s="122" t="b">
        <f>IF(ISBLANK(CertifiedCrop[[#This Row],[1. Identifiant interne d’exploitation agricole*]]),"",IF(ISERROR(MATCH(CertifiedCrop[[#This Row],[1. Identifiant interne d’exploitation agricole*]],GroupMember[1. Identifiant interne d’exploitation agricole*],0)),FALSE,TRUE))</f>
        <v>1</v>
      </c>
      <c r="K217" s="122" t="b">
        <f t="array" ref="K217">IF(ISBLANK(CertifiedCrop[[#This Row],[2. Produit agricole certifié*]]),"",IF(ISERROR(MATCH(1,(#REF!=CertifiedCrop[[#This Row],[2. Produit agricole certifié*]])*(#REF!=CertifiedCrop[[#This Row],[3. Variété**]]),0)),FALSE,TRUE))</f>
        <v>0</v>
      </c>
      <c r="L217" s="20" t="str">
        <f t="shared" si="15"/>
        <v/>
      </c>
      <c r="M217" s="54" t="str">
        <f t="shared" si="16"/>
        <v/>
      </c>
      <c r="N217" s="54" t="str">
        <f t="shared" si="17"/>
        <v/>
      </c>
      <c r="O217" s="55">
        <f t="shared" si="18"/>
        <v>627.47252747252742</v>
      </c>
      <c r="P217" s="55">
        <f t="shared" si="19"/>
        <v>591.75824175824175</v>
      </c>
      <c r="Q217" s="9" t="str">
        <f ca="1">IFERROR((VLOOKUP(A217,GM_Table,8,FALSE)-SUMIFS(D:D,A:A,A217,B:B,B217,C:C,C217)),"")</f>
        <v/>
      </c>
      <c r="R217" s="9" t="str">
        <f ca="1">IFERROR(CONCATENATE(VLOOKUP(A217,GM_Table,12,FALSE)," ",(VLOOKUP(A217,GM_Table,13,FALSE))),"")</f>
        <v/>
      </c>
    </row>
    <row r="218" spans="1:18" ht="15" x14ac:dyDescent="0.2">
      <c r="A218" s="150" t="s">
        <v>1348</v>
      </c>
      <c r="B218" s="9" t="s">
        <v>3290</v>
      </c>
      <c r="C218" s="9" t="s">
        <v>3291</v>
      </c>
      <c r="D218" s="252">
        <v>3</v>
      </c>
      <c r="E218" s="245">
        <v>1889</v>
      </c>
      <c r="F218" s="246">
        <v>1758</v>
      </c>
      <c r="G218" s="247">
        <v>1758</v>
      </c>
      <c r="H218" s="248">
        <v>1767</v>
      </c>
      <c r="I218" s="249">
        <v>1754</v>
      </c>
      <c r="J218" s="122" t="b">
        <f>IF(ISBLANK(CertifiedCrop[[#This Row],[1. Identifiant interne d’exploitation agricole*]]),"",IF(ISERROR(MATCH(CertifiedCrop[[#This Row],[1. Identifiant interne d’exploitation agricole*]],GroupMember[1. Identifiant interne d’exploitation agricole*],0)),FALSE,TRUE))</f>
        <v>1</v>
      </c>
      <c r="K218" s="122" t="b">
        <f t="array" ref="K218">IF(ISBLANK(CertifiedCrop[[#This Row],[2. Produit agricole certifié*]]),"",IF(ISERROR(MATCH(1,(#REF!=CertifiedCrop[[#This Row],[2. Produit agricole certifié*]])*(#REF!=CertifiedCrop[[#This Row],[3. Variété**]]),0)),FALSE,TRUE))</f>
        <v>0</v>
      </c>
      <c r="L218" s="20" t="str">
        <f t="shared" si="15"/>
        <v/>
      </c>
      <c r="M218" s="54" t="str">
        <f t="shared" si="16"/>
        <v/>
      </c>
      <c r="N218" s="54" t="str">
        <f t="shared" si="17"/>
        <v/>
      </c>
      <c r="O218" s="55">
        <f t="shared" si="18"/>
        <v>629.66666666666663</v>
      </c>
      <c r="P218" s="55">
        <f t="shared" si="19"/>
        <v>586</v>
      </c>
      <c r="Q218" s="9" t="str">
        <f ca="1">IFERROR((VLOOKUP(A218,GM_Table,8,FALSE)-SUMIFS(D:D,A:A,A218,B:B,B218,C:C,C218)),"")</f>
        <v/>
      </c>
      <c r="R218" s="9" t="str">
        <f ca="1">IFERROR(CONCATENATE(VLOOKUP(A218,GM_Table,12,FALSE)," ",(VLOOKUP(A218,GM_Table,13,FALSE))),"")</f>
        <v/>
      </c>
    </row>
    <row r="219" spans="1:18" ht="15" x14ac:dyDescent="0.2">
      <c r="A219" s="150" t="s">
        <v>1350</v>
      </c>
      <c r="B219" s="9" t="s">
        <v>3290</v>
      </c>
      <c r="C219" s="9" t="s">
        <v>3291</v>
      </c>
      <c r="D219" s="252">
        <v>2.57</v>
      </c>
      <c r="E219" s="245">
        <v>1406</v>
      </c>
      <c r="F219" s="246">
        <v>1362</v>
      </c>
      <c r="G219" s="247">
        <v>1077</v>
      </c>
      <c r="H219" s="248">
        <v>1563</v>
      </c>
      <c r="I219" s="249">
        <v>925</v>
      </c>
      <c r="J219" s="122" t="b">
        <f>IF(ISBLANK(CertifiedCrop[[#This Row],[1. Identifiant interne d’exploitation agricole*]]),"",IF(ISERROR(MATCH(CertifiedCrop[[#This Row],[1. Identifiant interne d’exploitation agricole*]],GroupMember[1. Identifiant interne d’exploitation agricole*],0)),FALSE,TRUE))</f>
        <v>1</v>
      </c>
      <c r="K219" s="122" t="b">
        <f t="array" ref="K219">IF(ISBLANK(CertifiedCrop[[#This Row],[2. Produit agricole certifié*]]),"",IF(ISERROR(MATCH(1,(#REF!=CertifiedCrop[[#This Row],[2. Produit agricole certifié*]])*(#REF!=CertifiedCrop[[#This Row],[3. Variété**]]),0)),FALSE,TRUE))</f>
        <v>0</v>
      </c>
      <c r="L219" s="20" t="str">
        <f t="shared" si="15"/>
        <v/>
      </c>
      <c r="M219" s="54" t="str">
        <f t="shared" si="16"/>
        <v>!</v>
      </c>
      <c r="N219" s="54" t="str">
        <f t="shared" si="17"/>
        <v>!</v>
      </c>
      <c r="O219" s="55">
        <f t="shared" si="18"/>
        <v>547.08171206225688</v>
      </c>
      <c r="P219" s="55">
        <f t="shared" si="19"/>
        <v>529.9610894941635</v>
      </c>
      <c r="Q219" s="9" t="str">
        <f ca="1">IFERROR((VLOOKUP(A219,GM_Table,8,FALSE)-SUMIFS(D:D,A:A,A219,B:B,B219,C:C,C219)),"")</f>
        <v/>
      </c>
      <c r="R219" s="9" t="str">
        <f ca="1">IFERROR(CONCATENATE(VLOOKUP(A219,GM_Table,12,FALSE)," ",(VLOOKUP(A219,GM_Table,13,FALSE))),"")</f>
        <v/>
      </c>
    </row>
    <row r="220" spans="1:18" ht="15" x14ac:dyDescent="0.2">
      <c r="A220" s="150" t="s">
        <v>1353</v>
      </c>
      <c r="B220" s="9" t="s">
        <v>3290</v>
      </c>
      <c r="C220" s="9" t="s">
        <v>3291</v>
      </c>
      <c r="D220" s="252">
        <v>3.95</v>
      </c>
      <c r="E220" s="245">
        <v>2498</v>
      </c>
      <c r="F220" s="246">
        <v>2356</v>
      </c>
      <c r="G220" s="247">
        <v>2078</v>
      </c>
      <c r="H220" s="248">
        <v>1640</v>
      </c>
      <c r="I220" s="249">
        <v>1565</v>
      </c>
      <c r="J220" s="122" t="b">
        <f>IF(ISBLANK(CertifiedCrop[[#This Row],[1. Identifiant interne d’exploitation agricole*]]),"",IF(ISERROR(MATCH(CertifiedCrop[[#This Row],[1. Identifiant interne d’exploitation agricole*]],GroupMember[1. Identifiant interne d’exploitation agricole*],0)),FALSE,TRUE))</f>
        <v>1</v>
      </c>
      <c r="K220" s="122" t="b">
        <f t="array" ref="K220">IF(ISBLANK(CertifiedCrop[[#This Row],[2. Produit agricole certifié*]]),"",IF(ISERROR(MATCH(1,(#REF!=CertifiedCrop[[#This Row],[2. Produit agricole certifié*]])*(#REF!=CertifiedCrop[[#This Row],[3. Variété**]]),0)),FALSE,TRUE))</f>
        <v>0</v>
      </c>
      <c r="L220" s="20" t="str">
        <f t="shared" si="15"/>
        <v/>
      </c>
      <c r="M220" s="54" t="str">
        <f t="shared" si="16"/>
        <v/>
      </c>
      <c r="N220" s="54" t="str">
        <f t="shared" si="17"/>
        <v>!</v>
      </c>
      <c r="O220" s="55">
        <f t="shared" si="18"/>
        <v>632.40506329113919</v>
      </c>
      <c r="P220" s="55">
        <f t="shared" si="19"/>
        <v>596.45569620253161</v>
      </c>
      <c r="Q220" s="9" t="str">
        <f ca="1">IFERROR((VLOOKUP(A220,GM_Table,8,FALSE)-SUMIFS(D:D,A:A,A220,B:B,B220,C:C,C220)),"")</f>
        <v/>
      </c>
      <c r="R220" s="9" t="str">
        <f ca="1">IFERROR(CONCATENATE(VLOOKUP(A220,GM_Table,12,FALSE)," ",(VLOOKUP(A220,GM_Table,13,FALSE))),"")</f>
        <v/>
      </c>
    </row>
    <row r="221" spans="1:18" ht="15" x14ac:dyDescent="0.2">
      <c r="A221" s="150" t="s">
        <v>1357</v>
      </c>
      <c r="B221" s="9" t="s">
        <v>3290</v>
      </c>
      <c r="C221" s="9" t="s">
        <v>3291</v>
      </c>
      <c r="D221" s="252">
        <v>2.78</v>
      </c>
      <c r="E221" s="245">
        <v>1769</v>
      </c>
      <c r="F221" s="246">
        <v>1685</v>
      </c>
      <c r="G221" s="247">
        <v>1549</v>
      </c>
      <c r="H221" s="248">
        <v>1637</v>
      </c>
      <c r="I221" s="249">
        <v>1097</v>
      </c>
      <c r="J221" s="122" t="b">
        <f>IF(ISBLANK(CertifiedCrop[[#This Row],[1. Identifiant interne d’exploitation agricole*]]),"",IF(ISERROR(MATCH(CertifiedCrop[[#This Row],[1. Identifiant interne d’exploitation agricole*]],GroupMember[1. Identifiant interne d’exploitation agricole*],0)),FALSE,TRUE))</f>
        <v>1</v>
      </c>
      <c r="K221" s="122" t="b">
        <f t="array" ref="K221">IF(ISBLANK(CertifiedCrop[[#This Row],[2. Produit agricole certifié*]]),"",IF(ISERROR(MATCH(1,(#REF!=CertifiedCrop[[#This Row],[2. Produit agricole certifié*]])*(#REF!=CertifiedCrop[[#This Row],[3. Variété**]]),0)),FALSE,TRUE))</f>
        <v>0</v>
      </c>
      <c r="L221" s="20" t="str">
        <f t="shared" si="15"/>
        <v/>
      </c>
      <c r="M221" s="54" t="str">
        <f t="shared" si="16"/>
        <v/>
      </c>
      <c r="N221" s="54" t="str">
        <f t="shared" si="17"/>
        <v/>
      </c>
      <c r="O221" s="55">
        <f t="shared" si="18"/>
        <v>636.33093525179856</v>
      </c>
      <c r="P221" s="55">
        <f t="shared" si="19"/>
        <v>606.11510791366914</v>
      </c>
      <c r="Q221" s="9" t="str">
        <f ca="1">IFERROR((VLOOKUP(A221,GM_Table,8,FALSE)-SUMIFS(D:D,A:A,A221,B:B,B221,C:C,C221)),"")</f>
        <v/>
      </c>
      <c r="R221" s="9" t="str">
        <f ca="1">IFERROR(CONCATENATE(VLOOKUP(A221,GM_Table,12,FALSE)," ",(VLOOKUP(A221,GM_Table,13,FALSE))),"")</f>
        <v/>
      </c>
    </row>
    <row r="222" spans="1:18" ht="15" x14ac:dyDescent="0.2">
      <c r="A222" s="150" t="s">
        <v>1361</v>
      </c>
      <c r="B222" s="9" t="s">
        <v>3290</v>
      </c>
      <c r="C222" s="9" t="s">
        <v>3291</v>
      </c>
      <c r="D222" s="252">
        <v>3</v>
      </c>
      <c r="E222" s="245">
        <v>1695</v>
      </c>
      <c r="F222" s="246">
        <v>1589</v>
      </c>
      <c r="G222" s="247">
        <v>1256</v>
      </c>
      <c r="H222" s="248">
        <v>1768</v>
      </c>
      <c r="I222" s="249">
        <v>1202</v>
      </c>
      <c r="J222" s="122" t="b">
        <f>IF(ISBLANK(CertifiedCrop[[#This Row],[1. Identifiant interne d’exploitation agricole*]]),"",IF(ISERROR(MATCH(CertifiedCrop[[#This Row],[1. Identifiant interne d’exploitation agricole*]],GroupMember[1. Identifiant interne d’exploitation agricole*],0)),FALSE,TRUE))</f>
        <v>1</v>
      </c>
      <c r="K222" s="122" t="b">
        <f t="array" ref="K222">IF(ISBLANK(CertifiedCrop[[#This Row],[2. Produit agricole certifié*]]),"",IF(ISERROR(MATCH(1,(#REF!=CertifiedCrop[[#This Row],[2. Produit agricole certifié*]])*(#REF!=CertifiedCrop[[#This Row],[3. Variété**]]),0)),FALSE,TRUE))</f>
        <v>0</v>
      </c>
      <c r="L222" s="20" t="str">
        <f t="shared" si="15"/>
        <v/>
      </c>
      <c r="M222" s="54" t="str">
        <f t="shared" si="16"/>
        <v>!</v>
      </c>
      <c r="N222" s="54" t="str">
        <f t="shared" si="17"/>
        <v>!</v>
      </c>
      <c r="O222" s="55">
        <f t="shared" si="18"/>
        <v>565</v>
      </c>
      <c r="P222" s="55">
        <f t="shared" si="19"/>
        <v>529.66666666666663</v>
      </c>
      <c r="Q222" s="9" t="str">
        <f ca="1">IFERROR((VLOOKUP(A222,GM_Table,8,FALSE)-SUMIFS(D:D,A:A,A222,B:B,B222,C:C,C222)),"")</f>
        <v/>
      </c>
      <c r="R222" s="9" t="str">
        <f ca="1">IFERROR(CONCATENATE(VLOOKUP(A222,GM_Table,12,FALSE)," ",(VLOOKUP(A222,GM_Table,13,FALSE))),"")</f>
        <v/>
      </c>
    </row>
    <row r="223" spans="1:18" ht="15" x14ac:dyDescent="0.2">
      <c r="A223" s="150" t="s">
        <v>1364</v>
      </c>
      <c r="B223" s="9" t="s">
        <v>3290</v>
      </c>
      <c r="C223" s="9" t="s">
        <v>3291</v>
      </c>
      <c r="D223" s="252">
        <v>6.01</v>
      </c>
      <c r="E223" s="245">
        <v>3474</v>
      </c>
      <c r="F223" s="246">
        <v>3369</v>
      </c>
      <c r="G223" s="247">
        <v>2757</v>
      </c>
      <c r="H223" s="248">
        <v>3586</v>
      </c>
      <c r="I223" s="249">
        <v>2365</v>
      </c>
      <c r="J223" s="122" t="b">
        <f>IF(ISBLANK(CertifiedCrop[[#This Row],[1. Identifiant interne d’exploitation agricole*]]),"",IF(ISERROR(MATCH(CertifiedCrop[[#This Row],[1. Identifiant interne d’exploitation agricole*]],GroupMember[1. Identifiant interne d’exploitation agricole*],0)),FALSE,TRUE))</f>
        <v>1</v>
      </c>
      <c r="K223" s="122" t="b">
        <f t="array" ref="K223">IF(ISBLANK(CertifiedCrop[[#This Row],[2. Produit agricole certifié*]]),"",IF(ISERROR(MATCH(1,(#REF!=CertifiedCrop[[#This Row],[2. Produit agricole certifié*]])*(#REF!=CertifiedCrop[[#This Row],[3. Variété**]]),0)),FALSE,TRUE))</f>
        <v>0</v>
      </c>
      <c r="L223" s="20" t="str">
        <f t="shared" si="15"/>
        <v/>
      </c>
      <c r="M223" s="54" t="str">
        <f t="shared" si="16"/>
        <v/>
      </c>
      <c r="N223" s="54" t="str">
        <f t="shared" si="17"/>
        <v/>
      </c>
      <c r="O223" s="55">
        <f t="shared" si="18"/>
        <v>578.03660565723794</v>
      </c>
      <c r="P223" s="55">
        <f t="shared" si="19"/>
        <v>560.56572379367719</v>
      </c>
      <c r="Q223" s="9" t="str">
        <f ca="1">IFERROR((VLOOKUP(A223,GM_Table,8,FALSE)-SUMIFS(D:D,A:A,A223,B:B,B223,C:C,C223)),"")</f>
        <v/>
      </c>
      <c r="R223" s="9" t="str">
        <f ca="1">IFERROR(CONCATENATE(VLOOKUP(A223,GM_Table,12,FALSE)," ",(VLOOKUP(A223,GM_Table,13,FALSE))),"")</f>
        <v/>
      </c>
    </row>
    <row r="224" spans="1:18" ht="15" x14ac:dyDescent="0.2">
      <c r="A224" s="150" t="s">
        <v>1368</v>
      </c>
      <c r="B224" s="9" t="s">
        <v>3290</v>
      </c>
      <c r="C224" s="9" t="s">
        <v>3291</v>
      </c>
      <c r="D224" s="252">
        <v>1.3693</v>
      </c>
      <c r="E224" s="221">
        <v>867</v>
      </c>
      <c r="F224" s="246">
        <v>865</v>
      </c>
      <c r="G224" s="247">
        <v>685</v>
      </c>
      <c r="H224" s="248">
        <v>642</v>
      </c>
      <c r="I224" s="249">
        <v>812</v>
      </c>
      <c r="J224" s="122" t="b">
        <f>IF(ISBLANK(CertifiedCrop[[#This Row],[1. Identifiant interne d’exploitation agricole*]]),"",IF(ISERROR(MATCH(CertifiedCrop[[#This Row],[1. Identifiant interne d’exploitation agricole*]],GroupMember[1. Identifiant interne d’exploitation agricole*],0)),FALSE,TRUE))</f>
        <v>1</v>
      </c>
      <c r="K224" s="122" t="b">
        <f t="array" ref="K224">IF(ISBLANK(CertifiedCrop[[#This Row],[2. Produit agricole certifié*]]),"",IF(ISERROR(MATCH(1,(#REF!=CertifiedCrop[[#This Row],[2. Produit agricole certifié*]])*(#REF!=CertifiedCrop[[#This Row],[3. Variété**]]),0)),FALSE,TRUE))</f>
        <v>0</v>
      </c>
      <c r="L224" s="20" t="str">
        <f t="shared" si="15"/>
        <v/>
      </c>
      <c r="M224" s="54" t="str">
        <f t="shared" si="16"/>
        <v>!</v>
      </c>
      <c r="N224" s="54" t="str">
        <f t="shared" si="17"/>
        <v/>
      </c>
      <c r="O224" s="55">
        <f t="shared" si="18"/>
        <v>633.17023296574894</v>
      </c>
      <c r="P224" s="55">
        <f t="shared" si="19"/>
        <v>631.70963265902287</v>
      </c>
      <c r="Q224" s="9" t="str">
        <f ca="1">IFERROR((VLOOKUP(A224,GM_Table,8,FALSE)-SUMIFS(D:D,A:A,A224,B:B,B224,C:C,C224)),"")</f>
        <v/>
      </c>
      <c r="R224" s="9" t="str">
        <f ca="1">IFERROR(CONCATENATE(VLOOKUP(A224,GM_Table,12,FALSE)," ",(VLOOKUP(A224,GM_Table,13,FALSE))),"")</f>
        <v/>
      </c>
    </row>
    <row r="225" spans="1:18" ht="15" x14ac:dyDescent="0.2">
      <c r="A225" s="150" t="s">
        <v>1371</v>
      </c>
      <c r="B225" s="9" t="s">
        <v>3290</v>
      </c>
      <c r="C225" s="9" t="s">
        <v>3291</v>
      </c>
      <c r="D225" s="252">
        <v>1.96</v>
      </c>
      <c r="E225" s="245">
        <v>1110</v>
      </c>
      <c r="F225" s="246">
        <v>1087</v>
      </c>
      <c r="G225" s="247">
        <v>634</v>
      </c>
      <c r="H225" s="248">
        <v>935</v>
      </c>
      <c r="I225" s="249">
        <v>951</v>
      </c>
      <c r="J225" s="122" t="b">
        <f>IF(ISBLANK(CertifiedCrop[[#This Row],[1. Identifiant interne d’exploitation agricole*]]),"",IF(ISERROR(MATCH(CertifiedCrop[[#This Row],[1. Identifiant interne d’exploitation agricole*]],GroupMember[1. Identifiant interne d’exploitation agricole*],0)),FALSE,TRUE))</f>
        <v>1</v>
      </c>
      <c r="K225" s="122" t="b">
        <f t="array" ref="K225">IF(ISBLANK(CertifiedCrop[[#This Row],[2. Produit agricole certifié*]]),"",IF(ISERROR(MATCH(1,(#REF!=CertifiedCrop[[#This Row],[2. Produit agricole certifié*]])*(#REF!=CertifiedCrop[[#This Row],[3. Variété**]]),0)),FALSE,TRUE))</f>
        <v>0</v>
      </c>
      <c r="L225" s="20" t="str">
        <f t="shared" si="15"/>
        <v/>
      </c>
      <c r="M225" s="54" t="str">
        <f t="shared" si="16"/>
        <v>!</v>
      </c>
      <c r="N225" s="54" t="str">
        <f t="shared" si="17"/>
        <v>!</v>
      </c>
      <c r="O225" s="55">
        <f t="shared" si="18"/>
        <v>566.32653061224494</v>
      </c>
      <c r="P225" s="55">
        <f t="shared" si="19"/>
        <v>554.59183673469386</v>
      </c>
      <c r="Q225" s="9" t="str">
        <f ca="1">IFERROR((VLOOKUP(A225,GM_Table,8,FALSE)-SUMIFS(D:D,A:A,A225,B:B,B225,C:C,C225)),"")</f>
        <v/>
      </c>
      <c r="R225" s="9" t="str">
        <f ca="1">IFERROR(CONCATENATE(VLOOKUP(A225,GM_Table,12,FALSE)," ",(VLOOKUP(A225,GM_Table,13,FALSE))),"")</f>
        <v/>
      </c>
    </row>
    <row r="226" spans="1:18" ht="15" x14ac:dyDescent="0.2">
      <c r="A226" s="150" t="s">
        <v>1374</v>
      </c>
      <c r="B226" s="9" t="s">
        <v>3290</v>
      </c>
      <c r="C226" s="9" t="s">
        <v>3291</v>
      </c>
      <c r="D226" s="252">
        <v>3.78</v>
      </c>
      <c r="E226" s="245">
        <v>2058</v>
      </c>
      <c r="F226" s="246">
        <v>2005</v>
      </c>
      <c r="G226" s="247">
        <v>1328</v>
      </c>
      <c r="H226" s="248">
        <v>1694</v>
      </c>
      <c r="I226" s="249">
        <v>1425</v>
      </c>
      <c r="J226" s="122" t="b">
        <f>IF(ISBLANK(CertifiedCrop[[#This Row],[1. Identifiant interne d’exploitation agricole*]]),"",IF(ISERROR(MATCH(CertifiedCrop[[#This Row],[1. Identifiant interne d’exploitation agricole*]],GroupMember[1. Identifiant interne d’exploitation agricole*],0)),FALSE,TRUE))</f>
        <v>1</v>
      </c>
      <c r="K226" s="122" t="b">
        <f t="array" ref="K226">IF(ISBLANK(CertifiedCrop[[#This Row],[2. Produit agricole certifié*]]),"",IF(ISERROR(MATCH(1,(#REF!=CertifiedCrop[[#This Row],[2. Produit agricole certifié*]])*(#REF!=CertifiedCrop[[#This Row],[3. Variété**]]),0)),FALSE,TRUE))</f>
        <v>0</v>
      </c>
      <c r="L226" s="20" t="str">
        <f t="shared" si="15"/>
        <v/>
      </c>
      <c r="M226" s="54" t="str">
        <f t="shared" si="16"/>
        <v>!</v>
      </c>
      <c r="N226" s="54" t="str">
        <f t="shared" si="17"/>
        <v/>
      </c>
      <c r="O226" s="55">
        <f t="shared" si="18"/>
        <v>544.44444444444446</v>
      </c>
      <c r="P226" s="55">
        <f t="shared" si="19"/>
        <v>530.4232804232804</v>
      </c>
      <c r="Q226" s="9" t="str">
        <f ca="1">IFERROR((VLOOKUP(A226,GM_Table,8,FALSE)-SUMIFS(D:D,A:A,A226,B:B,B226,C:C,C226)),"")</f>
        <v/>
      </c>
      <c r="R226" s="9" t="str">
        <f ca="1">IFERROR(CONCATENATE(VLOOKUP(A226,GM_Table,12,FALSE)," ",(VLOOKUP(A226,GM_Table,13,FALSE))),"")</f>
        <v/>
      </c>
    </row>
    <row r="227" spans="1:18" ht="15" x14ac:dyDescent="0.2">
      <c r="A227" s="150" t="s">
        <v>1378</v>
      </c>
      <c r="B227" s="9" t="s">
        <v>3290</v>
      </c>
      <c r="C227" s="9" t="s">
        <v>3291</v>
      </c>
      <c r="D227" s="252">
        <v>1.1200000000000001</v>
      </c>
      <c r="E227" s="221">
        <v>668</v>
      </c>
      <c r="F227" s="246">
        <v>650</v>
      </c>
      <c r="G227" s="247">
        <v>362</v>
      </c>
      <c r="H227" s="248">
        <v>627</v>
      </c>
      <c r="I227" s="249">
        <v>605</v>
      </c>
      <c r="J227" s="122" t="b">
        <f>IF(ISBLANK(CertifiedCrop[[#This Row],[1. Identifiant interne d’exploitation agricole*]]),"",IF(ISERROR(MATCH(CertifiedCrop[[#This Row],[1. Identifiant interne d’exploitation agricole*]],GroupMember[1. Identifiant interne d’exploitation agricole*],0)),FALSE,TRUE))</f>
        <v>1</v>
      </c>
      <c r="K227" s="122" t="b">
        <f t="array" ref="K227">IF(ISBLANK(CertifiedCrop[[#This Row],[2. Produit agricole certifié*]]),"",IF(ISERROR(MATCH(1,(#REF!=CertifiedCrop[[#This Row],[2. Produit agricole certifié*]])*(#REF!=CertifiedCrop[[#This Row],[3. Variété**]]),0)),FALSE,TRUE))</f>
        <v>0</v>
      </c>
      <c r="L227" s="20" t="str">
        <f t="shared" si="15"/>
        <v/>
      </c>
      <c r="M227" s="54" t="str">
        <f t="shared" si="16"/>
        <v>!</v>
      </c>
      <c r="N227" s="54" t="str">
        <f t="shared" si="17"/>
        <v>!</v>
      </c>
      <c r="O227" s="55">
        <f t="shared" si="18"/>
        <v>596.42857142857133</v>
      </c>
      <c r="P227" s="55">
        <f t="shared" si="19"/>
        <v>580.35714285714278</v>
      </c>
      <c r="Q227" s="9" t="str">
        <f ca="1">IFERROR((VLOOKUP(A227,GM_Table,8,FALSE)-SUMIFS(D:D,A:A,A227,B:B,B227,C:C,C227)),"")</f>
        <v/>
      </c>
      <c r="R227" s="9" t="str">
        <f ca="1">IFERROR(CONCATENATE(VLOOKUP(A227,GM_Table,12,FALSE)," ",(VLOOKUP(A227,GM_Table,13,FALSE))),"")</f>
        <v/>
      </c>
    </row>
    <row r="228" spans="1:18" ht="15" x14ac:dyDescent="0.2">
      <c r="A228" s="150" t="s">
        <v>1381</v>
      </c>
      <c r="B228" s="9" t="s">
        <v>3290</v>
      </c>
      <c r="C228" s="9" t="s">
        <v>3291</v>
      </c>
      <c r="D228" s="252">
        <v>1.38</v>
      </c>
      <c r="E228" s="221">
        <v>742</v>
      </c>
      <c r="F228" s="246">
        <v>700</v>
      </c>
      <c r="G228" s="247">
        <v>548</v>
      </c>
      <c r="H228" s="248">
        <v>514</v>
      </c>
      <c r="I228" s="249">
        <v>694</v>
      </c>
      <c r="J228" s="122" t="b">
        <f>IF(ISBLANK(CertifiedCrop[[#This Row],[1. Identifiant interne d’exploitation agricole*]]),"",IF(ISERROR(MATCH(CertifiedCrop[[#This Row],[1. Identifiant interne d’exploitation agricole*]],GroupMember[1. Identifiant interne d’exploitation agricole*],0)),FALSE,TRUE))</f>
        <v>1</v>
      </c>
      <c r="K228" s="122" t="b">
        <f t="array" ref="K228">IF(ISBLANK(CertifiedCrop[[#This Row],[2. Produit agricole certifié*]]),"",IF(ISERROR(MATCH(1,(#REF!=CertifiedCrop[[#This Row],[2. Produit agricole certifié*]])*(#REF!=CertifiedCrop[[#This Row],[3. Variété**]]),0)),FALSE,TRUE))</f>
        <v>0</v>
      </c>
      <c r="L228" s="20" t="str">
        <f t="shared" si="15"/>
        <v/>
      </c>
      <c r="M228" s="54" t="str">
        <f t="shared" si="16"/>
        <v>!</v>
      </c>
      <c r="N228" s="54" t="str">
        <f t="shared" si="17"/>
        <v/>
      </c>
      <c r="O228" s="55">
        <f t="shared" si="18"/>
        <v>537.68115942028987</v>
      </c>
      <c r="P228" s="55">
        <f t="shared" si="19"/>
        <v>507.24637681159425</v>
      </c>
      <c r="Q228" s="9" t="str">
        <f ca="1">IFERROR((VLOOKUP(A228,GM_Table,8,FALSE)-SUMIFS(D:D,A:A,A228,B:B,B228,C:C,C228)),"")</f>
        <v/>
      </c>
      <c r="R228" s="9" t="str">
        <f ca="1">IFERROR(CONCATENATE(VLOOKUP(A228,GM_Table,12,FALSE)," ",(VLOOKUP(A228,GM_Table,13,FALSE))),"")</f>
        <v/>
      </c>
    </row>
    <row r="229" spans="1:18" ht="15" x14ac:dyDescent="0.2">
      <c r="A229" s="150" t="s">
        <v>1385</v>
      </c>
      <c r="B229" s="9" t="s">
        <v>3290</v>
      </c>
      <c r="C229" s="9" t="s">
        <v>3291</v>
      </c>
      <c r="D229" s="252">
        <v>2</v>
      </c>
      <c r="E229" s="245">
        <v>1187</v>
      </c>
      <c r="F229" s="246">
        <v>1096</v>
      </c>
      <c r="G229" s="247">
        <v>1060</v>
      </c>
      <c r="H229" s="248">
        <v>880</v>
      </c>
      <c r="I229" s="249">
        <v>1116</v>
      </c>
      <c r="J229" s="122" t="b">
        <f>IF(ISBLANK(CertifiedCrop[[#This Row],[1. Identifiant interne d’exploitation agricole*]]),"",IF(ISERROR(MATCH(CertifiedCrop[[#This Row],[1. Identifiant interne d’exploitation agricole*]],GroupMember[1. Identifiant interne d’exploitation agricole*],0)),FALSE,TRUE))</f>
        <v>1</v>
      </c>
      <c r="K229" s="122" t="b">
        <f t="array" ref="K229">IF(ISBLANK(CertifiedCrop[[#This Row],[2. Produit agricole certifié*]]),"",IF(ISERROR(MATCH(1,(#REF!=CertifiedCrop[[#This Row],[2. Produit agricole certifié*]])*(#REF!=CertifiedCrop[[#This Row],[3. Variété**]]),0)),FALSE,TRUE))</f>
        <v>0</v>
      </c>
      <c r="L229" s="20" t="str">
        <f t="shared" si="15"/>
        <v/>
      </c>
      <c r="M229" s="54" t="str">
        <f t="shared" si="16"/>
        <v/>
      </c>
      <c r="N229" s="54" t="str">
        <f t="shared" si="17"/>
        <v/>
      </c>
      <c r="O229" s="55">
        <f t="shared" si="18"/>
        <v>593.5</v>
      </c>
      <c r="P229" s="55">
        <f t="shared" si="19"/>
        <v>548</v>
      </c>
      <c r="Q229" s="9" t="str">
        <f ca="1">IFERROR((VLOOKUP(A229,GM_Table,8,FALSE)-SUMIFS(D:D,A:A,A229,B:B,B229,C:C,C229)),"")</f>
        <v/>
      </c>
      <c r="R229" s="9" t="str">
        <f ca="1">IFERROR(CONCATENATE(VLOOKUP(A229,GM_Table,12,FALSE)," ",(VLOOKUP(A229,GM_Table,13,FALSE))),"")</f>
        <v/>
      </c>
    </row>
    <row r="230" spans="1:18" ht="15" x14ac:dyDescent="0.2">
      <c r="A230" s="150" t="s">
        <v>1388</v>
      </c>
      <c r="B230" s="9" t="s">
        <v>3290</v>
      </c>
      <c r="C230" s="9" t="s">
        <v>3291</v>
      </c>
      <c r="D230" s="252">
        <v>1.17</v>
      </c>
      <c r="E230" s="221">
        <v>741</v>
      </c>
      <c r="F230" s="246">
        <v>726</v>
      </c>
      <c r="G230" s="247">
        <v>373</v>
      </c>
      <c r="H230" s="248">
        <v>594</v>
      </c>
      <c r="I230" s="249">
        <v>578</v>
      </c>
      <c r="J230" s="122" t="b">
        <f>IF(ISBLANK(CertifiedCrop[[#This Row],[1. Identifiant interne d’exploitation agricole*]]),"",IF(ISERROR(MATCH(CertifiedCrop[[#This Row],[1. Identifiant interne d’exploitation agricole*]],GroupMember[1. Identifiant interne d’exploitation agricole*],0)),FALSE,TRUE))</f>
        <v>1</v>
      </c>
      <c r="K230" s="122" t="b">
        <f t="array" ref="K230">IF(ISBLANK(CertifiedCrop[[#This Row],[2. Produit agricole certifié*]]),"",IF(ISERROR(MATCH(1,(#REF!=CertifiedCrop[[#This Row],[2. Produit agricole certifié*]])*(#REF!=CertifiedCrop[[#This Row],[3. Variété**]]),0)),FALSE,TRUE))</f>
        <v>0</v>
      </c>
      <c r="L230" s="20" t="str">
        <f t="shared" si="15"/>
        <v/>
      </c>
      <c r="M230" s="54" t="str">
        <f t="shared" si="16"/>
        <v>!</v>
      </c>
      <c r="N230" s="54" t="str">
        <f t="shared" si="17"/>
        <v>!</v>
      </c>
      <c r="O230" s="55">
        <f t="shared" si="18"/>
        <v>633.33333333333337</v>
      </c>
      <c r="P230" s="55">
        <f t="shared" si="19"/>
        <v>620.51282051282055</v>
      </c>
      <c r="Q230" s="9" t="str">
        <f ca="1">IFERROR((VLOOKUP(A230,GM_Table,8,FALSE)-SUMIFS(D:D,A:A,A230,B:B,B230,C:C,C230)),"")</f>
        <v/>
      </c>
      <c r="R230" s="9" t="str">
        <f ca="1">IFERROR(CONCATENATE(VLOOKUP(A230,GM_Table,12,FALSE)," ",(VLOOKUP(A230,GM_Table,13,FALSE))),"")</f>
        <v/>
      </c>
    </row>
    <row r="231" spans="1:18" ht="15" x14ac:dyDescent="0.2">
      <c r="A231" s="150" t="s">
        <v>1392</v>
      </c>
      <c r="B231" s="9" t="s">
        <v>3290</v>
      </c>
      <c r="C231" s="9" t="s">
        <v>3291</v>
      </c>
      <c r="D231" s="252">
        <v>5</v>
      </c>
      <c r="E231" s="245">
        <v>2767</v>
      </c>
      <c r="F231" s="246">
        <v>2685</v>
      </c>
      <c r="G231" s="247">
        <v>2067</v>
      </c>
      <c r="H231" s="248">
        <v>2286</v>
      </c>
      <c r="I231" s="249">
        <v>2088</v>
      </c>
      <c r="J231" s="122" t="b">
        <f>IF(ISBLANK(CertifiedCrop[[#This Row],[1. Identifiant interne d’exploitation agricole*]]),"",IF(ISERROR(MATCH(CertifiedCrop[[#This Row],[1. Identifiant interne d’exploitation agricole*]],GroupMember[1. Identifiant interne d’exploitation agricole*],0)),FALSE,TRUE))</f>
        <v>1</v>
      </c>
      <c r="K231" s="122" t="b">
        <f t="array" ref="K231">IF(ISBLANK(CertifiedCrop[[#This Row],[2. Produit agricole certifié*]]),"",IF(ISERROR(MATCH(1,(#REF!=CertifiedCrop[[#This Row],[2. Produit agricole certifié*]])*(#REF!=CertifiedCrop[[#This Row],[3. Variété**]]),0)),FALSE,TRUE))</f>
        <v>0</v>
      </c>
      <c r="L231" s="20" t="str">
        <f t="shared" si="15"/>
        <v/>
      </c>
      <c r="M231" s="54" t="str">
        <f t="shared" si="16"/>
        <v>!</v>
      </c>
      <c r="N231" s="54" t="str">
        <f t="shared" si="17"/>
        <v/>
      </c>
      <c r="O231" s="55">
        <f t="shared" si="18"/>
        <v>553.4</v>
      </c>
      <c r="P231" s="55">
        <f t="shared" si="19"/>
        <v>537</v>
      </c>
      <c r="Q231" s="9" t="str">
        <f ca="1">IFERROR((VLOOKUP(A231,GM_Table,8,FALSE)-SUMIFS(D:D,A:A,A231,B:B,B231,C:C,C231)),"")</f>
        <v/>
      </c>
      <c r="R231" s="9" t="str">
        <f ca="1">IFERROR(CONCATENATE(VLOOKUP(A231,GM_Table,12,FALSE)," ",(VLOOKUP(A231,GM_Table,13,FALSE))),"")</f>
        <v/>
      </c>
    </row>
    <row r="232" spans="1:18" ht="15" x14ac:dyDescent="0.2">
      <c r="A232" s="150" t="s">
        <v>1394</v>
      </c>
      <c r="B232" s="9" t="s">
        <v>3290</v>
      </c>
      <c r="C232" s="9" t="s">
        <v>3291</v>
      </c>
      <c r="D232" s="252">
        <v>1.51</v>
      </c>
      <c r="E232" s="221">
        <v>840</v>
      </c>
      <c r="F232" s="246">
        <v>800</v>
      </c>
      <c r="G232" s="247">
        <v>442</v>
      </c>
      <c r="H232" s="248">
        <v>789</v>
      </c>
      <c r="I232" s="249">
        <v>896</v>
      </c>
      <c r="J232" s="122" t="b">
        <f>IF(ISBLANK(CertifiedCrop[[#This Row],[1. Identifiant interne d’exploitation agricole*]]),"",IF(ISERROR(MATCH(CertifiedCrop[[#This Row],[1. Identifiant interne d’exploitation agricole*]],GroupMember[1. Identifiant interne d’exploitation agricole*],0)),FALSE,TRUE))</f>
        <v>1</v>
      </c>
      <c r="K232" s="122" t="b">
        <f t="array" ref="K232">IF(ISBLANK(CertifiedCrop[[#This Row],[2. Produit agricole certifié*]]),"",IF(ISERROR(MATCH(1,(#REF!=CertifiedCrop[[#This Row],[2. Produit agricole certifié*]])*(#REF!=CertifiedCrop[[#This Row],[3. Variété**]]),0)),FALSE,TRUE))</f>
        <v>0</v>
      </c>
      <c r="L232" s="20" t="str">
        <f t="shared" si="15"/>
        <v/>
      </c>
      <c r="M232" s="54" t="str">
        <f t="shared" si="16"/>
        <v>!</v>
      </c>
      <c r="N232" s="54" t="str">
        <f t="shared" si="17"/>
        <v>!</v>
      </c>
      <c r="O232" s="55">
        <f t="shared" si="18"/>
        <v>556.29139072847681</v>
      </c>
      <c r="P232" s="55">
        <f t="shared" si="19"/>
        <v>529.80132450331121</v>
      </c>
      <c r="Q232" s="9" t="str">
        <f ca="1">IFERROR((VLOOKUP(A232,GM_Table,8,FALSE)-SUMIFS(D:D,A:A,A232,B:B,B232,C:C,C232)),"")</f>
        <v/>
      </c>
      <c r="R232" s="9" t="str">
        <f ca="1">IFERROR(CONCATENATE(VLOOKUP(A232,GM_Table,12,FALSE)," ",(VLOOKUP(A232,GM_Table,13,FALSE))),"")</f>
        <v/>
      </c>
    </row>
    <row r="233" spans="1:18" ht="15" x14ac:dyDescent="0.2">
      <c r="A233" s="150" t="s">
        <v>1396</v>
      </c>
      <c r="B233" s="9" t="s">
        <v>3290</v>
      </c>
      <c r="C233" s="9" t="s">
        <v>3291</v>
      </c>
      <c r="D233" s="252">
        <v>1.96</v>
      </c>
      <c r="E233" s="245">
        <v>1181</v>
      </c>
      <c r="F233" s="246">
        <v>1093</v>
      </c>
      <c r="G233" s="247">
        <v>905</v>
      </c>
      <c r="H233" s="248">
        <v>668</v>
      </c>
      <c r="I233" s="249">
        <v>1031</v>
      </c>
      <c r="J233" s="122" t="b">
        <f>IF(ISBLANK(CertifiedCrop[[#This Row],[1. Identifiant interne d’exploitation agricole*]]),"",IF(ISERROR(MATCH(CertifiedCrop[[#This Row],[1. Identifiant interne d’exploitation agricole*]],GroupMember[1. Identifiant interne d’exploitation agricole*],0)),FALSE,TRUE))</f>
        <v>1</v>
      </c>
      <c r="K233" s="122" t="b">
        <f t="array" ref="K233">IF(ISBLANK(CertifiedCrop[[#This Row],[2. Produit agricole certifié*]]),"",IF(ISERROR(MATCH(1,(#REF!=CertifiedCrop[[#This Row],[2. Produit agricole certifié*]])*(#REF!=CertifiedCrop[[#This Row],[3. Variété**]]),0)),FALSE,TRUE))</f>
        <v>0</v>
      </c>
      <c r="L233" s="20" t="str">
        <f t="shared" si="15"/>
        <v/>
      </c>
      <c r="M233" s="54" t="str">
        <f t="shared" si="16"/>
        <v/>
      </c>
      <c r="N233" s="54" t="str">
        <f t="shared" si="17"/>
        <v>!</v>
      </c>
      <c r="O233" s="55">
        <f t="shared" si="18"/>
        <v>602.55102040816325</v>
      </c>
      <c r="P233" s="55">
        <f t="shared" si="19"/>
        <v>557.65306122448976</v>
      </c>
      <c r="Q233" s="9" t="str">
        <f ca="1">IFERROR((VLOOKUP(A233,GM_Table,8,FALSE)-SUMIFS(D:D,A:A,A233,B:B,B233,C:C,C233)),"")</f>
        <v/>
      </c>
      <c r="R233" s="9" t="str">
        <f ca="1">IFERROR(CONCATENATE(VLOOKUP(A233,GM_Table,12,FALSE)," ",(VLOOKUP(A233,GM_Table,13,FALSE))),"")</f>
        <v/>
      </c>
    </row>
    <row r="234" spans="1:18" ht="15" x14ac:dyDescent="0.2">
      <c r="A234" s="150" t="s">
        <v>1398</v>
      </c>
      <c r="B234" s="9" t="s">
        <v>3290</v>
      </c>
      <c r="C234" s="9" t="s">
        <v>3291</v>
      </c>
      <c r="D234" s="252">
        <v>1.58</v>
      </c>
      <c r="E234" s="221">
        <v>912</v>
      </c>
      <c r="F234" s="246">
        <v>900</v>
      </c>
      <c r="G234" s="247">
        <v>590</v>
      </c>
      <c r="H234" s="248">
        <v>589</v>
      </c>
      <c r="I234" s="249">
        <v>860</v>
      </c>
      <c r="J234" s="122" t="b">
        <f>IF(ISBLANK(CertifiedCrop[[#This Row],[1. Identifiant interne d’exploitation agricole*]]),"",IF(ISERROR(MATCH(CertifiedCrop[[#This Row],[1. Identifiant interne d’exploitation agricole*]],GroupMember[1. Identifiant interne d’exploitation agricole*],0)),FALSE,TRUE))</f>
        <v>1</v>
      </c>
      <c r="K234" s="122" t="b">
        <f t="array" ref="K234">IF(ISBLANK(CertifiedCrop[[#This Row],[2. Produit agricole certifié*]]),"",IF(ISERROR(MATCH(1,(#REF!=CertifiedCrop[[#This Row],[2. Produit agricole certifié*]])*(#REF!=CertifiedCrop[[#This Row],[3. Variété**]]),0)),FALSE,TRUE))</f>
        <v>0</v>
      </c>
      <c r="L234" s="20" t="str">
        <f t="shared" si="15"/>
        <v/>
      </c>
      <c r="M234" s="54" t="str">
        <f t="shared" si="16"/>
        <v>!</v>
      </c>
      <c r="N234" s="54" t="str">
        <f t="shared" si="17"/>
        <v/>
      </c>
      <c r="O234" s="55">
        <f t="shared" si="18"/>
        <v>577.21518987341767</v>
      </c>
      <c r="P234" s="55">
        <f t="shared" si="19"/>
        <v>569.62025316455697</v>
      </c>
      <c r="Q234" s="9" t="str">
        <f ca="1">IFERROR((VLOOKUP(A234,GM_Table,8,FALSE)-SUMIFS(D:D,A:A,A234,B:B,B234,C:C,C234)),"")</f>
        <v/>
      </c>
      <c r="R234" s="9" t="str">
        <f ca="1">IFERROR(CONCATENATE(VLOOKUP(A234,GM_Table,12,FALSE)," ",(VLOOKUP(A234,GM_Table,13,FALSE))),"")</f>
        <v/>
      </c>
    </row>
    <row r="235" spans="1:18" ht="15" x14ac:dyDescent="0.2">
      <c r="A235" s="150" t="s">
        <v>1402</v>
      </c>
      <c r="B235" s="9" t="s">
        <v>3290</v>
      </c>
      <c r="C235" s="9" t="s">
        <v>3291</v>
      </c>
      <c r="D235" s="252">
        <v>0.71099999999999997</v>
      </c>
      <c r="E235" s="221">
        <v>428</v>
      </c>
      <c r="F235" s="246">
        <v>400</v>
      </c>
      <c r="G235" s="247">
        <v>212</v>
      </c>
      <c r="H235" s="248">
        <v>301</v>
      </c>
      <c r="I235" s="249">
        <v>825</v>
      </c>
      <c r="J235" s="122" t="b">
        <f>IF(ISBLANK(CertifiedCrop[[#This Row],[1. Identifiant interne d’exploitation agricole*]]),"",IF(ISERROR(MATCH(CertifiedCrop[[#This Row],[1. Identifiant interne d’exploitation agricole*]],GroupMember[1. Identifiant interne d’exploitation agricole*],0)),FALSE,TRUE))</f>
        <v>1</v>
      </c>
      <c r="K235" s="122" t="b">
        <f t="array" ref="K235">IF(ISBLANK(CertifiedCrop[[#This Row],[2. Produit agricole certifié*]]),"",IF(ISERROR(MATCH(1,(#REF!=CertifiedCrop[[#This Row],[2. Produit agricole certifié*]])*(#REF!=CertifiedCrop[[#This Row],[3. Variété**]]),0)),FALSE,TRUE))</f>
        <v>0</v>
      </c>
      <c r="L235" s="20" t="str">
        <f t="shared" si="15"/>
        <v/>
      </c>
      <c r="M235" s="54" t="str">
        <f t="shared" si="16"/>
        <v>!</v>
      </c>
      <c r="N235" s="54" t="str">
        <f t="shared" si="17"/>
        <v>!</v>
      </c>
      <c r="O235" s="55">
        <f t="shared" si="18"/>
        <v>601.96905766526027</v>
      </c>
      <c r="P235" s="55">
        <f t="shared" si="19"/>
        <v>562.58790436005631</v>
      </c>
      <c r="Q235" s="9" t="str">
        <f ca="1">IFERROR((VLOOKUP(A235,GM_Table,8,FALSE)-SUMIFS(D:D,A:A,A235,B:B,B235,C:C,C235)),"")</f>
        <v/>
      </c>
      <c r="R235" s="9" t="str">
        <f ca="1">IFERROR(CONCATENATE(VLOOKUP(A235,GM_Table,12,FALSE)," ",(VLOOKUP(A235,GM_Table,13,FALSE))),"")</f>
        <v/>
      </c>
    </row>
    <row r="236" spans="1:18" ht="15" x14ac:dyDescent="0.2">
      <c r="A236" s="150" t="s">
        <v>1405</v>
      </c>
      <c r="B236" s="9" t="s">
        <v>3290</v>
      </c>
      <c r="C236" s="9" t="s">
        <v>3291</v>
      </c>
      <c r="D236" s="252">
        <v>1.52</v>
      </c>
      <c r="E236" s="221">
        <v>954</v>
      </c>
      <c r="F236" s="246">
        <v>926</v>
      </c>
      <c r="G236" s="247">
        <v>756</v>
      </c>
      <c r="H236" s="248">
        <v>900</v>
      </c>
      <c r="I236" s="249">
        <v>1051</v>
      </c>
      <c r="J236" s="122" t="b">
        <f>IF(ISBLANK(CertifiedCrop[[#This Row],[1. Identifiant interne d’exploitation agricole*]]),"",IF(ISERROR(MATCH(CertifiedCrop[[#This Row],[1. Identifiant interne d’exploitation agricole*]],GroupMember[1. Identifiant interne d’exploitation agricole*],0)),FALSE,TRUE))</f>
        <v>1</v>
      </c>
      <c r="K236" s="122" t="b">
        <f t="array" ref="K236">IF(ISBLANK(CertifiedCrop[[#This Row],[2. Produit agricole certifié*]]),"",IF(ISERROR(MATCH(1,(#REF!=CertifiedCrop[[#This Row],[2. Produit agricole certifié*]])*(#REF!=CertifiedCrop[[#This Row],[3. Variété**]]),0)),FALSE,TRUE))</f>
        <v>0</v>
      </c>
      <c r="L236" s="20" t="str">
        <f t="shared" si="15"/>
        <v/>
      </c>
      <c r="M236" s="54" t="str">
        <f t="shared" si="16"/>
        <v/>
      </c>
      <c r="N236" s="54" t="str">
        <f t="shared" si="17"/>
        <v/>
      </c>
      <c r="O236" s="55">
        <f t="shared" si="18"/>
        <v>627.63157894736844</v>
      </c>
      <c r="P236" s="55">
        <f t="shared" si="19"/>
        <v>609.21052631578948</v>
      </c>
      <c r="Q236" s="9" t="str">
        <f ca="1">IFERROR((VLOOKUP(A236,GM_Table,8,FALSE)-SUMIFS(D:D,A:A,A236,B:B,B236,C:C,C236)),"")</f>
        <v/>
      </c>
      <c r="R236" s="9" t="str">
        <f ca="1">IFERROR(CONCATENATE(VLOOKUP(A236,GM_Table,12,FALSE)," ",(VLOOKUP(A236,GM_Table,13,FALSE))),"")</f>
        <v/>
      </c>
    </row>
    <row r="237" spans="1:18" ht="15" x14ac:dyDescent="0.2">
      <c r="A237" s="150" t="s">
        <v>1408</v>
      </c>
      <c r="B237" s="9" t="s">
        <v>3290</v>
      </c>
      <c r="C237" s="9" t="s">
        <v>3291</v>
      </c>
      <c r="D237" s="252">
        <v>0.55369999999999997</v>
      </c>
      <c r="E237" s="221">
        <v>305</v>
      </c>
      <c r="F237" s="246">
        <v>300</v>
      </c>
      <c r="G237" s="247">
        <v>217</v>
      </c>
      <c r="H237" s="248">
        <v>121</v>
      </c>
      <c r="I237" s="249">
        <v>1265</v>
      </c>
      <c r="J237" s="122" t="b">
        <f>IF(ISBLANK(CertifiedCrop[[#This Row],[1. Identifiant interne d’exploitation agricole*]]),"",IF(ISERROR(MATCH(CertifiedCrop[[#This Row],[1. Identifiant interne d’exploitation agricole*]],GroupMember[1. Identifiant interne d’exploitation agricole*],0)),FALSE,TRUE))</f>
        <v>1</v>
      </c>
      <c r="K237" s="122" t="b">
        <f t="array" ref="K237">IF(ISBLANK(CertifiedCrop[[#This Row],[2. Produit agricole certifié*]]),"",IF(ISERROR(MATCH(1,(#REF!=CertifiedCrop[[#This Row],[2. Produit agricole certifié*]])*(#REF!=CertifiedCrop[[#This Row],[3. Variété**]]),0)),FALSE,TRUE))</f>
        <v>0</v>
      </c>
      <c r="L237" s="20" t="str">
        <f t="shared" si="15"/>
        <v/>
      </c>
      <c r="M237" s="54" t="str">
        <f t="shared" si="16"/>
        <v>!</v>
      </c>
      <c r="N237" s="54" t="str">
        <f t="shared" si="17"/>
        <v>!</v>
      </c>
      <c r="O237" s="55">
        <f t="shared" si="18"/>
        <v>550.83980494852813</v>
      </c>
      <c r="P237" s="55">
        <f t="shared" si="19"/>
        <v>541.80964421166698</v>
      </c>
      <c r="Q237" s="9" t="str">
        <f ca="1">IFERROR((VLOOKUP(A237,GM_Table,8,FALSE)-SUMIFS(D:D,A:A,A237,B:B,B237,C:C,C237)),"")</f>
        <v/>
      </c>
      <c r="R237" s="9" t="str">
        <f ca="1">IFERROR(CONCATENATE(VLOOKUP(A237,GM_Table,12,FALSE)," ",(VLOOKUP(A237,GM_Table,13,FALSE))),"")</f>
        <v/>
      </c>
    </row>
    <row r="238" spans="1:18" ht="15" x14ac:dyDescent="0.2">
      <c r="A238" s="150" t="s">
        <v>1410</v>
      </c>
      <c r="B238" s="9" t="s">
        <v>3290</v>
      </c>
      <c r="C238" s="9" t="s">
        <v>3291</v>
      </c>
      <c r="D238" s="252">
        <v>2.2641</v>
      </c>
      <c r="E238" s="245">
        <v>1298</v>
      </c>
      <c r="F238" s="246">
        <v>1285</v>
      </c>
      <c r="G238" s="247">
        <v>940</v>
      </c>
      <c r="H238" s="248">
        <v>1073</v>
      </c>
      <c r="I238" s="249">
        <v>1187</v>
      </c>
      <c r="J238" s="122" t="b">
        <f>IF(ISBLANK(CertifiedCrop[[#This Row],[1. Identifiant interne d’exploitation agricole*]]),"",IF(ISERROR(MATCH(CertifiedCrop[[#This Row],[1. Identifiant interne d’exploitation agricole*]],GroupMember[1. Identifiant interne d’exploitation agricole*],0)),FALSE,TRUE))</f>
        <v>1</v>
      </c>
      <c r="K238" s="122" t="b">
        <f t="array" ref="K238">IF(ISBLANK(CertifiedCrop[[#This Row],[2. Produit agricole certifié*]]),"",IF(ISERROR(MATCH(1,(#REF!=CertifiedCrop[[#This Row],[2. Produit agricole certifié*]])*(#REF!=CertifiedCrop[[#This Row],[3. Variété**]]),0)),FALSE,TRUE))</f>
        <v>0</v>
      </c>
      <c r="L238" s="20" t="str">
        <f t="shared" si="15"/>
        <v/>
      </c>
      <c r="M238" s="54" t="str">
        <f t="shared" si="16"/>
        <v>!</v>
      </c>
      <c r="N238" s="54" t="str">
        <f t="shared" si="17"/>
        <v/>
      </c>
      <c r="O238" s="55">
        <f t="shared" si="18"/>
        <v>573.29623249856456</v>
      </c>
      <c r="P238" s="55">
        <f t="shared" si="19"/>
        <v>567.55443664149107</v>
      </c>
      <c r="Q238" s="9" t="str">
        <f ca="1">IFERROR((VLOOKUP(A238,GM_Table,8,FALSE)-SUMIFS(D:D,A:A,A238,B:B,B238,C:C,C238)),"")</f>
        <v/>
      </c>
      <c r="R238" s="9" t="str">
        <f ca="1">IFERROR(CONCATENATE(VLOOKUP(A238,GM_Table,12,FALSE)," ",(VLOOKUP(A238,GM_Table,13,FALSE))),"")</f>
        <v/>
      </c>
    </row>
    <row r="239" spans="1:18" ht="15" x14ac:dyDescent="0.2">
      <c r="A239" s="150" t="s">
        <v>1413</v>
      </c>
      <c r="B239" s="9" t="s">
        <v>3290</v>
      </c>
      <c r="C239" s="9" t="s">
        <v>3291</v>
      </c>
      <c r="D239" s="252">
        <v>3</v>
      </c>
      <c r="E239" s="245">
        <v>1761</v>
      </c>
      <c r="F239" s="246">
        <v>1656</v>
      </c>
      <c r="G239" s="247">
        <v>1548</v>
      </c>
      <c r="H239" s="248">
        <v>1862</v>
      </c>
      <c r="I239" s="249">
        <v>1141</v>
      </c>
      <c r="J239" s="122" t="b">
        <f>IF(ISBLANK(CertifiedCrop[[#This Row],[1. Identifiant interne d’exploitation agricole*]]),"",IF(ISERROR(MATCH(CertifiedCrop[[#This Row],[1. Identifiant interne d’exploitation agricole*]],GroupMember[1. Identifiant interne d’exploitation agricole*],0)),FALSE,TRUE))</f>
        <v>1</v>
      </c>
      <c r="K239" s="122" t="b">
        <f t="array" ref="K239">IF(ISBLANK(CertifiedCrop[[#This Row],[2. Produit agricole certifié*]]),"",IF(ISERROR(MATCH(1,(#REF!=CertifiedCrop[[#This Row],[2. Produit agricole certifié*]])*(#REF!=CertifiedCrop[[#This Row],[3. Variété**]]),0)),FALSE,TRUE))</f>
        <v>0</v>
      </c>
      <c r="L239" s="20" t="str">
        <f t="shared" si="15"/>
        <v/>
      </c>
      <c r="M239" s="54" t="str">
        <f t="shared" si="16"/>
        <v/>
      </c>
      <c r="N239" s="54" t="str">
        <f t="shared" si="17"/>
        <v/>
      </c>
      <c r="O239" s="55">
        <f t="shared" si="18"/>
        <v>587</v>
      </c>
      <c r="P239" s="55">
        <f t="shared" si="19"/>
        <v>552</v>
      </c>
      <c r="Q239" s="9" t="str">
        <f ca="1">IFERROR((VLOOKUP(A239,GM_Table,8,FALSE)-SUMIFS(D:D,A:A,A239,B:B,B239,C:C,C239)),"")</f>
        <v/>
      </c>
      <c r="R239" s="9" t="str">
        <f ca="1">IFERROR(CONCATENATE(VLOOKUP(A239,GM_Table,12,FALSE)," ",(VLOOKUP(A239,GM_Table,13,FALSE))),"")</f>
        <v/>
      </c>
    </row>
    <row r="240" spans="1:18" ht="15" x14ac:dyDescent="0.2">
      <c r="A240" s="150" t="s">
        <v>1415</v>
      </c>
      <c r="B240" s="9" t="s">
        <v>3290</v>
      </c>
      <c r="C240" s="9" t="s">
        <v>3291</v>
      </c>
      <c r="D240" s="252">
        <v>1.32</v>
      </c>
      <c r="E240" s="221">
        <v>770</v>
      </c>
      <c r="F240" s="246">
        <v>750</v>
      </c>
      <c r="G240" s="247">
        <v>335</v>
      </c>
      <c r="H240" s="248">
        <v>385</v>
      </c>
      <c r="I240" s="249">
        <v>754</v>
      </c>
      <c r="J240" s="122" t="b">
        <f>IF(ISBLANK(CertifiedCrop[[#This Row],[1. Identifiant interne d’exploitation agricole*]]),"",IF(ISERROR(MATCH(CertifiedCrop[[#This Row],[1. Identifiant interne d’exploitation agricole*]],GroupMember[1. Identifiant interne d’exploitation agricole*],0)),FALSE,TRUE))</f>
        <v>1</v>
      </c>
      <c r="K240" s="122" t="b">
        <f t="array" ref="K240">IF(ISBLANK(CertifiedCrop[[#This Row],[2. Produit agricole certifié*]]),"",IF(ISERROR(MATCH(1,(#REF!=CertifiedCrop[[#This Row],[2. Produit agricole certifié*]])*(#REF!=CertifiedCrop[[#This Row],[3. Variété**]]),0)),FALSE,TRUE))</f>
        <v>0</v>
      </c>
      <c r="L240" s="20" t="str">
        <f t="shared" si="15"/>
        <v/>
      </c>
      <c r="M240" s="54" t="str">
        <f t="shared" si="16"/>
        <v>!</v>
      </c>
      <c r="N240" s="54" t="str">
        <f t="shared" si="17"/>
        <v/>
      </c>
      <c r="O240" s="55">
        <f t="shared" si="18"/>
        <v>583.33333333333326</v>
      </c>
      <c r="P240" s="55">
        <f t="shared" si="19"/>
        <v>568.18181818181813</v>
      </c>
      <c r="Q240" s="9" t="str">
        <f ca="1">IFERROR((VLOOKUP(A240,GM_Table,8,FALSE)-SUMIFS(D:D,A:A,A240,B:B,B240,C:C,C240)),"")</f>
        <v/>
      </c>
      <c r="R240" s="9" t="str">
        <f ca="1">IFERROR(CONCATENATE(VLOOKUP(A240,GM_Table,12,FALSE)," ",(VLOOKUP(A240,GM_Table,13,FALSE))),"")</f>
        <v/>
      </c>
    </row>
    <row r="241" spans="1:18" ht="15" x14ac:dyDescent="0.2">
      <c r="A241" s="150" t="s">
        <v>1419</v>
      </c>
      <c r="B241" s="9" t="s">
        <v>3290</v>
      </c>
      <c r="C241" s="9" t="s">
        <v>3291</v>
      </c>
      <c r="D241" s="252">
        <v>2.65</v>
      </c>
      <c r="E241" s="245">
        <v>1456</v>
      </c>
      <c r="F241" s="246">
        <v>1406</v>
      </c>
      <c r="G241" s="247">
        <v>1129</v>
      </c>
      <c r="H241" s="248">
        <v>1390</v>
      </c>
      <c r="I241" s="249">
        <v>1065</v>
      </c>
      <c r="J241" s="122" t="b">
        <f>IF(ISBLANK(CertifiedCrop[[#This Row],[1. Identifiant interne d’exploitation agricole*]]),"",IF(ISERROR(MATCH(CertifiedCrop[[#This Row],[1. Identifiant interne d’exploitation agricole*]],GroupMember[1. Identifiant interne d’exploitation agricole*],0)),FALSE,TRUE))</f>
        <v>1</v>
      </c>
      <c r="K241" s="122" t="b">
        <f t="array" ref="K241">IF(ISBLANK(CertifiedCrop[[#This Row],[2. Produit agricole certifié*]]),"",IF(ISERROR(MATCH(1,(#REF!=CertifiedCrop[[#This Row],[2. Produit agricole certifié*]])*(#REF!=CertifiedCrop[[#This Row],[3. Variété**]]),0)),FALSE,TRUE))</f>
        <v>0</v>
      </c>
      <c r="L241" s="20" t="str">
        <f t="shared" si="15"/>
        <v/>
      </c>
      <c r="M241" s="54" t="str">
        <f t="shared" si="16"/>
        <v/>
      </c>
      <c r="N241" s="54" t="str">
        <f t="shared" si="17"/>
        <v/>
      </c>
      <c r="O241" s="55">
        <f t="shared" si="18"/>
        <v>549.43396226415098</v>
      </c>
      <c r="P241" s="55">
        <f t="shared" si="19"/>
        <v>530.56603773584902</v>
      </c>
      <c r="Q241" s="9" t="str">
        <f ca="1">IFERROR((VLOOKUP(A241,GM_Table,8,FALSE)-SUMIFS(D:D,A:A,A241,B:B,B241,C:C,C241)),"")</f>
        <v/>
      </c>
      <c r="R241" s="9" t="str">
        <f ca="1">IFERROR(CONCATENATE(VLOOKUP(A241,GM_Table,12,FALSE)," ",(VLOOKUP(A241,GM_Table,13,FALSE))),"")</f>
        <v/>
      </c>
    </row>
    <row r="242" spans="1:18" ht="15" x14ac:dyDescent="0.2">
      <c r="A242" s="150" t="s">
        <v>1422</v>
      </c>
      <c r="B242" s="9" t="s">
        <v>3290</v>
      </c>
      <c r="C242" s="9" t="s">
        <v>3291</v>
      </c>
      <c r="D242" s="252">
        <v>1.27</v>
      </c>
      <c r="E242" s="221">
        <v>708</v>
      </c>
      <c r="F242" s="246">
        <v>700</v>
      </c>
      <c r="G242" s="247">
        <v>534</v>
      </c>
      <c r="H242" s="248">
        <v>452</v>
      </c>
      <c r="I242" s="249">
        <v>503</v>
      </c>
      <c r="J242" s="122" t="b">
        <f>IF(ISBLANK(CertifiedCrop[[#This Row],[1. Identifiant interne d’exploitation agricole*]]),"",IF(ISERROR(MATCH(CertifiedCrop[[#This Row],[1. Identifiant interne d’exploitation agricole*]],GroupMember[1. Identifiant interne d’exploitation agricole*],0)),FALSE,TRUE))</f>
        <v>1</v>
      </c>
      <c r="K242" s="122" t="b">
        <f t="array" ref="K242">IF(ISBLANK(CertifiedCrop[[#This Row],[2. Produit agricole certifié*]]),"",IF(ISERROR(MATCH(1,(#REF!=CertifiedCrop[[#This Row],[2. Produit agricole certifié*]])*(#REF!=CertifiedCrop[[#This Row],[3. Variété**]]),0)),FALSE,TRUE))</f>
        <v>0</v>
      </c>
      <c r="L242" s="20" t="str">
        <f t="shared" si="15"/>
        <v/>
      </c>
      <c r="M242" s="54" t="str">
        <f t="shared" si="16"/>
        <v>!</v>
      </c>
      <c r="N242" s="54" t="str">
        <f t="shared" si="17"/>
        <v/>
      </c>
      <c r="O242" s="55">
        <f t="shared" si="18"/>
        <v>557.48031496062993</v>
      </c>
      <c r="P242" s="55">
        <f t="shared" si="19"/>
        <v>551.18110236220468</v>
      </c>
      <c r="Q242" s="9" t="str">
        <f ca="1">IFERROR((VLOOKUP(A242,GM_Table,8,FALSE)-SUMIFS(D:D,A:A,A242,B:B,B242,C:C,C242)),"")</f>
        <v/>
      </c>
      <c r="R242" s="9" t="str">
        <f ca="1">IFERROR(CONCATENATE(VLOOKUP(A242,GM_Table,12,FALSE)," ",(VLOOKUP(A242,GM_Table,13,FALSE))),"")</f>
        <v/>
      </c>
    </row>
    <row r="243" spans="1:18" ht="15" x14ac:dyDescent="0.2">
      <c r="A243" s="150" t="s">
        <v>1423</v>
      </c>
      <c r="B243" s="9" t="s">
        <v>3290</v>
      </c>
      <c r="C243" s="9" t="s">
        <v>3291</v>
      </c>
      <c r="D243" s="252">
        <v>1.92</v>
      </c>
      <c r="E243" s="245">
        <v>1201</v>
      </c>
      <c r="F243" s="246">
        <v>1138</v>
      </c>
      <c r="G243" s="247">
        <v>1138</v>
      </c>
      <c r="H243" s="248">
        <v>866</v>
      </c>
      <c r="I243" s="249">
        <v>809</v>
      </c>
      <c r="J243" s="122" t="b">
        <f>IF(ISBLANK(CertifiedCrop[[#This Row],[1. Identifiant interne d’exploitation agricole*]]),"",IF(ISERROR(MATCH(CertifiedCrop[[#This Row],[1. Identifiant interne d’exploitation agricole*]],GroupMember[1. Identifiant interne d’exploitation agricole*],0)),FALSE,TRUE))</f>
        <v>1</v>
      </c>
      <c r="K243" s="122" t="b">
        <f t="array" ref="K243">IF(ISBLANK(CertifiedCrop[[#This Row],[2. Produit agricole certifié*]]),"",IF(ISERROR(MATCH(1,(#REF!=CertifiedCrop[[#This Row],[2. Produit agricole certifié*]])*(#REF!=CertifiedCrop[[#This Row],[3. Variété**]]),0)),FALSE,TRUE))</f>
        <v>0</v>
      </c>
      <c r="L243" s="20" t="str">
        <f t="shared" ref="L243:L306" si="20">IF((F243-G243)&lt;0,"!","")</f>
        <v/>
      </c>
      <c r="M243" s="54" t="str">
        <f t="shared" ref="M243:M306" si="21">IFERROR(IF((F243-G243)/G243&gt;25%,"!",IF((F243-G243)/G243&lt;-25%,"!","")),"")</f>
        <v/>
      </c>
      <c r="N243" s="54" t="str">
        <f t="shared" ref="N243:N306" si="22">IFERROR(IF((G243-H243)/H243&gt;25%,"!",IF((G243-H243)/H243&lt;-25%,"!","")),"")</f>
        <v>!</v>
      </c>
      <c r="O243" s="55">
        <f t="shared" ref="O243:O306" si="23">IFERROR(E243/D243,"")</f>
        <v>625.52083333333337</v>
      </c>
      <c r="P243" s="55">
        <f t="shared" ref="P243:P306" si="24">IFERROR(F243/D243,"")</f>
        <v>592.70833333333337</v>
      </c>
      <c r="Q243" s="9" t="str">
        <f ca="1">IFERROR((VLOOKUP(A243,GM_Table,8,FALSE)-SUMIFS(D:D,A:A,A243,B:B,B243,C:C,C243)),"")</f>
        <v/>
      </c>
      <c r="R243" s="9" t="str">
        <f ca="1">IFERROR(CONCATENATE(VLOOKUP(A243,GM_Table,12,FALSE)," ",(VLOOKUP(A243,GM_Table,13,FALSE))),"")</f>
        <v/>
      </c>
    </row>
    <row r="244" spans="1:18" ht="15" x14ac:dyDescent="0.2">
      <c r="A244" s="150" t="s">
        <v>1426</v>
      </c>
      <c r="B244" s="9" t="s">
        <v>3290</v>
      </c>
      <c r="C244" s="9" t="s">
        <v>3291</v>
      </c>
      <c r="D244" s="252">
        <v>0.98</v>
      </c>
      <c r="E244" s="221">
        <v>576</v>
      </c>
      <c r="F244" s="246">
        <v>569</v>
      </c>
      <c r="G244" s="247">
        <v>414</v>
      </c>
      <c r="H244" s="248">
        <v>435</v>
      </c>
      <c r="I244" s="249">
        <v>488</v>
      </c>
      <c r="J244" s="122" t="b">
        <f>IF(ISBLANK(CertifiedCrop[[#This Row],[1. Identifiant interne d’exploitation agricole*]]),"",IF(ISERROR(MATCH(CertifiedCrop[[#This Row],[1. Identifiant interne d’exploitation agricole*]],GroupMember[1. Identifiant interne d’exploitation agricole*],0)),FALSE,TRUE))</f>
        <v>1</v>
      </c>
      <c r="K244" s="122" t="b">
        <f t="array" ref="K244">IF(ISBLANK(CertifiedCrop[[#This Row],[2. Produit agricole certifié*]]),"",IF(ISERROR(MATCH(1,(#REF!=CertifiedCrop[[#This Row],[2. Produit agricole certifié*]])*(#REF!=CertifiedCrop[[#This Row],[3. Variété**]]),0)),FALSE,TRUE))</f>
        <v>0</v>
      </c>
      <c r="L244" s="20" t="str">
        <f t="shared" si="20"/>
        <v/>
      </c>
      <c r="M244" s="54" t="str">
        <f t="shared" si="21"/>
        <v>!</v>
      </c>
      <c r="N244" s="54" t="str">
        <f t="shared" si="22"/>
        <v/>
      </c>
      <c r="O244" s="55">
        <f t="shared" si="23"/>
        <v>587.75510204081638</v>
      </c>
      <c r="P244" s="55">
        <f t="shared" si="24"/>
        <v>580.61224489795916</v>
      </c>
      <c r="Q244" s="9" t="str">
        <f ca="1">IFERROR((VLOOKUP(A244,GM_Table,8,FALSE)-SUMIFS(D:D,A:A,A244,B:B,B244,C:C,C244)),"")</f>
        <v/>
      </c>
      <c r="R244" s="9" t="str">
        <f ca="1">IFERROR(CONCATENATE(VLOOKUP(A244,GM_Table,12,FALSE)," ",(VLOOKUP(A244,GM_Table,13,FALSE))),"")</f>
        <v/>
      </c>
    </row>
    <row r="245" spans="1:18" ht="15" x14ac:dyDescent="0.2">
      <c r="A245" s="150" t="s">
        <v>1429</v>
      </c>
      <c r="B245" s="9" t="s">
        <v>3290</v>
      </c>
      <c r="C245" s="9" t="s">
        <v>3291</v>
      </c>
      <c r="D245" s="252">
        <v>4.26</v>
      </c>
      <c r="E245" s="245">
        <v>2345</v>
      </c>
      <c r="F245" s="246">
        <v>2287</v>
      </c>
      <c r="G245" s="247">
        <v>2043</v>
      </c>
      <c r="H245" s="248">
        <v>1713</v>
      </c>
      <c r="I245" s="249">
        <v>1704</v>
      </c>
      <c r="J245" s="122" t="b">
        <f>IF(ISBLANK(CertifiedCrop[[#This Row],[1. Identifiant interne d’exploitation agricole*]]),"",IF(ISERROR(MATCH(CertifiedCrop[[#This Row],[1. Identifiant interne d’exploitation agricole*]],GroupMember[1. Identifiant interne d’exploitation agricole*],0)),FALSE,TRUE))</f>
        <v>1</v>
      </c>
      <c r="K245" s="122" t="b">
        <f t="array" ref="K245">IF(ISBLANK(CertifiedCrop[[#This Row],[2. Produit agricole certifié*]]),"",IF(ISERROR(MATCH(1,(#REF!=CertifiedCrop[[#This Row],[2. Produit agricole certifié*]])*(#REF!=CertifiedCrop[[#This Row],[3. Variété**]]),0)),FALSE,TRUE))</f>
        <v>0</v>
      </c>
      <c r="L245" s="20" t="str">
        <f t="shared" si="20"/>
        <v/>
      </c>
      <c r="M245" s="54" t="str">
        <f t="shared" si="21"/>
        <v/>
      </c>
      <c r="N245" s="54" t="str">
        <f t="shared" si="22"/>
        <v/>
      </c>
      <c r="O245" s="55">
        <f t="shared" si="23"/>
        <v>550.46948356807513</v>
      </c>
      <c r="P245" s="55">
        <f t="shared" si="24"/>
        <v>536.85446009389671</v>
      </c>
      <c r="Q245" s="9" t="str">
        <f ca="1">IFERROR((VLOOKUP(A245,GM_Table,8,FALSE)-SUMIFS(D:D,A:A,A245,B:B,B245,C:C,C245)),"")</f>
        <v/>
      </c>
      <c r="R245" s="9" t="str">
        <f ca="1">IFERROR(CONCATENATE(VLOOKUP(A245,GM_Table,12,FALSE)," ",(VLOOKUP(A245,GM_Table,13,FALSE))),"")</f>
        <v/>
      </c>
    </row>
    <row r="246" spans="1:18" ht="15" x14ac:dyDescent="0.2">
      <c r="A246" s="150" t="s">
        <v>1431</v>
      </c>
      <c r="B246" s="9" t="s">
        <v>3290</v>
      </c>
      <c r="C246" s="9" t="s">
        <v>3291</v>
      </c>
      <c r="D246" s="252">
        <v>1.4776</v>
      </c>
      <c r="E246" s="221">
        <v>816</v>
      </c>
      <c r="F246" s="246">
        <v>796</v>
      </c>
      <c r="G246" s="247">
        <v>577</v>
      </c>
      <c r="H246" s="248">
        <v>747</v>
      </c>
      <c r="I246" s="249">
        <v>803</v>
      </c>
      <c r="J246" s="122" t="b">
        <f>IF(ISBLANK(CertifiedCrop[[#This Row],[1. Identifiant interne d’exploitation agricole*]]),"",IF(ISERROR(MATCH(CertifiedCrop[[#This Row],[1. Identifiant interne d’exploitation agricole*]],GroupMember[1. Identifiant interne d’exploitation agricole*],0)),FALSE,TRUE))</f>
        <v>1</v>
      </c>
      <c r="K246" s="122" t="b">
        <f t="array" ref="K246">IF(ISBLANK(CertifiedCrop[[#This Row],[2. Produit agricole certifié*]]),"",IF(ISERROR(MATCH(1,(#REF!=CertifiedCrop[[#This Row],[2. Produit agricole certifié*]])*(#REF!=CertifiedCrop[[#This Row],[3. Variété**]]),0)),FALSE,TRUE))</f>
        <v>0</v>
      </c>
      <c r="L246" s="20" t="str">
        <f t="shared" si="20"/>
        <v/>
      </c>
      <c r="M246" s="54" t="str">
        <f t="shared" si="21"/>
        <v>!</v>
      </c>
      <c r="N246" s="54" t="str">
        <f t="shared" si="22"/>
        <v/>
      </c>
      <c r="O246" s="55">
        <f t="shared" si="23"/>
        <v>552.24688684353009</v>
      </c>
      <c r="P246" s="55">
        <f t="shared" si="24"/>
        <v>538.7114239306984</v>
      </c>
      <c r="Q246" s="9" t="str">
        <f ca="1">IFERROR((VLOOKUP(A246,GM_Table,8,FALSE)-SUMIFS(D:D,A:A,A246,B:B,B246,C:C,C246)),"")</f>
        <v/>
      </c>
      <c r="R246" s="9" t="str">
        <f ca="1">IFERROR(CONCATENATE(VLOOKUP(A246,GM_Table,12,FALSE)," ",(VLOOKUP(A246,GM_Table,13,FALSE))),"")</f>
        <v/>
      </c>
    </row>
    <row r="247" spans="1:18" ht="15" x14ac:dyDescent="0.2">
      <c r="A247" s="150" t="s">
        <v>1432</v>
      </c>
      <c r="B247" s="9" t="s">
        <v>3290</v>
      </c>
      <c r="C247" s="9" t="s">
        <v>3291</v>
      </c>
      <c r="D247" s="252">
        <v>2.6433</v>
      </c>
      <c r="E247" s="245">
        <v>1587</v>
      </c>
      <c r="F247" s="246">
        <v>1467</v>
      </c>
      <c r="G247" s="247">
        <v>1213</v>
      </c>
      <c r="H247" s="248">
        <v>1013</v>
      </c>
      <c r="I247" s="249">
        <v>635</v>
      </c>
      <c r="J247" s="122" t="b">
        <f>IF(ISBLANK(CertifiedCrop[[#This Row],[1. Identifiant interne d’exploitation agricole*]]),"",IF(ISERROR(MATCH(CertifiedCrop[[#This Row],[1. Identifiant interne d’exploitation agricole*]],GroupMember[1. Identifiant interne d’exploitation agricole*],0)),FALSE,TRUE))</f>
        <v>1</v>
      </c>
      <c r="K247" s="122" t="b">
        <f t="array" ref="K247">IF(ISBLANK(CertifiedCrop[[#This Row],[2. Produit agricole certifié*]]),"",IF(ISERROR(MATCH(1,(#REF!=CertifiedCrop[[#This Row],[2. Produit agricole certifié*]])*(#REF!=CertifiedCrop[[#This Row],[3. Variété**]]),0)),FALSE,TRUE))</f>
        <v>0</v>
      </c>
      <c r="L247" s="20" t="str">
        <f t="shared" si="20"/>
        <v/>
      </c>
      <c r="M247" s="54" t="str">
        <f t="shared" si="21"/>
        <v/>
      </c>
      <c r="N247" s="54" t="str">
        <f t="shared" si="22"/>
        <v/>
      </c>
      <c r="O247" s="55">
        <f t="shared" si="23"/>
        <v>600.38588128475772</v>
      </c>
      <c r="P247" s="55">
        <f t="shared" si="24"/>
        <v>554.98808307797071</v>
      </c>
      <c r="Q247" s="9" t="str">
        <f ca="1">IFERROR((VLOOKUP(A247,GM_Table,8,FALSE)-SUMIFS(D:D,A:A,A247,B:B,B247,C:C,C247)),"")</f>
        <v/>
      </c>
      <c r="R247" s="9" t="str">
        <f ca="1">IFERROR(CONCATENATE(VLOOKUP(A247,GM_Table,12,FALSE)," ",(VLOOKUP(A247,GM_Table,13,FALSE))),"")</f>
        <v/>
      </c>
    </row>
    <row r="248" spans="1:18" ht="15" x14ac:dyDescent="0.2">
      <c r="A248" s="150" t="s">
        <v>1434</v>
      </c>
      <c r="B248" s="9" t="s">
        <v>3290</v>
      </c>
      <c r="C248" s="9" t="s">
        <v>3291</v>
      </c>
      <c r="D248" s="252">
        <v>9</v>
      </c>
      <c r="E248" s="245">
        <v>5314</v>
      </c>
      <c r="F248" s="246">
        <v>5415</v>
      </c>
      <c r="G248" s="247">
        <v>4581</v>
      </c>
      <c r="H248" s="248">
        <v>5086</v>
      </c>
      <c r="I248" s="249">
        <v>3656</v>
      </c>
      <c r="J248" s="122" t="b">
        <f>IF(ISBLANK(CertifiedCrop[[#This Row],[1. Identifiant interne d’exploitation agricole*]]),"",IF(ISERROR(MATCH(CertifiedCrop[[#This Row],[1. Identifiant interne d’exploitation agricole*]],GroupMember[1. Identifiant interne d’exploitation agricole*],0)),FALSE,TRUE))</f>
        <v>1</v>
      </c>
      <c r="K248" s="122" t="b">
        <f t="array" ref="K248">IF(ISBLANK(CertifiedCrop[[#This Row],[2. Produit agricole certifié*]]),"",IF(ISERROR(MATCH(1,(#REF!=CertifiedCrop[[#This Row],[2. Produit agricole certifié*]])*(#REF!=CertifiedCrop[[#This Row],[3. Variété**]]),0)),FALSE,TRUE))</f>
        <v>0</v>
      </c>
      <c r="L248" s="20" t="str">
        <f t="shared" si="20"/>
        <v/>
      </c>
      <c r="M248" s="54" t="str">
        <f t="shared" si="21"/>
        <v/>
      </c>
      <c r="N248" s="54" t="str">
        <f t="shared" si="22"/>
        <v/>
      </c>
      <c r="O248" s="55">
        <f t="shared" si="23"/>
        <v>590.44444444444446</v>
      </c>
      <c r="P248" s="55">
        <f t="shared" si="24"/>
        <v>601.66666666666663</v>
      </c>
      <c r="Q248" s="9" t="str">
        <f ca="1">IFERROR((VLOOKUP(A248,GM_Table,8,FALSE)-SUMIFS(D:D,A:A,A248,B:B,B248,C:C,C248)),"")</f>
        <v/>
      </c>
      <c r="R248" s="9" t="str">
        <f ca="1">IFERROR(CONCATENATE(VLOOKUP(A248,GM_Table,12,FALSE)," ",(VLOOKUP(A248,GM_Table,13,FALSE))),"")</f>
        <v/>
      </c>
    </row>
    <row r="249" spans="1:18" ht="15" x14ac:dyDescent="0.2">
      <c r="A249" s="150" t="s">
        <v>1437</v>
      </c>
      <c r="B249" s="9" t="s">
        <v>3290</v>
      </c>
      <c r="C249" s="9" t="s">
        <v>3291</v>
      </c>
      <c r="D249" s="252">
        <v>5</v>
      </c>
      <c r="E249" s="245">
        <v>3002</v>
      </c>
      <c r="F249" s="246">
        <v>2895</v>
      </c>
      <c r="G249" s="247">
        <v>2095</v>
      </c>
      <c r="H249" s="248">
        <v>2683</v>
      </c>
      <c r="I249" s="249">
        <v>2015</v>
      </c>
      <c r="J249" s="122" t="b">
        <f>IF(ISBLANK(CertifiedCrop[[#This Row],[1. Identifiant interne d’exploitation agricole*]]),"",IF(ISERROR(MATCH(CertifiedCrop[[#This Row],[1. Identifiant interne d’exploitation agricole*]],GroupMember[1. Identifiant interne d’exploitation agricole*],0)),FALSE,TRUE))</f>
        <v>1</v>
      </c>
      <c r="K249" s="122" t="b">
        <f t="array" ref="K249">IF(ISBLANK(CertifiedCrop[[#This Row],[2. Produit agricole certifié*]]),"",IF(ISERROR(MATCH(1,(#REF!=CertifiedCrop[[#This Row],[2. Produit agricole certifié*]])*(#REF!=CertifiedCrop[[#This Row],[3. Variété**]]),0)),FALSE,TRUE))</f>
        <v>0</v>
      </c>
      <c r="L249" s="20" t="str">
        <f t="shared" si="20"/>
        <v/>
      </c>
      <c r="M249" s="54" t="str">
        <f t="shared" si="21"/>
        <v>!</v>
      </c>
      <c r="N249" s="54" t="str">
        <f t="shared" si="22"/>
        <v/>
      </c>
      <c r="O249" s="55">
        <f t="shared" si="23"/>
        <v>600.4</v>
      </c>
      <c r="P249" s="55">
        <f t="shared" si="24"/>
        <v>579</v>
      </c>
      <c r="Q249" s="9" t="str">
        <f ca="1">IFERROR((VLOOKUP(A249,GM_Table,8,FALSE)-SUMIFS(D:D,A:A,A249,B:B,B249,C:C,C249)),"")</f>
        <v/>
      </c>
      <c r="R249" s="9" t="str">
        <f ca="1">IFERROR(CONCATENATE(VLOOKUP(A249,GM_Table,12,FALSE)," ",(VLOOKUP(A249,GM_Table,13,FALSE))),"")</f>
        <v/>
      </c>
    </row>
    <row r="250" spans="1:18" ht="15" x14ac:dyDescent="0.2">
      <c r="A250" s="150" t="s">
        <v>1440</v>
      </c>
      <c r="B250" s="9" t="s">
        <v>3290</v>
      </c>
      <c r="C250" s="9" t="s">
        <v>3291</v>
      </c>
      <c r="D250" s="252">
        <v>0.96</v>
      </c>
      <c r="E250" s="221">
        <v>602</v>
      </c>
      <c r="F250" s="246">
        <v>600</v>
      </c>
      <c r="G250" s="247">
        <v>454</v>
      </c>
      <c r="H250" s="248">
        <v>327</v>
      </c>
      <c r="I250" s="249">
        <v>525</v>
      </c>
      <c r="J250" s="122" t="b">
        <f>IF(ISBLANK(CertifiedCrop[[#This Row],[1. Identifiant interne d’exploitation agricole*]]),"",IF(ISERROR(MATCH(CertifiedCrop[[#This Row],[1. Identifiant interne d’exploitation agricole*]],GroupMember[1. Identifiant interne d’exploitation agricole*],0)),FALSE,TRUE))</f>
        <v>1</v>
      </c>
      <c r="K250" s="122" t="b">
        <f t="array" ref="K250">IF(ISBLANK(CertifiedCrop[[#This Row],[2. Produit agricole certifié*]]),"",IF(ISERROR(MATCH(1,(#REF!=CertifiedCrop[[#This Row],[2. Produit agricole certifié*]])*(#REF!=CertifiedCrop[[#This Row],[3. Variété**]]),0)),FALSE,TRUE))</f>
        <v>0</v>
      </c>
      <c r="L250" s="20" t="str">
        <f t="shared" si="20"/>
        <v/>
      </c>
      <c r="M250" s="54" t="str">
        <f t="shared" si="21"/>
        <v>!</v>
      </c>
      <c r="N250" s="54" t="str">
        <f t="shared" si="22"/>
        <v>!</v>
      </c>
      <c r="O250" s="55">
        <f t="shared" si="23"/>
        <v>627.08333333333337</v>
      </c>
      <c r="P250" s="55">
        <f t="shared" si="24"/>
        <v>625</v>
      </c>
      <c r="Q250" s="9" t="str">
        <f ca="1">IFERROR((VLOOKUP(A250,GM_Table,8,FALSE)-SUMIFS(D:D,A:A,A250,B:B,B250,C:C,C250)),"")</f>
        <v/>
      </c>
      <c r="R250" s="9" t="str">
        <f ca="1">IFERROR(CONCATENATE(VLOOKUP(A250,GM_Table,12,FALSE)," ",(VLOOKUP(A250,GM_Table,13,FALSE))),"")</f>
        <v/>
      </c>
    </row>
    <row r="251" spans="1:18" ht="15" x14ac:dyDescent="0.2">
      <c r="A251" s="150" t="s">
        <v>1445</v>
      </c>
      <c r="B251" s="9" t="s">
        <v>3290</v>
      </c>
      <c r="C251" s="9" t="s">
        <v>3291</v>
      </c>
      <c r="D251" s="252">
        <v>2.5299999999999998</v>
      </c>
      <c r="E251" s="245">
        <v>1265</v>
      </c>
      <c r="F251" s="246">
        <v>1207</v>
      </c>
      <c r="G251" s="247">
        <v>630</v>
      </c>
      <c r="H251" s="248">
        <v>1014</v>
      </c>
      <c r="I251" s="249">
        <v>965</v>
      </c>
      <c r="J251" s="122" t="b">
        <f>IF(ISBLANK(CertifiedCrop[[#This Row],[1. Identifiant interne d’exploitation agricole*]]),"",IF(ISERROR(MATCH(CertifiedCrop[[#This Row],[1. Identifiant interne d’exploitation agricole*]],GroupMember[1. Identifiant interne d’exploitation agricole*],0)),FALSE,TRUE))</f>
        <v>1</v>
      </c>
      <c r="K251" s="122" t="b">
        <f t="array" ref="K251">IF(ISBLANK(CertifiedCrop[[#This Row],[2. Produit agricole certifié*]]),"",IF(ISERROR(MATCH(1,(#REF!=CertifiedCrop[[#This Row],[2. Produit agricole certifié*]])*(#REF!=CertifiedCrop[[#This Row],[3. Variété**]]),0)),FALSE,TRUE))</f>
        <v>0</v>
      </c>
      <c r="L251" s="20" t="str">
        <f t="shared" si="20"/>
        <v/>
      </c>
      <c r="M251" s="54" t="str">
        <f t="shared" si="21"/>
        <v>!</v>
      </c>
      <c r="N251" s="54" t="str">
        <f t="shared" si="22"/>
        <v>!</v>
      </c>
      <c r="O251" s="55">
        <f t="shared" si="23"/>
        <v>500.00000000000006</v>
      </c>
      <c r="P251" s="55">
        <f t="shared" si="24"/>
        <v>477.07509881422931</v>
      </c>
      <c r="Q251" s="9" t="str">
        <f ca="1">IFERROR((VLOOKUP(A251,GM_Table,8,FALSE)-SUMIFS(D:D,A:A,A251,B:B,B251,C:C,C251)),"")</f>
        <v/>
      </c>
      <c r="R251" s="9" t="str">
        <f ca="1">IFERROR(CONCATENATE(VLOOKUP(A251,GM_Table,12,FALSE)," ",(VLOOKUP(A251,GM_Table,13,FALSE))),"")</f>
        <v/>
      </c>
    </row>
    <row r="252" spans="1:18" ht="15" x14ac:dyDescent="0.2">
      <c r="A252" s="179" t="s">
        <v>1447</v>
      </c>
      <c r="B252" s="9" t="s">
        <v>3290</v>
      </c>
      <c r="C252" s="9" t="s">
        <v>3291</v>
      </c>
      <c r="D252" s="252">
        <v>3.23</v>
      </c>
      <c r="E252" s="245">
        <v>1917</v>
      </c>
      <c r="F252" s="246">
        <v>1874</v>
      </c>
      <c r="G252" s="247">
        <v>1668</v>
      </c>
      <c r="H252" s="248">
        <v>1706</v>
      </c>
      <c r="I252" s="249">
        <v>1258</v>
      </c>
      <c r="J252" s="122" t="b">
        <f>IF(ISBLANK(CertifiedCrop[[#This Row],[1. Identifiant interne d’exploitation agricole*]]),"",IF(ISERROR(MATCH(CertifiedCrop[[#This Row],[1. Identifiant interne d’exploitation agricole*]],GroupMember[1. Identifiant interne d’exploitation agricole*],0)),FALSE,TRUE))</f>
        <v>1</v>
      </c>
      <c r="K252" s="122" t="b">
        <f t="array" ref="K252">IF(ISBLANK(CertifiedCrop[[#This Row],[2. Produit agricole certifié*]]),"",IF(ISERROR(MATCH(1,(#REF!=CertifiedCrop[[#This Row],[2. Produit agricole certifié*]])*(#REF!=CertifiedCrop[[#This Row],[3. Variété**]]),0)),FALSE,TRUE))</f>
        <v>0</v>
      </c>
      <c r="L252" s="20" t="str">
        <f t="shared" si="20"/>
        <v/>
      </c>
      <c r="M252" s="54" t="str">
        <f t="shared" si="21"/>
        <v/>
      </c>
      <c r="N252" s="54" t="str">
        <f t="shared" si="22"/>
        <v/>
      </c>
      <c r="O252" s="55">
        <f t="shared" si="23"/>
        <v>593.49845201238395</v>
      </c>
      <c r="P252" s="55">
        <f t="shared" si="24"/>
        <v>580.18575851393189</v>
      </c>
      <c r="Q252" s="9" t="str">
        <f ca="1">IFERROR((VLOOKUP(A252,GM_Table,8,FALSE)-SUMIFS(D:D,A:A,A252,B:B,B252,C:C,C252)),"")</f>
        <v/>
      </c>
      <c r="R252" s="9" t="str">
        <f ca="1">IFERROR(CONCATENATE(VLOOKUP(A252,GM_Table,12,FALSE)," ",(VLOOKUP(A252,GM_Table,13,FALSE))),"")</f>
        <v/>
      </c>
    </row>
    <row r="253" spans="1:18" ht="15" x14ac:dyDescent="0.2">
      <c r="A253" s="150" t="s">
        <v>1449</v>
      </c>
      <c r="B253" s="9" t="s">
        <v>3290</v>
      </c>
      <c r="C253" s="9" t="s">
        <v>3291</v>
      </c>
      <c r="D253" s="252">
        <v>2</v>
      </c>
      <c r="E253" s="245">
        <v>1183</v>
      </c>
      <c r="F253" s="246">
        <v>1089</v>
      </c>
      <c r="G253" s="247">
        <v>624</v>
      </c>
      <c r="H253" s="248">
        <v>1074</v>
      </c>
      <c r="I253" s="249">
        <v>1088</v>
      </c>
      <c r="J253" s="122" t="b">
        <f>IF(ISBLANK(CertifiedCrop[[#This Row],[1. Identifiant interne d’exploitation agricole*]]),"",IF(ISERROR(MATCH(CertifiedCrop[[#This Row],[1. Identifiant interne d’exploitation agricole*]],GroupMember[1. Identifiant interne d’exploitation agricole*],0)),FALSE,TRUE))</f>
        <v>1</v>
      </c>
      <c r="K253" s="122" t="b">
        <f t="array" ref="K253">IF(ISBLANK(CertifiedCrop[[#This Row],[2. Produit agricole certifié*]]),"",IF(ISERROR(MATCH(1,(#REF!=CertifiedCrop[[#This Row],[2. Produit agricole certifié*]])*(#REF!=CertifiedCrop[[#This Row],[3. Variété**]]),0)),FALSE,TRUE))</f>
        <v>0</v>
      </c>
      <c r="L253" s="20" t="str">
        <f t="shared" si="20"/>
        <v/>
      </c>
      <c r="M253" s="54" t="str">
        <f t="shared" si="21"/>
        <v>!</v>
      </c>
      <c r="N253" s="54" t="str">
        <f t="shared" si="22"/>
        <v>!</v>
      </c>
      <c r="O253" s="55">
        <f t="shared" si="23"/>
        <v>591.5</v>
      </c>
      <c r="P253" s="55">
        <f t="shared" si="24"/>
        <v>544.5</v>
      </c>
      <c r="Q253" s="9" t="str">
        <f ca="1">IFERROR((VLOOKUP(A253,GM_Table,8,FALSE)-SUMIFS(D:D,A:A,A253,B:B,B253,C:C,C253)),"")</f>
        <v/>
      </c>
      <c r="R253" s="9" t="str">
        <f ca="1">IFERROR(CONCATENATE(VLOOKUP(A253,GM_Table,12,FALSE)," ",(VLOOKUP(A253,GM_Table,13,FALSE))),"")</f>
        <v/>
      </c>
    </row>
    <row r="254" spans="1:18" ht="15" x14ac:dyDescent="0.2">
      <c r="A254" s="150" t="s">
        <v>1455</v>
      </c>
      <c r="B254" s="9" t="s">
        <v>3290</v>
      </c>
      <c r="C254" s="9" t="s">
        <v>3291</v>
      </c>
      <c r="D254" s="252">
        <v>1.1200000000000001</v>
      </c>
      <c r="E254" s="221">
        <v>709</v>
      </c>
      <c r="F254" s="246">
        <v>700</v>
      </c>
      <c r="G254" s="247">
        <v>217</v>
      </c>
      <c r="H254" s="248">
        <v>558</v>
      </c>
      <c r="I254" s="249">
        <v>517</v>
      </c>
      <c r="J254" s="122" t="b">
        <f>IF(ISBLANK(CertifiedCrop[[#This Row],[1. Identifiant interne d’exploitation agricole*]]),"",IF(ISERROR(MATCH(CertifiedCrop[[#This Row],[1. Identifiant interne d’exploitation agricole*]],GroupMember[1. Identifiant interne d’exploitation agricole*],0)),FALSE,TRUE))</f>
        <v>1</v>
      </c>
      <c r="K254" s="122" t="b">
        <f t="array" ref="K254">IF(ISBLANK(CertifiedCrop[[#This Row],[2. Produit agricole certifié*]]),"",IF(ISERROR(MATCH(1,(#REF!=CertifiedCrop[[#This Row],[2. Produit agricole certifié*]])*(#REF!=CertifiedCrop[[#This Row],[3. Variété**]]),0)),FALSE,TRUE))</f>
        <v>0</v>
      </c>
      <c r="L254" s="20" t="str">
        <f t="shared" si="20"/>
        <v/>
      </c>
      <c r="M254" s="54" t="str">
        <f t="shared" si="21"/>
        <v>!</v>
      </c>
      <c r="N254" s="54" t="str">
        <f t="shared" si="22"/>
        <v>!</v>
      </c>
      <c r="O254" s="55">
        <f t="shared" si="23"/>
        <v>633.03571428571422</v>
      </c>
      <c r="P254" s="55">
        <f t="shared" si="24"/>
        <v>624.99999999999989</v>
      </c>
      <c r="Q254" s="9" t="str">
        <f ca="1">IFERROR((VLOOKUP(A254,GM_Table,8,FALSE)-SUMIFS(D:D,A:A,A254,B:B,B254,C:C,C254)),"")</f>
        <v/>
      </c>
      <c r="R254" s="9" t="str">
        <f ca="1">IFERROR(CONCATENATE(VLOOKUP(A254,GM_Table,12,FALSE)," ",(VLOOKUP(A254,GM_Table,13,FALSE))),"")</f>
        <v/>
      </c>
    </row>
    <row r="255" spans="1:18" ht="15" x14ac:dyDescent="0.2">
      <c r="A255" s="150" t="s">
        <v>1459</v>
      </c>
      <c r="B255" s="9" t="s">
        <v>3290</v>
      </c>
      <c r="C255" s="9" t="s">
        <v>3291</v>
      </c>
      <c r="D255" s="252">
        <v>4</v>
      </c>
      <c r="E255" s="245">
        <v>2534</v>
      </c>
      <c r="F255" s="246">
        <v>2475</v>
      </c>
      <c r="G255" s="247">
        <v>1889</v>
      </c>
      <c r="H255" s="248">
        <v>2268</v>
      </c>
      <c r="I255" s="249">
        <v>2354</v>
      </c>
      <c r="J255" s="122" t="b">
        <f>IF(ISBLANK(CertifiedCrop[[#This Row],[1. Identifiant interne d’exploitation agricole*]]),"",IF(ISERROR(MATCH(CertifiedCrop[[#This Row],[1. Identifiant interne d’exploitation agricole*]],GroupMember[1. Identifiant interne d’exploitation agricole*],0)),FALSE,TRUE))</f>
        <v>1</v>
      </c>
      <c r="K255" s="122" t="b">
        <f t="array" ref="K255">IF(ISBLANK(CertifiedCrop[[#This Row],[2. Produit agricole certifié*]]),"",IF(ISERROR(MATCH(1,(#REF!=CertifiedCrop[[#This Row],[2. Produit agricole certifié*]])*(#REF!=CertifiedCrop[[#This Row],[3. Variété**]]),0)),FALSE,TRUE))</f>
        <v>0</v>
      </c>
      <c r="L255" s="20" t="str">
        <f t="shared" si="20"/>
        <v/>
      </c>
      <c r="M255" s="54" t="str">
        <f t="shared" si="21"/>
        <v>!</v>
      </c>
      <c r="N255" s="54" t="str">
        <f t="shared" si="22"/>
        <v/>
      </c>
      <c r="O255" s="55">
        <f t="shared" si="23"/>
        <v>633.5</v>
      </c>
      <c r="P255" s="55">
        <f t="shared" si="24"/>
        <v>618.75</v>
      </c>
      <c r="Q255" s="9" t="str">
        <f ca="1">IFERROR((VLOOKUP(A255,GM_Table,8,FALSE)-SUMIFS(D:D,A:A,A255,B:B,B255,C:C,C255)),"")</f>
        <v/>
      </c>
      <c r="R255" s="9" t="str">
        <f ca="1">IFERROR(CONCATENATE(VLOOKUP(A255,GM_Table,12,FALSE)," ",(VLOOKUP(A255,GM_Table,13,FALSE))),"")</f>
        <v/>
      </c>
    </row>
    <row r="256" spans="1:18" ht="15" x14ac:dyDescent="0.2">
      <c r="A256" s="150" t="s">
        <v>1461</v>
      </c>
      <c r="B256" s="9" t="s">
        <v>3290</v>
      </c>
      <c r="C256" s="9" t="s">
        <v>3291</v>
      </c>
      <c r="D256" s="252">
        <v>2</v>
      </c>
      <c r="E256" s="245">
        <v>1089</v>
      </c>
      <c r="F256" s="246">
        <v>1052</v>
      </c>
      <c r="G256" s="247">
        <v>424</v>
      </c>
      <c r="H256" s="248">
        <v>899</v>
      </c>
      <c r="I256" s="249">
        <v>807</v>
      </c>
      <c r="J256" s="122" t="b">
        <f>IF(ISBLANK(CertifiedCrop[[#This Row],[1. Identifiant interne d’exploitation agricole*]]),"",IF(ISERROR(MATCH(CertifiedCrop[[#This Row],[1. Identifiant interne d’exploitation agricole*]],GroupMember[1. Identifiant interne d’exploitation agricole*],0)),FALSE,TRUE))</f>
        <v>1</v>
      </c>
      <c r="K256" s="122" t="b">
        <f t="array" ref="K256">IF(ISBLANK(CertifiedCrop[[#This Row],[2. Produit agricole certifié*]]),"",IF(ISERROR(MATCH(1,(#REF!=CertifiedCrop[[#This Row],[2. Produit agricole certifié*]])*(#REF!=CertifiedCrop[[#This Row],[3. Variété**]]),0)),FALSE,TRUE))</f>
        <v>0</v>
      </c>
      <c r="L256" s="20" t="str">
        <f t="shared" si="20"/>
        <v/>
      </c>
      <c r="M256" s="54" t="str">
        <f t="shared" si="21"/>
        <v>!</v>
      </c>
      <c r="N256" s="54" t="str">
        <f t="shared" si="22"/>
        <v>!</v>
      </c>
      <c r="O256" s="55">
        <f t="shared" si="23"/>
        <v>544.5</v>
      </c>
      <c r="P256" s="55">
        <f t="shared" si="24"/>
        <v>526</v>
      </c>
      <c r="Q256" s="9" t="str">
        <f ca="1">IFERROR((VLOOKUP(A256,GM_Table,8,FALSE)-SUMIFS(D:D,A:A,A256,B:B,B256,C:C,C256)),"")</f>
        <v/>
      </c>
      <c r="R256" s="9" t="str">
        <f ca="1">IFERROR(CONCATENATE(VLOOKUP(A256,GM_Table,12,FALSE)," ",(VLOOKUP(A256,GM_Table,13,FALSE))),"")</f>
        <v/>
      </c>
    </row>
    <row r="257" spans="1:18" ht="15" x14ac:dyDescent="0.2">
      <c r="A257" s="150" t="s">
        <v>1463</v>
      </c>
      <c r="B257" s="9" t="s">
        <v>3290</v>
      </c>
      <c r="C257" s="9" t="s">
        <v>3291</v>
      </c>
      <c r="D257" s="252">
        <v>7</v>
      </c>
      <c r="E257" s="245">
        <v>3839</v>
      </c>
      <c r="F257" s="246">
        <v>3689</v>
      </c>
      <c r="G257" s="247">
        <v>2995</v>
      </c>
      <c r="H257" s="248">
        <v>3522</v>
      </c>
      <c r="I257" s="249">
        <v>2796</v>
      </c>
      <c r="J257" s="122" t="b">
        <f>IF(ISBLANK(CertifiedCrop[[#This Row],[1. Identifiant interne d’exploitation agricole*]]),"",IF(ISERROR(MATCH(CertifiedCrop[[#This Row],[1. Identifiant interne d’exploitation agricole*]],GroupMember[1. Identifiant interne d’exploitation agricole*],0)),FALSE,TRUE))</f>
        <v>1</v>
      </c>
      <c r="K257" s="122" t="b">
        <f t="array" ref="K257">IF(ISBLANK(CertifiedCrop[[#This Row],[2. Produit agricole certifié*]]),"",IF(ISERROR(MATCH(1,(#REF!=CertifiedCrop[[#This Row],[2. Produit agricole certifié*]])*(#REF!=CertifiedCrop[[#This Row],[3. Variété**]]),0)),FALSE,TRUE))</f>
        <v>0</v>
      </c>
      <c r="L257" s="20" t="str">
        <f t="shared" si="20"/>
        <v/>
      </c>
      <c r="M257" s="54" t="str">
        <f t="shared" si="21"/>
        <v/>
      </c>
      <c r="N257" s="54" t="str">
        <f t="shared" si="22"/>
        <v/>
      </c>
      <c r="O257" s="55">
        <f t="shared" si="23"/>
        <v>548.42857142857144</v>
      </c>
      <c r="P257" s="55">
        <f t="shared" si="24"/>
        <v>527</v>
      </c>
      <c r="Q257" s="9" t="str">
        <f ca="1">IFERROR((VLOOKUP(A257,GM_Table,8,FALSE)-SUMIFS(D:D,A:A,A257,B:B,B257,C:C,C257)),"")</f>
        <v/>
      </c>
      <c r="R257" s="9" t="str">
        <f ca="1">IFERROR(CONCATENATE(VLOOKUP(A257,GM_Table,12,FALSE)," ",(VLOOKUP(A257,GM_Table,13,FALSE))),"")</f>
        <v/>
      </c>
    </row>
    <row r="258" spans="1:18" ht="15" x14ac:dyDescent="0.2">
      <c r="A258" s="150" t="s">
        <v>1466</v>
      </c>
      <c r="B258" s="9" t="s">
        <v>3290</v>
      </c>
      <c r="C258" s="9" t="s">
        <v>3291</v>
      </c>
      <c r="D258" s="252">
        <v>3</v>
      </c>
      <c r="E258" s="245">
        <v>1687</v>
      </c>
      <c r="F258" s="246">
        <v>1578</v>
      </c>
      <c r="G258" s="247">
        <v>1127</v>
      </c>
      <c r="H258" s="248">
        <v>1335</v>
      </c>
      <c r="I258" s="249">
        <v>1268</v>
      </c>
      <c r="J258" s="122" t="b">
        <f>IF(ISBLANK(CertifiedCrop[[#This Row],[1. Identifiant interne d’exploitation agricole*]]),"",IF(ISERROR(MATCH(CertifiedCrop[[#This Row],[1. Identifiant interne d’exploitation agricole*]],GroupMember[1. Identifiant interne d’exploitation agricole*],0)),FALSE,TRUE))</f>
        <v>1</v>
      </c>
      <c r="K258" s="122" t="b">
        <f t="array" ref="K258">IF(ISBLANK(CertifiedCrop[[#This Row],[2. Produit agricole certifié*]]),"",IF(ISERROR(MATCH(1,(#REF!=CertifiedCrop[[#This Row],[2. Produit agricole certifié*]])*(#REF!=CertifiedCrop[[#This Row],[3. Variété**]]),0)),FALSE,TRUE))</f>
        <v>0</v>
      </c>
      <c r="L258" s="20" t="str">
        <f t="shared" si="20"/>
        <v/>
      </c>
      <c r="M258" s="54" t="str">
        <f t="shared" si="21"/>
        <v>!</v>
      </c>
      <c r="N258" s="54" t="str">
        <f t="shared" si="22"/>
        <v/>
      </c>
      <c r="O258" s="55">
        <f t="shared" si="23"/>
        <v>562.33333333333337</v>
      </c>
      <c r="P258" s="55">
        <f t="shared" si="24"/>
        <v>526</v>
      </c>
      <c r="Q258" s="9" t="str">
        <f ca="1">IFERROR((VLOOKUP(A258,GM_Table,8,FALSE)-SUMIFS(D:D,A:A,A258,B:B,B258,C:C,C258)),"")</f>
        <v/>
      </c>
      <c r="R258" s="9" t="str">
        <f ca="1">IFERROR(CONCATENATE(VLOOKUP(A258,GM_Table,12,FALSE)," ",(VLOOKUP(A258,GM_Table,13,FALSE))),"")</f>
        <v/>
      </c>
    </row>
    <row r="259" spans="1:18" ht="15" x14ac:dyDescent="0.2">
      <c r="A259" s="150" t="s">
        <v>1468</v>
      </c>
      <c r="B259" s="9" t="s">
        <v>3290</v>
      </c>
      <c r="C259" s="9" t="s">
        <v>3291</v>
      </c>
      <c r="D259" s="252">
        <v>2</v>
      </c>
      <c r="E259" s="245">
        <v>1183</v>
      </c>
      <c r="F259" s="246">
        <v>1095</v>
      </c>
      <c r="G259" s="247">
        <v>829</v>
      </c>
      <c r="H259" s="248">
        <v>1007</v>
      </c>
      <c r="I259" s="249">
        <v>1132</v>
      </c>
      <c r="J259" s="122" t="b">
        <f>IF(ISBLANK(CertifiedCrop[[#This Row],[1. Identifiant interne d’exploitation agricole*]]),"",IF(ISERROR(MATCH(CertifiedCrop[[#This Row],[1. Identifiant interne d’exploitation agricole*]],GroupMember[1. Identifiant interne d’exploitation agricole*],0)),FALSE,TRUE))</f>
        <v>1</v>
      </c>
      <c r="K259" s="122" t="b">
        <f t="array" ref="K259">IF(ISBLANK(CertifiedCrop[[#This Row],[2. Produit agricole certifié*]]),"",IF(ISERROR(MATCH(1,(#REF!=CertifiedCrop[[#This Row],[2. Produit agricole certifié*]])*(#REF!=CertifiedCrop[[#This Row],[3. Variété**]]),0)),FALSE,TRUE))</f>
        <v>0</v>
      </c>
      <c r="L259" s="20" t="str">
        <f t="shared" si="20"/>
        <v/>
      </c>
      <c r="M259" s="54" t="str">
        <f t="shared" si="21"/>
        <v>!</v>
      </c>
      <c r="N259" s="54" t="str">
        <f t="shared" si="22"/>
        <v/>
      </c>
      <c r="O259" s="55">
        <f t="shared" si="23"/>
        <v>591.5</v>
      </c>
      <c r="P259" s="55">
        <f t="shared" si="24"/>
        <v>547.5</v>
      </c>
      <c r="Q259" s="9" t="str">
        <f ca="1">IFERROR((VLOOKUP(A259,GM_Table,8,FALSE)-SUMIFS(D:D,A:A,A259,B:B,B259,C:C,C259)),"")</f>
        <v/>
      </c>
      <c r="R259" s="9" t="str">
        <f ca="1">IFERROR(CONCATENATE(VLOOKUP(A259,GM_Table,12,FALSE)," ",(VLOOKUP(A259,GM_Table,13,FALSE))),"")</f>
        <v/>
      </c>
    </row>
    <row r="260" spans="1:18" ht="15" x14ac:dyDescent="0.2">
      <c r="A260" s="150" t="s">
        <v>1470</v>
      </c>
      <c r="B260" s="9" t="s">
        <v>3290</v>
      </c>
      <c r="C260" s="9" t="s">
        <v>3291</v>
      </c>
      <c r="D260" s="252">
        <v>2</v>
      </c>
      <c r="E260" s="245">
        <v>1257</v>
      </c>
      <c r="F260" s="246">
        <v>1207</v>
      </c>
      <c r="G260" s="247">
        <v>925</v>
      </c>
      <c r="H260" s="248">
        <v>1071</v>
      </c>
      <c r="I260" s="249">
        <v>824</v>
      </c>
      <c r="J260" s="122" t="b">
        <f>IF(ISBLANK(CertifiedCrop[[#This Row],[1. Identifiant interne d’exploitation agricole*]]),"",IF(ISERROR(MATCH(CertifiedCrop[[#This Row],[1. Identifiant interne d’exploitation agricole*]],GroupMember[1. Identifiant interne d’exploitation agricole*],0)),FALSE,TRUE))</f>
        <v>1</v>
      </c>
      <c r="K260" s="122" t="b">
        <f t="array" ref="K260">IF(ISBLANK(CertifiedCrop[[#This Row],[2. Produit agricole certifié*]]),"",IF(ISERROR(MATCH(1,(#REF!=CertifiedCrop[[#This Row],[2. Produit agricole certifié*]])*(#REF!=CertifiedCrop[[#This Row],[3. Variété**]]),0)),FALSE,TRUE))</f>
        <v>0</v>
      </c>
      <c r="L260" s="20" t="str">
        <f t="shared" si="20"/>
        <v/>
      </c>
      <c r="M260" s="54" t="str">
        <f t="shared" si="21"/>
        <v>!</v>
      </c>
      <c r="N260" s="54" t="str">
        <f t="shared" si="22"/>
        <v/>
      </c>
      <c r="O260" s="55">
        <f t="shared" si="23"/>
        <v>628.5</v>
      </c>
      <c r="P260" s="55">
        <f t="shared" si="24"/>
        <v>603.5</v>
      </c>
      <c r="Q260" s="9" t="str">
        <f ca="1">IFERROR((VLOOKUP(A260,GM_Table,8,FALSE)-SUMIFS(D:D,A:A,A260,B:B,B260,C:C,C260)),"")</f>
        <v/>
      </c>
      <c r="R260" s="9" t="str">
        <f ca="1">IFERROR(CONCATENATE(VLOOKUP(A260,GM_Table,12,FALSE)," ",(VLOOKUP(A260,GM_Table,13,FALSE))),"")</f>
        <v/>
      </c>
    </row>
    <row r="261" spans="1:18" ht="15" x14ac:dyDescent="0.2">
      <c r="A261" s="150" t="s">
        <v>1473</v>
      </c>
      <c r="B261" s="9" t="s">
        <v>3290</v>
      </c>
      <c r="C261" s="9" t="s">
        <v>3291</v>
      </c>
      <c r="D261" s="252">
        <v>2</v>
      </c>
      <c r="E261" s="245">
        <v>1174</v>
      </c>
      <c r="F261" s="246">
        <v>1145</v>
      </c>
      <c r="G261" s="247">
        <v>983</v>
      </c>
      <c r="H261" s="248">
        <v>1017</v>
      </c>
      <c r="I261" s="249">
        <v>803</v>
      </c>
      <c r="J261" s="122" t="b">
        <f>IF(ISBLANK(CertifiedCrop[[#This Row],[1. Identifiant interne d’exploitation agricole*]]),"",IF(ISERROR(MATCH(CertifiedCrop[[#This Row],[1. Identifiant interne d’exploitation agricole*]],GroupMember[1. Identifiant interne d’exploitation agricole*],0)),FALSE,TRUE))</f>
        <v>1</v>
      </c>
      <c r="K261" s="122" t="b">
        <f t="array" ref="K261">IF(ISBLANK(CertifiedCrop[[#This Row],[2. Produit agricole certifié*]]),"",IF(ISERROR(MATCH(1,(#REF!=CertifiedCrop[[#This Row],[2. Produit agricole certifié*]])*(#REF!=CertifiedCrop[[#This Row],[3. Variété**]]),0)),FALSE,TRUE))</f>
        <v>0</v>
      </c>
      <c r="L261" s="20" t="str">
        <f t="shared" si="20"/>
        <v/>
      </c>
      <c r="M261" s="54" t="str">
        <f t="shared" si="21"/>
        <v/>
      </c>
      <c r="N261" s="54" t="str">
        <f t="shared" si="22"/>
        <v/>
      </c>
      <c r="O261" s="55">
        <f t="shared" si="23"/>
        <v>587</v>
      </c>
      <c r="P261" s="55">
        <f t="shared" si="24"/>
        <v>572.5</v>
      </c>
      <c r="Q261" s="9" t="str">
        <f ca="1">IFERROR((VLOOKUP(A261,GM_Table,8,FALSE)-SUMIFS(D:D,A:A,A261,B:B,B261,C:C,C261)),"")</f>
        <v/>
      </c>
      <c r="R261" s="9" t="str">
        <f ca="1">IFERROR(CONCATENATE(VLOOKUP(A261,GM_Table,12,FALSE)," ",(VLOOKUP(A261,GM_Table,13,FALSE))),"")</f>
        <v/>
      </c>
    </row>
    <row r="262" spans="1:18" ht="15" x14ac:dyDescent="0.2">
      <c r="A262" s="150" t="s">
        <v>1477</v>
      </c>
      <c r="B262" s="9" t="s">
        <v>3290</v>
      </c>
      <c r="C262" s="9" t="s">
        <v>3291</v>
      </c>
      <c r="D262" s="252">
        <v>2</v>
      </c>
      <c r="E262" s="245">
        <v>1267</v>
      </c>
      <c r="F262" s="246">
        <v>1230</v>
      </c>
      <c r="G262" s="247">
        <v>816</v>
      </c>
      <c r="H262" s="248">
        <v>1210</v>
      </c>
      <c r="I262" s="249">
        <v>812</v>
      </c>
      <c r="J262" s="122" t="b">
        <f>IF(ISBLANK(CertifiedCrop[[#This Row],[1. Identifiant interne d’exploitation agricole*]]),"",IF(ISERROR(MATCH(CertifiedCrop[[#This Row],[1. Identifiant interne d’exploitation agricole*]],GroupMember[1. Identifiant interne d’exploitation agricole*],0)),FALSE,TRUE))</f>
        <v>1</v>
      </c>
      <c r="K262" s="122" t="b">
        <f t="array" ref="K262">IF(ISBLANK(CertifiedCrop[[#This Row],[2. Produit agricole certifié*]]),"",IF(ISERROR(MATCH(1,(#REF!=CertifiedCrop[[#This Row],[2. Produit agricole certifié*]])*(#REF!=CertifiedCrop[[#This Row],[3. Variété**]]),0)),FALSE,TRUE))</f>
        <v>0</v>
      </c>
      <c r="L262" s="20" t="str">
        <f t="shared" si="20"/>
        <v/>
      </c>
      <c r="M262" s="54" t="str">
        <f t="shared" si="21"/>
        <v>!</v>
      </c>
      <c r="N262" s="54" t="str">
        <f t="shared" si="22"/>
        <v>!</v>
      </c>
      <c r="O262" s="55">
        <f t="shared" si="23"/>
        <v>633.5</v>
      </c>
      <c r="P262" s="55">
        <f t="shared" si="24"/>
        <v>615</v>
      </c>
      <c r="Q262" s="9" t="str">
        <f ca="1">IFERROR((VLOOKUP(A262,GM_Table,8,FALSE)-SUMIFS(D:D,A:A,A262,B:B,B262,C:C,C262)),"")</f>
        <v/>
      </c>
      <c r="R262" s="9" t="str">
        <f ca="1">IFERROR(CONCATENATE(VLOOKUP(A262,GM_Table,12,FALSE)," ",(VLOOKUP(A262,GM_Table,13,FALSE))),"")</f>
        <v/>
      </c>
    </row>
    <row r="263" spans="1:18" ht="15" x14ac:dyDescent="0.2">
      <c r="A263" s="150" t="s">
        <v>1479</v>
      </c>
      <c r="B263" s="9" t="s">
        <v>3290</v>
      </c>
      <c r="C263" s="9" t="s">
        <v>3291</v>
      </c>
      <c r="D263" s="252">
        <v>3</v>
      </c>
      <c r="E263" s="245">
        <v>1579</v>
      </c>
      <c r="F263" s="246">
        <v>1479</v>
      </c>
      <c r="G263" s="247">
        <v>870</v>
      </c>
      <c r="H263" s="248">
        <v>1429</v>
      </c>
      <c r="I263" s="249">
        <v>1214</v>
      </c>
      <c r="J263" s="122" t="b">
        <f>IF(ISBLANK(CertifiedCrop[[#This Row],[1. Identifiant interne d’exploitation agricole*]]),"",IF(ISERROR(MATCH(CertifiedCrop[[#This Row],[1. Identifiant interne d’exploitation agricole*]],GroupMember[1. Identifiant interne d’exploitation agricole*],0)),FALSE,TRUE))</f>
        <v>1</v>
      </c>
      <c r="K263" s="122" t="b">
        <f t="array" ref="K263">IF(ISBLANK(CertifiedCrop[[#This Row],[2. Produit agricole certifié*]]),"",IF(ISERROR(MATCH(1,(#REF!=CertifiedCrop[[#This Row],[2. Produit agricole certifié*]])*(#REF!=CertifiedCrop[[#This Row],[3. Variété**]]),0)),FALSE,TRUE))</f>
        <v>0</v>
      </c>
      <c r="L263" s="20" t="str">
        <f t="shared" si="20"/>
        <v/>
      </c>
      <c r="M263" s="54" t="str">
        <f t="shared" si="21"/>
        <v>!</v>
      </c>
      <c r="N263" s="54" t="str">
        <f t="shared" si="22"/>
        <v>!</v>
      </c>
      <c r="O263" s="55">
        <f t="shared" si="23"/>
        <v>526.33333333333337</v>
      </c>
      <c r="P263" s="55">
        <f t="shared" si="24"/>
        <v>493</v>
      </c>
      <c r="Q263" s="9" t="str">
        <f ca="1">IFERROR((VLOOKUP(A263,GM_Table,8,FALSE)-SUMIFS(D:D,A:A,A263,B:B,B263,C:C,C263)),"")</f>
        <v/>
      </c>
      <c r="R263" s="9" t="str">
        <f ca="1">IFERROR(CONCATENATE(VLOOKUP(A263,GM_Table,12,FALSE)," ",(VLOOKUP(A263,GM_Table,13,FALSE))),"")</f>
        <v/>
      </c>
    </row>
    <row r="264" spans="1:18" ht="15" x14ac:dyDescent="0.2">
      <c r="A264" s="150" t="s">
        <v>1481</v>
      </c>
      <c r="B264" s="9" t="s">
        <v>3290</v>
      </c>
      <c r="C264" s="9" t="s">
        <v>3291</v>
      </c>
      <c r="D264" s="252">
        <v>2</v>
      </c>
      <c r="E264" s="245">
        <v>1183</v>
      </c>
      <c r="F264" s="246">
        <v>1096</v>
      </c>
      <c r="G264" s="247">
        <v>824</v>
      </c>
      <c r="H264" s="248">
        <v>941</v>
      </c>
      <c r="I264" s="249">
        <v>822</v>
      </c>
      <c r="J264" s="122" t="b">
        <f>IF(ISBLANK(CertifiedCrop[[#This Row],[1. Identifiant interne d’exploitation agricole*]]),"",IF(ISERROR(MATCH(CertifiedCrop[[#This Row],[1. Identifiant interne d’exploitation agricole*]],GroupMember[1. Identifiant interne d’exploitation agricole*],0)),FALSE,TRUE))</f>
        <v>1</v>
      </c>
      <c r="K264" s="122" t="b">
        <f t="array" ref="K264">IF(ISBLANK(CertifiedCrop[[#This Row],[2. Produit agricole certifié*]]),"",IF(ISERROR(MATCH(1,(#REF!=CertifiedCrop[[#This Row],[2. Produit agricole certifié*]])*(#REF!=CertifiedCrop[[#This Row],[3. Variété**]]),0)),FALSE,TRUE))</f>
        <v>0</v>
      </c>
      <c r="L264" s="20" t="str">
        <f t="shared" si="20"/>
        <v/>
      </c>
      <c r="M264" s="54" t="str">
        <f t="shared" si="21"/>
        <v>!</v>
      </c>
      <c r="N264" s="54" t="str">
        <f t="shared" si="22"/>
        <v/>
      </c>
      <c r="O264" s="55">
        <f t="shared" si="23"/>
        <v>591.5</v>
      </c>
      <c r="P264" s="55">
        <f t="shared" si="24"/>
        <v>548</v>
      </c>
      <c r="Q264" s="9" t="str">
        <f ca="1">IFERROR((VLOOKUP(A264,GM_Table,8,FALSE)-SUMIFS(D:D,A:A,A264,B:B,B264,C:C,C264)),"")</f>
        <v/>
      </c>
      <c r="R264" s="9" t="str">
        <f ca="1">IFERROR(CONCATENATE(VLOOKUP(A264,GM_Table,12,FALSE)," ",(VLOOKUP(A264,GM_Table,13,FALSE))),"")</f>
        <v/>
      </c>
    </row>
    <row r="265" spans="1:18" ht="15" x14ac:dyDescent="0.2">
      <c r="A265" s="150" t="s">
        <v>1483</v>
      </c>
      <c r="B265" s="9" t="s">
        <v>3290</v>
      </c>
      <c r="C265" s="9" t="s">
        <v>3291</v>
      </c>
      <c r="D265" s="252">
        <v>0.95</v>
      </c>
      <c r="E265" s="221">
        <v>563</v>
      </c>
      <c r="F265" s="246">
        <v>526</v>
      </c>
      <c r="G265" s="247">
        <v>433</v>
      </c>
      <c r="H265" s="248">
        <v>296</v>
      </c>
      <c r="I265" s="249">
        <v>536</v>
      </c>
      <c r="J265" s="122" t="b">
        <f>IF(ISBLANK(CertifiedCrop[[#This Row],[1. Identifiant interne d’exploitation agricole*]]),"",IF(ISERROR(MATCH(CertifiedCrop[[#This Row],[1. Identifiant interne d’exploitation agricole*]],GroupMember[1. Identifiant interne d’exploitation agricole*],0)),FALSE,TRUE))</f>
        <v>1</v>
      </c>
      <c r="K265" s="122" t="b">
        <f t="array" ref="K265">IF(ISBLANK(CertifiedCrop[[#This Row],[2. Produit agricole certifié*]]),"",IF(ISERROR(MATCH(1,(#REF!=CertifiedCrop[[#This Row],[2. Produit agricole certifié*]])*(#REF!=CertifiedCrop[[#This Row],[3. Variété**]]),0)),FALSE,TRUE))</f>
        <v>0</v>
      </c>
      <c r="L265" s="20" t="str">
        <f t="shared" si="20"/>
        <v/>
      </c>
      <c r="M265" s="54" t="str">
        <f t="shared" si="21"/>
        <v/>
      </c>
      <c r="N265" s="54" t="str">
        <f t="shared" si="22"/>
        <v>!</v>
      </c>
      <c r="O265" s="55">
        <f t="shared" si="23"/>
        <v>592.63157894736844</v>
      </c>
      <c r="P265" s="55">
        <f t="shared" si="24"/>
        <v>553.68421052631584</v>
      </c>
      <c r="Q265" s="9" t="str">
        <f ca="1">IFERROR((VLOOKUP(A265,GM_Table,8,FALSE)-SUMIFS(D:D,A:A,A265,B:B,B265,C:C,C265)),"")</f>
        <v/>
      </c>
      <c r="R265" s="9" t="str">
        <f ca="1">IFERROR(CONCATENATE(VLOOKUP(A265,GM_Table,12,FALSE)," ",(VLOOKUP(A265,GM_Table,13,FALSE))),"")</f>
        <v/>
      </c>
    </row>
    <row r="266" spans="1:18" ht="15" x14ac:dyDescent="0.2">
      <c r="A266" s="150" t="s">
        <v>1485</v>
      </c>
      <c r="B266" s="9" t="s">
        <v>3290</v>
      </c>
      <c r="C266" s="9" t="s">
        <v>3291</v>
      </c>
      <c r="D266" s="252">
        <v>5</v>
      </c>
      <c r="E266" s="245">
        <v>3183</v>
      </c>
      <c r="F266" s="246">
        <v>3069</v>
      </c>
      <c r="G266" s="247">
        <v>2577</v>
      </c>
      <c r="H266" s="248">
        <v>2888</v>
      </c>
      <c r="I266" s="249">
        <v>1895</v>
      </c>
      <c r="J266" s="122" t="b">
        <f>IF(ISBLANK(CertifiedCrop[[#This Row],[1. Identifiant interne d’exploitation agricole*]]),"",IF(ISERROR(MATCH(CertifiedCrop[[#This Row],[1. Identifiant interne d’exploitation agricole*]],GroupMember[1. Identifiant interne d’exploitation agricole*],0)),FALSE,TRUE))</f>
        <v>1</v>
      </c>
      <c r="K266" s="122" t="b">
        <f t="array" ref="K266">IF(ISBLANK(CertifiedCrop[[#This Row],[2. Produit agricole certifié*]]),"",IF(ISERROR(MATCH(1,(#REF!=CertifiedCrop[[#This Row],[2. Produit agricole certifié*]])*(#REF!=CertifiedCrop[[#This Row],[3. Variété**]]),0)),FALSE,TRUE))</f>
        <v>0</v>
      </c>
      <c r="L266" s="20" t="str">
        <f t="shared" si="20"/>
        <v/>
      </c>
      <c r="M266" s="54" t="str">
        <f t="shared" si="21"/>
        <v/>
      </c>
      <c r="N266" s="54" t="str">
        <f t="shared" si="22"/>
        <v/>
      </c>
      <c r="O266" s="55">
        <f t="shared" si="23"/>
        <v>636.6</v>
      </c>
      <c r="P266" s="55">
        <f t="shared" si="24"/>
        <v>613.79999999999995</v>
      </c>
      <c r="Q266" s="9" t="str">
        <f ca="1">IFERROR((VLOOKUP(A266,GM_Table,8,FALSE)-SUMIFS(D:D,A:A,A266,B:B,B266,C:C,C266)),"")</f>
        <v/>
      </c>
      <c r="R266" s="9" t="str">
        <f ca="1">IFERROR(CONCATENATE(VLOOKUP(A266,GM_Table,12,FALSE)," ",(VLOOKUP(A266,GM_Table,13,FALSE))),"")</f>
        <v/>
      </c>
    </row>
    <row r="267" spans="1:18" ht="15" x14ac:dyDescent="0.2">
      <c r="A267" s="150" t="s">
        <v>1487</v>
      </c>
      <c r="B267" s="9" t="s">
        <v>3290</v>
      </c>
      <c r="C267" s="9" t="s">
        <v>3291</v>
      </c>
      <c r="D267" s="252">
        <v>3.1</v>
      </c>
      <c r="E267" s="245">
        <v>1703</v>
      </c>
      <c r="F267" s="246">
        <v>1685</v>
      </c>
      <c r="G267" s="247">
        <v>845</v>
      </c>
      <c r="H267" s="248">
        <v>1329</v>
      </c>
      <c r="I267" s="249">
        <v>1187</v>
      </c>
      <c r="J267" s="122" t="b">
        <f>IF(ISBLANK(CertifiedCrop[[#This Row],[1. Identifiant interne d’exploitation agricole*]]),"",IF(ISERROR(MATCH(CertifiedCrop[[#This Row],[1. Identifiant interne d’exploitation agricole*]],GroupMember[1. Identifiant interne d’exploitation agricole*],0)),FALSE,TRUE))</f>
        <v>1</v>
      </c>
      <c r="K267" s="122" t="b">
        <f t="array" ref="K267">IF(ISBLANK(CertifiedCrop[[#This Row],[2. Produit agricole certifié*]]),"",IF(ISERROR(MATCH(1,(#REF!=CertifiedCrop[[#This Row],[2. Produit agricole certifié*]])*(#REF!=CertifiedCrop[[#This Row],[3. Variété**]]),0)),FALSE,TRUE))</f>
        <v>0</v>
      </c>
      <c r="L267" s="20" t="str">
        <f t="shared" si="20"/>
        <v/>
      </c>
      <c r="M267" s="54" t="str">
        <f t="shared" si="21"/>
        <v>!</v>
      </c>
      <c r="N267" s="54" t="str">
        <f t="shared" si="22"/>
        <v>!</v>
      </c>
      <c r="O267" s="55">
        <f t="shared" si="23"/>
        <v>549.35483870967744</v>
      </c>
      <c r="P267" s="55">
        <f t="shared" si="24"/>
        <v>543.54838709677415</v>
      </c>
      <c r="Q267" s="9" t="str">
        <f ca="1">IFERROR((VLOOKUP(A267,GM_Table,8,FALSE)-SUMIFS(D:D,A:A,A267,B:B,B267,C:C,C267)),"")</f>
        <v/>
      </c>
      <c r="R267" s="9" t="str">
        <f ca="1">IFERROR(CONCATENATE(VLOOKUP(A267,GM_Table,12,FALSE)," ",(VLOOKUP(A267,GM_Table,13,FALSE))),"")</f>
        <v/>
      </c>
    </row>
    <row r="268" spans="1:18" ht="15" x14ac:dyDescent="0.2">
      <c r="A268" s="150" t="s">
        <v>1489</v>
      </c>
      <c r="B268" s="9" t="s">
        <v>3290</v>
      </c>
      <c r="C268" s="9" t="s">
        <v>3291</v>
      </c>
      <c r="D268" s="252">
        <v>1.92</v>
      </c>
      <c r="E268" s="245">
        <v>1057</v>
      </c>
      <c r="F268" s="246">
        <v>1004</v>
      </c>
      <c r="G268" s="247">
        <v>472</v>
      </c>
      <c r="H268" s="248">
        <v>857</v>
      </c>
      <c r="I268" s="249">
        <v>961</v>
      </c>
      <c r="J268" s="122" t="b">
        <f>IF(ISBLANK(CertifiedCrop[[#This Row],[1. Identifiant interne d’exploitation agricole*]]),"",IF(ISERROR(MATCH(CertifiedCrop[[#This Row],[1. Identifiant interne d’exploitation agricole*]],GroupMember[1. Identifiant interne d’exploitation agricole*],0)),FALSE,TRUE))</f>
        <v>1</v>
      </c>
      <c r="K268" s="122" t="b">
        <f t="array" ref="K268">IF(ISBLANK(CertifiedCrop[[#This Row],[2. Produit agricole certifié*]]),"",IF(ISERROR(MATCH(1,(#REF!=CertifiedCrop[[#This Row],[2. Produit agricole certifié*]])*(#REF!=CertifiedCrop[[#This Row],[3. Variété**]]),0)),FALSE,TRUE))</f>
        <v>0</v>
      </c>
      <c r="L268" s="20" t="str">
        <f t="shared" si="20"/>
        <v/>
      </c>
      <c r="M268" s="54" t="str">
        <f t="shared" si="21"/>
        <v>!</v>
      </c>
      <c r="N268" s="54" t="str">
        <f t="shared" si="22"/>
        <v>!</v>
      </c>
      <c r="O268" s="55">
        <f t="shared" si="23"/>
        <v>550.52083333333337</v>
      </c>
      <c r="P268" s="55">
        <f t="shared" si="24"/>
        <v>522.91666666666674</v>
      </c>
      <c r="Q268" s="9" t="str">
        <f ca="1">IFERROR((VLOOKUP(A268,GM_Table,8,FALSE)-SUMIFS(D:D,A:A,A268,B:B,B268,C:C,C268)),"")</f>
        <v/>
      </c>
      <c r="R268" s="9" t="str">
        <f ca="1">IFERROR(CONCATENATE(VLOOKUP(A268,GM_Table,12,FALSE)," ",(VLOOKUP(A268,GM_Table,13,FALSE))),"")</f>
        <v/>
      </c>
    </row>
    <row r="269" spans="1:18" ht="15" x14ac:dyDescent="0.2">
      <c r="A269" s="150" t="s">
        <v>1491</v>
      </c>
      <c r="B269" s="9" t="s">
        <v>3290</v>
      </c>
      <c r="C269" s="9" t="s">
        <v>3291</v>
      </c>
      <c r="D269" s="252">
        <v>1.46</v>
      </c>
      <c r="E269" s="221">
        <v>764</v>
      </c>
      <c r="F269" s="246">
        <v>732</v>
      </c>
      <c r="G269" s="247">
        <v>732</v>
      </c>
      <c r="H269" s="248">
        <v>709</v>
      </c>
      <c r="I269" s="249">
        <v>714</v>
      </c>
      <c r="J269" s="122" t="b">
        <f>IF(ISBLANK(CertifiedCrop[[#This Row],[1. Identifiant interne d’exploitation agricole*]]),"",IF(ISERROR(MATCH(CertifiedCrop[[#This Row],[1. Identifiant interne d’exploitation agricole*]],GroupMember[1. Identifiant interne d’exploitation agricole*],0)),FALSE,TRUE))</f>
        <v>1</v>
      </c>
      <c r="K269" s="122" t="b">
        <f t="array" ref="K269">IF(ISBLANK(CertifiedCrop[[#This Row],[2. Produit agricole certifié*]]),"",IF(ISERROR(MATCH(1,(#REF!=CertifiedCrop[[#This Row],[2. Produit agricole certifié*]])*(#REF!=CertifiedCrop[[#This Row],[3. Variété**]]),0)),FALSE,TRUE))</f>
        <v>0</v>
      </c>
      <c r="L269" s="20" t="str">
        <f t="shared" si="20"/>
        <v/>
      </c>
      <c r="M269" s="54" t="str">
        <f t="shared" si="21"/>
        <v/>
      </c>
      <c r="N269" s="54" t="str">
        <f t="shared" si="22"/>
        <v/>
      </c>
      <c r="O269" s="55">
        <f t="shared" si="23"/>
        <v>523.28767123287673</v>
      </c>
      <c r="P269" s="55">
        <f t="shared" si="24"/>
        <v>501.36986301369865</v>
      </c>
      <c r="Q269" s="9" t="str">
        <f ca="1">IFERROR((VLOOKUP(A269,GM_Table,8,FALSE)-SUMIFS(D:D,A:A,A269,B:B,B269,C:C,C269)),"")</f>
        <v/>
      </c>
      <c r="R269" s="9" t="str">
        <f ca="1">IFERROR(CONCATENATE(VLOOKUP(A269,GM_Table,12,FALSE)," ",(VLOOKUP(A269,GM_Table,13,FALSE))),"")</f>
        <v/>
      </c>
    </row>
    <row r="270" spans="1:18" ht="15" x14ac:dyDescent="0.2">
      <c r="A270" s="150" t="s">
        <v>1493</v>
      </c>
      <c r="B270" s="9" t="s">
        <v>3290</v>
      </c>
      <c r="C270" s="9" t="s">
        <v>3291</v>
      </c>
      <c r="D270" s="252">
        <v>1.29</v>
      </c>
      <c r="E270" s="221">
        <v>794</v>
      </c>
      <c r="F270" s="246">
        <v>765</v>
      </c>
      <c r="G270" s="247">
        <v>695</v>
      </c>
      <c r="H270" s="248">
        <v>633</v>
      </c>
      <c r="I270" s="249">
        <v>752</v>
      </c>
      <c r="J270" s="122" t="b">
        <f>IF(ISBLANK(CertifiedCrop[[#This Row],[1. Identifiant interne d’exploitation agricole*]]),"",IF(ISERROR(MATCH(CertifiedCrop[[#This Row],[1. Identifiant interne d’exploitation agricole*]],GroupMember[1. Identifiant interne d’exploitation agricole*],0)),FALSE,TRUE))</f>
        <v>1</v>
      </c>
      <c r="K270" s="122" t="b">
        <f t="array" ref="K270">IF(ISBLANK(CertifiedCrop[[#This Row],[2. Produit agricole certifié*]]),"",IF(ISERROR(MATCH(1,(#REF!=CertifiedCrop[[#This Row],[2. Produit agricole certifié*]])*(#REF!=CertifiedCrop[[#This Row],[3. Variété**]]),0)),FALSE,TRUE))</f>
        <v>0</v>
      </c>
      <c r="L270" s="20" t="str">
        <f t="shared" si="20"/>
        <v/>
      </c>
      <c r="M270" s="54" t="str">
        <f t="shared" si="21"/>
        <v/>
      </c>
      <c r="N270" s="54" t="str">
        <f t="shared" si="22"/>
        <v/>
      </c>
      <c r="O270" s="55">
        <f t="shared" si="23"/>
        <v>615.50387596899225</v>
      </c>
      <c r="P270" s="55">
        <f t="shared" si="24"/>
        <v>593.02325581395348</v>
      </c>
      <c r="Q270" s="9" t="str">
        <f ca="1">IFERROR((VLOOKUP(A270,GM_Table,8,FALSE)-SUMIFS(D:D,A:A,A270,B:B,B270,C:C,C270)),"")</f>
        <v/>
      </c>
      <c r="R270" s="9" t="str">
        <f ca="1">IFERROR(CONCATENATE(VLOOKUP(A270,GM_Table,12,FALSE)," ",(VLOOKUP(A270,GM_Table,13,FALSE))),"")</f>
        <v/>
      </c>
    </row>
    <row r="271" spans="1:18" ht="15" x14ac:dyDescent="0.2">
      <c r="A271" s="150" t="s">
        <v>1495</v>
      </c>
      <c r="B271" s="9" t="s">
        <v>3290</v>
      </c>
      <c r="C271" s="9" t="s">
        <v>3291</v>
      </c>
      <c r="D271" s="252">
        <v>1.66</v>
      </c>
      <c r="E271" s="221">
        <v>915</v>
      </c>
      <c r="F271" s="246">
        <v>905</v>
      </c>
      <c r="G271" s="247">
        <v>597</v>
      </c>
      <c r="H271" s="248">
        <v>487</v>
      </c>
      <c r="I271" s="249">
        <v>908</v>
      </c>
      <c r="J271" s="122" t="b">
        <f>IF(ISBLANK(CertifiedCrop[[#This Row],[1. Identifiant interne d’exploitation agricole*]]),"",IF(ISERROR(MATCH(CertifiedCrop[[#This Row],[1. Identifiant interne d’exploitation agricole*]],GroupMember[1. Identifiant interne d’exploitation agricole*],0)),FALSE,TRUE))</f>
        <v>1</v>
      </c>
      <c r="K271" s="122" t="b">
        <f t="array" ref="K271">IF(ISBLANK(CertifiedCrop[[#This Row],[2. Produit agricole certifié*]]),"",IF(ISERROR(MATCH(1,(#REF!=CertifiedCrop[[#This Row],[2. Produit agricole certifié*]])*(#REF!=CertifiedCrop[[#This Row],[3. Variété**]]),0)),FALSE,TRUE))</f>
        <v>0</v>
      </c>
      <c r="L271" s="20" t="str">
        <f t="shared" si="20"/>
        <v/>
      </c>
      <c r="M271" s="54" t="str">
        <f t="shared" si="21"/>
        <v>!</v>
      </c>
      <c r="N271" s="54" t="str">
        <f t="shared" si="22"/>
        <v/>
      </c>
      <c r="O271" s="55">
        <f t="shared" si="23"/>
        <v>551.20481927710841</v>
      </c>
      <c r="P271" s="55">
        <f t="shared" si="24"/>
        <v>545.18072289156635</v>
      </c>
      <c r="Q271" s="9" t="str">
        <f ca="1">IFERROR((VLOOKUP(A271,GM_Table,8,FALSE)-SUMIFS(D:D,A:A,A271,B:B,B271,C:C,C271)),"")</f>
        <v/>
      </c>
      <c r="R271" s="9" t="str">
        <f ca="1">IFERROR(CONCATENATE(VLOOKUP(A271,GM_Table,12,FALSE)," ",(VLOOKUP(A271,GM_Table,13,FALSE))),"")</f>
        <v/>
      </c>
    </row>
    <row r="272" spans="1:18" ht="15" x14ac:dyDescent="0.2">
      <c r="A272" s="150" t="s">
        <v>1497</v>
      </c>
      <c r="B272" s="9" t="s">
        <v>3290</v>
      </c>
      <c r="C272" s="9" t="s">
        <v>3291</v>
      </c>
      <c r="D272" s="252">
        <v>1.66</v>
      </c>
      <c r="E272" s="221">
        <v>996</v>
      </c>
      <c r="F272" s="246">
        <v>953</v>
      </c>
      <c r="G272" s="247">
        <v>591</v>
      </c>
      <c r="H272" s="248">
        <v>881</v>
      </c>
      <c r="I272" s="249">
        <v>858</v>
      </c>
      <c r="J272" s="122" t="b">
        <f>IF(ISBLANK(CertifiedCrop[[#This Row],[1. Identifiant interne d’exploitation agricole*]]),"",IF(ISERROR(MATCH(CertifiedCrop[[#This Row],[1. Identifiant interne d’exploitation agricole*]],GroupMember[1. Identifiant interne d’exploitation agricole*],0)),FALSE,TRUE))</f>
        <v>1</v>
      </c>
      <c r="K272" s="122" t="b">
        <f t="array" ref="K272">IF(ISBLANK(CertifiedCrop[[#This Row],[2. Produit agricole certifié*]]),"",IF(ISERROR(MATCH(1,(#REF!=CertifiedCrop[[#This Row],[2. Produit agricole certifié*]])*(#REF!=CertifiedCrop[[#This Row],[3. Variété**]]),0)),FALSE,TRUE))</f>
        <v>0</v>
      </c>
      <c r="L272" s="20" t="str">
        <f t="shared" si="20"/>
        <v/>
      </c>
      <c r="M272" s="54" t="str">
        <f t="shared" si="21"/>
        <v>!</v>
      </c>
      <c r="N272" s="54" t="str">
        <f t="shared" si="22"/>
        <v>!</v>
      </c>
      <c r="O272" s="55">
        <f t="shared" si="23"/>
        <v>600</v>
      </c>
      <c r="P272" s="55">
        <f t="shared" si="24"/>
        <v>574.09638554216872</v>
      </c>
      <c r="Q272" s="9" t="str">
        <f ca="1">IFERROR((VLOOKUP(A272,GM_Table,8,FALSE)-SUMIFS(D:D,A:A,A272,B:B,B272,C:C,C272)),"")</f>
        <v/>
      </c>
      <c r="R272" s="9" t="str">
        <f ca="1">IFERROR(CONCATENATE(VLOOKUP(A272,GM_Table,12,FALSE)," ",(VLOOKUP(A272,GM_Table,13,FALSE))),"")</f>
        <v/>
      </c>
    </row>
    <row r="273" spans="1:18" ht="15" x14ac:dyDescent="0.2">
      <c r="A273" s="150" t="s">
        <v>1500</v>
      </c>
      <c r="B273" s="9" t="s">
        <v>3290</v>
      </c>
      <c r="C273" s="9" t="s">
        <v>3291</v>
      </c>
      <c r="D273" s="252">
        <v>1.86</v>
      </c>
      <c r="E273" s="245">
        <v>1100</v>
      </c>
      <c r="F273" s="246">
        <v>1018</v>
      </c>
      <c r="G273" s="247">
        <v>1018</v>
      </c>
      <c r="H273" s="248">
        <v>1058</v>
      </c>
      <c r="I273" s="249">
        <v>993</v>
      </c>
      <c r="J273" s="122" t="b">
        <f>IF(ISBLANK(CertifiedCrop[[#This Row],[1. Identifiant interne d’exploitation agricole*]]),"",IF(ISERROR(MATCH(CertifiedCrop[[#This Row],[1. Identifiant interne d’exploitation agricole*]],GroupMember[1. Identifiant interne d’exploitation agricole*],0)),FALSE,TRUE))</f>
        <v>1</v>
      </c>
      <c r="K273" s="122" t="b">
        <f t="array" ref="K273">IF(ISBLANK(CertifiedCrop[[#This Row],[2. Produit agricole certifié*]]),"",IF(ISERROR(MATCH(1,(#REF!=CertifiedCrop[[#This Row],[2. Produit agricole certifié*]])*(#REF!=CertifiedCrop[[#This Row],[3. Variété**]]),0)),FALSE,TRUE))</f>
        <v>0</v>
      </c>
      <c r="L273" s="20" t="str">
        <f t="shared" si="20"/>
        <v/>
      </c>
      <c r="M273" s="54" t="str">
        <f t="shared" si="21"/>
        <v/>
      </c>
      <c r="N273" s="54" t="str">
        <f t="shared" si="22"/>
        <v/>
      </c>
      <c r="O273" s="55">
        <f t="shared" si="23"/>
        <v>591.39784946236557</v>
      </c>
      <c r="P273" s="55">
        <f t="shared" si="24"/>
        <v>547.31182795698919</v>
      </c>
      <c r="Q273" s="9" t="str">
        <f ca="1">IFERROR((VLOOKUP(A273,GM_Table,8,FALSE)-SUMIFS(D:D,A:A,A273,B:B,B273,C:C,C273)),"")</f>
        <v/>
      </c>
      <c r="R273" s="9" t="str">
        <f ca="1">IFERROR(CONCATENATE(VLOOKUP(A273,GM_Table,12,FALSE)," ",(VLOOKUP(A273,GM_Table,13,FALSE))),"")</f>
        <v/>
      </c>
    </row>
    <row r="274" spans="1:18" ht="15" x14ac:dyDescent="0.2">
      <c r="A274" s="150" t="s">
        <v>1504</v>
      </c>
      <c r="B274" s="9" t="s">
        <v>3290</v>
      </c>
      <c r="C274" s="9" t="s">
        <v>3291</v>
      </c>
      <c r="D274" s="252">
        <v>2.21</v>
      </c>
      <c r="E274" s="245">
        <v>1280</v>
      </c>
      <c r="F274" s="246">
        <v>1205</v>
      </c>
      <c r="G274" s="247">
        <v>1158</v>
      </c>
      <c r="H274" s="248">
        <v>1251</v>
      </c>
      <c r="I274" s="249">
        <v>1155</v>
      </c>
      <c r="J274" s="122" t="b">
        <f>IF(ISBLANK(CertifiedCrop[[#This Row],[1. Identifiant interne d’exploitation agricole*]]),"",IF(ISERROR(MATCH(CertifiedCrop[[#This Row],[1. Identifiant interne d’exploitation agricole*]],GroupMember[1. Identifiant interne d’exploitation agricole*],0)),FALSE,TRUE))</f>
        <v>1</v>
      </c>
      <c r="K274" s="122" t="b">
        <f t="array" ref="K274">IF(ISBLANK(CertifiedCrop[[#This Row],[2. Produit agricole certifié*]]),"",IF(ISERROR(MATCH(1,(#REF!=CertifiedCrop[[#This Row],[2. Produit agricole certifié*]])*(#REF!=CertifiedCrop[[#This Row],[3. Variété**]]),0)),FALSE,TRUE))</f>
        <v>0</v>
      </c>
      <c r="L274" s="20" t="str">
        <f t="shared" si="20"/>
        <v/>
      </c>
      <c r="M274" s="54" t="str">
        <f t="shared" si="21"/>
        <v/>
      </c>
      <c r="N274" s="54" t="str">
        <f t="shared" si="22"/>
        <v/>
      </c>
      <c r="O274" s="55">
        <f t="shared" si="23"/>
        <v>579.18552036199094</v>
      </c>
      <c r="P274" s="55">
        <f t="shared" si="24"/>
        <v>545.24886877828055</v>
      </c>
      <c r="Q274" s="9" t="str">
        <f ca="1">IFERROR((VLOOKUP(A274,GM_Table,8,FALSE)-SUMIFS(D:D,A:A,A274,B:B,B274,C:C,C274)),"")</f>
        <v/>
      </c>
      <c r="R274" s="9" t="str">
        <f ca="1">IFERROR(CONCATENATE(VLOOKUP(A274,GM_Table,12,FALSE)," ",(VLOOKUP(A274,GM_Table,13,FALSE))),"")</f>
        <v/>
      </c>
    </row>
    <row r="275" spans="1:18" ht="15" x14ac:dyDescent="0.2">
      <c r="A275" s="150" t="s">
        <v>1509</v>
      </c>
      <c r="B275" s="9" t="s">
        <v>3290</v>
      </c>
      <c r="C275" s="9" t="s">
        <v>3291</v>
      </c>
      <c r="D275" s="252">
        <v>6.69</v>
      </c>
      <c r="E275" s="245">
        <v>3293</v>
      </c>
      <c r="F275" s="246">
        <v>3156</v>
      </c>
      <c r="G275" s="247">
        <v>2654</v>
      </c>
      <c r="H275" s="248">
        <v>3196</v>
      </c>
      <c r="I275" s="249">
        <v>3741</v>
      </c>
      <c r="J275" s="122" t="b">
        <f>IF(ISBLANK(CertifiedCrop[[#This Row],[1. Identifiant interne d’exploitation agricole*]]),"",IF(ISERROR(MATCH(CertifiedCrop[[#This Row],[1. Identifiant interne d’exploitation agricole*]],GroupMember[1. Identifiant interne d’exploitation agricole*],0)),FALSE,TRUE))</f>
        <v>1</v>
      </c>
      <c r="K275" s="122" t="b">
        <f t="array" ref="K275">IF(ISBLANK(CertifiedCrop[[#This Row],[2. Produit agricole certifié*]]),"",IF(ISERROR(MATCH(1,(#REF!=CertifiedCrop[[#This Row],[2. Produit agricole certifié*]])*(#REF!=CertifiedCrop[[#This Row],[3. Variété**]]),0)),FALSE,TRUE))</f>
        <v>0</v>
      </c>
      <c r="L275" s="20" t="str">
        <f t="shared" si="20"/>
        <v/>
      </c>
      <c r="M275" s="54" t="str">
        <f t="shared" si="21"/>
        <v/>
      </c>
      <c r="N275" s="54" t="str">
        <f t="shared" si="22"/>
        <v/>
      </c>
      <c r="O275" s="55">
        <f t="shared" si="23"/>
        <v>492.22720478325857</v>
      </c>
      <c r="P275" s="55">
        <f t="shared" si="24"/>
        <v>471.74887892376677</v>
      </c>
      <c r="Q275" s="9" t="str">
        <f ca="1">IFERROR((VLOOKUP(A275,GM_Table,8,FALSE)-SUMIFS(D:D,A:A,A275,B:B,B275,C:C,C275)),"")</f>
        <v/>
      </c>
      <c r="R275" s="9" t="str">
        <f ca="1">IFERROR(CONCATENATE(VLOOKUP(A275,GM_Table,12,FALSE)," ",(VLOOKUP(A275,GM_Table,13,FALSE))),"")</f>
        <v/>
      </c>
    </row>
    <row r="276" spans="1:18" ht="15" x14ac:dyDescent="0.2">
      <c r="A276" s="150" t="s">
        <v>1514</v>
      </c>
      <c r="B276" s="9" t="s">
        <v>3290</v>
      </c>
      <c r="C276" s="9" t="s">
        <v>3291</v>
      </c>
      <c r="D276" s="252">
        <v>0.83</v>
      </c>
      <c r="E276" s="221">
        <v>480</v>
      </c>
      <c r="F276" s="246">
        <v>450</v>
      </c>
      <c r="G276" s="247">
        <v>267</v>
      </c>
      <c r="H276" s="248">
        <v>416</v>
      </c>
      <c r="I276" s="249">
        <v>458</v>
      </c>
      <c r="J276" s="122" t="b">
        <f>IF(ISBLANK(CertifiedCrop[[#This Row],[1. Identifiant interne d’exploitation agricole*]]),"",IF(ISERROR(MATCH(CertifiedCrop[[#This Row],[1. Identifiant interne d’exploitation agricole*]],GroupMember[1. Identifiant interne d’exploitation agricole*],0)),FALSE,TRUE))</f>
        <v>1</v>
      </c>
      <c r="K276" s="122" t="b">
        <f t="array" ref="K276">IF(ISBLANK(CertifiedCrop[[#This Row],[2. Produit agricole certifié*]]),"",IF(ISERROR(MATCH(1,(#REF!=CertifiedCrop[[#This Row],[2. Produit agricole certifié*]])*(#REF!=CertifiedCrop[[#This Row],[3. Variété**]]),0)),FALSE,TRUE))</f>
        <v>0</v>
      </c>
      <c r="L276" s="20" t="str">
        <f t="shared" si="20"/>
        <v/>
      </c>
      <c r="M276" s="54" t="str">
        <f t="shared" si="21"/>
        <v>!</v>
      </c>
      <c r="N276" s="54" t="str">
        <f t="shared" si="22"/>
        <v>!</v>
      </c>
      <c r="O276" s="55">
        <f t="shared" si="23"/>
        <v>578.31325301204822</v>
      </c>
      <c r="P276" s="55">
        <f t="shared" si="24"/>
        <v>542.16867469879526</v>
      </c>
      <c r="Q276" s="9" t="str">
        <f ca="1">IFERROR((VLOOKUP(A276,GM_Table,8,FALSE)-SUMIFS(D:D,A:A,A276,B:B,B276,C:C,C276)),"")</f>
        <v/>
      </c>
      <c r="R276" s="9" t="str">
        <f ca="1">IFERROR(CONCATENATE(VLOOKUP(A276,GM_Table,12,FALSE)," ",(VLOOKUP(A276,GM_Table,13,FALSE))),"")</f>
        <v/>
      </c>
    </row>
    <row r="277" spans="1:18" ht="15" x14ac:dyDescent="0.2">
      <c r="A277" s="150" t="s">
        <v>1516</v>
      </c>
      <c r="B277" s="9" t="s">
        <v>3290</v>
      </c>
      <c r="C277" s="9" t="s">
        <v>3291</v>
      </c>
      <c r="D277" s="252">
        <v>1.55</v>
      </c>
      <c r="E277" s="221">
        <v>918</v>
      </c>
      <c r="F277" s="246">
        <v>904</v>
      </c>
      <c r="G277" s="247">
        <v>632</v>
      </c>
      <c r="H277" s="248">
        <v>744</v>
      </c>
      <c r="I277" s="249">
        <v>726</v>
      </c>
      <c r="J277" s="122" t="b">
        <f>IF(ISBLANK(CertifiedCrop[[#This Row],[1. Identifiant interne d’exploitation agricole*]]),"",IF(ISERROR(MATCH(CertifiedCrop[[#This Row],[1. Identifiant interne d’exploitation agricole*]],GroupMember[1. Identifiant interne d’exploitation agricole*],0)),FALSE,TRUE))</f>
        <v>1</v>
      </c>
      <c r="K277" s="122" t="b">
        <f t="array" ref="K277">IF(ISBLANK(CertifiedCrop[[#This Row],[2. Produit agricole certifié*]]),"",IF(ISERROR(MATCH(1,(#REF!=CertifiedCrop[[#This Row],[2. Produit agricole certifié*]])*(#REF!=CertifiedCrop[[#This Row],[3. Variété**]]),0)),FALSE,TRUE))</f>
        <v>0</v>
      </c>
      <c r="L277" s="20" t="str">
        <f t="shared" si="20"/>
        <v/>
      </c>
      <c r="M277" s="54" t="str">
        <f t="shared" si="21"/>
        <v>!</v>
      </c>
      <c r="N277" s="54" t="str">
        <f t="shared" si="22"/>
        <v/>
      </c>
      <c r="O277" s="55">
        <f t="shared" si="23"/>
        <v>592.25806451612902</v>
      </c>
      <c r="P277" s="55">
        <f t="shared" si="24"/>
        <v>583.22580645161293</v>
      </c>
      <c r="Q277" s="9" t="str">
        <f ca="1">IFERROR((VLOOKUP(A277,GM_Table,8,FALSE)-SUMIFS(D:D,A:A,A277,B:B,B277,C:C,C277)),"")</f>
        <v/>
      </c>
      <c r="R277" s="9" t="str">
        <f ca="1">IFERROR(CONCATENATE(VLOOKUP(A277,GM_Table,12,FALSE)," ",(VLOOKUP(A277,GM_Table,13,FALSE))),"")</f>
        <v/>
      </c>
    </row>
    <row r="278" spans="1:18" ht="15" x14ac:dyDescent="0.2">
      <c r="A278" s="150" t="s">
        <v>1519</v>
      </c>
      <c r="B278" s="9" t="s">
        <v>3290</v>
      </c>
      <c r="C278" s="9" t="s">
        <v>3291</v>
      </c>
      <c r="D278" s="252">
        <v>1.77</v>
      </c>
      <c r="E278" s="245">
        <v>1015</v>
      </c>
      <c r="F278" s="246">
        <v>989</v>
      </c>
      <c r="G278" s="247">
        <v>558</v>
      </c>
      <c r="H278" s="248">
        <v>846</v>
      </c>
      <c r="I278" s="249">
        <v>708</v>
      </c>
      <c r="J278" s="122" t="b">
        <f>IF(ISBLANK(CertifiedCrop[[#This Row],[1. Identifiant interne d’exploitation agricole*]]),"",IF(ISERROR(MATCH(CertifiedCrop[[#This Row],[1. Identifiant interne d’exploitation agricole*]],GroupMember[1. Identifiant interne d’exploitation agricole*],0)),FALSE,TRUE))</f>
        <v>1</v>
      </c>
      <c r="K278" s="122" t="b">
        <f t="array" ref="K278">IF(ISBLANK(CertifiedCrop[[#This Row],[2. Produit agricole certifié*]]),"",IF(ISERROR(MATCH(1,(#REF!=CertifiedCrop[[#This Row],[2. Produit agricole certifié*]])*(#REF!=CertifiedCrop[[#This Row],[3. Variété**]]),0)),FALSE,TRUE))</f>
        <v>0</v>
      </c>
      <c r="L278" s="20" t="str">
        <f t="shared" si="20"/>
        <v/>
      </c>
      <c r="M278" s="54" t="str">
        <f t="shared" si="21"/>
        <v>!</v>
      </c>
      <c r="N278" s="54" t="str">
        <f t="shared" si="22"/>
        <v>!</v>
      </c>
      <c r="O278" s="55">
        <f t="shared" si="23"/>
        <v>573.44632768361578</v>
      </c>
      <c r="P278" s="55">
        <f t="shared" si="24"/>
        <v>558.75706214689262</v>
      </c>
      <c r="Q278" s="9" t="str">
        <f ca="1">IFERROR((VLOOKUP(A278,GM_Table,8,FALSE)-SUMIFS(D:D,A:A,A278,B:B,B278,C:C,C278)),"")</f>
        <v/>
      </c>
      <c r="R278" s="9" t="str">
        <f ca="1">IFERROR(CONCATENATE(VLOOKUP(A278,GM_Table,12,FALSE)," ",(VLOOKUP(A278,GM_Table,13,FALSE))),"")</f>
        <v/>
      </c>
    </row>
    <row r="279" spans="1:18" ht="15" x14ac:dyDescent="0.2">
      <c r="A279" s="150" t="s">
        <v>1523</v>
      </c>
      <c r="B279" s="9" t="s">
        <v>3290</v>
      </c>
      <c r="C279" s="9" t="s">
        <v>3291</v>
      </c>
      <c r="D279" s="252">
        <v>1.17</v>
      </c>
      <c r="E279" s="221">
        <v>682</v>
      </c>
      <c r="F279" s="246">
        <v>650</v>
      </c>
      <c r="G279" s="247">
        <v>350</v>
      </c>
      <c r="H279" s="248">
        <v>271</v>
      </c>
      <c r="I279" s="249">
        <v>602</v>
      </c>
      <c r="J279" s="122" t="b">
        <f>IF(ISBLANK(CertifiedCrop[[#This Row],[1. Identifiant interne d’exploitation agricole*]]),"",IF(ISERROR(MATCH(CertifiedCrop[[#This Row],[1. Identifiant interne d’exploitation agricole*]],GroupMember[1. Identifiant interne d’exploitation agricole*],0)),FALSE,TRUE))</f>
        <v>1</v>
      </c>
      <c r="K279" s="122" t="b">
        <f t="array" ref="K279">IF(ISBLANK(CertifiedCrop[[#This Row],[2. Produit agricole certifié*]]),"",IF(ISERROR(MATCH(1,(#REF!=CertifiedCrop[[#This Row],[2. Produit agricole certifié*]])*(#REF!=CertifiedCrop[[#This Row],[3. Variété**]]),0)),FALSE,TRUE))</f>
        <v>0</v>
      </c>
      <c r="L279" s="20" t="str">
        <f t="shared" si="20"/>
        <v/>
      </c>
      <c r="M279" s="54" t="str">
        <f t="shared" si="21"/>
        <v>!</v>
      </c>
      <c r="N279" s="54" t="str">
        <f t="shared" si="22"/>
        <v>!</v>
      </c>
      <c r="O279" s="55">
        <f t="shared" si="23"/>
        <v>582.90598290598291</v>
      </c>
      <c r="P279" s="55">
        <f t="shared" si="24"/>
        <v>555.55555555555554</v>
      </c>
      <c r="Q279" s="9" t="str">
        <f ca="1">IFERROR((VLOOKUP(A279,GM_Table,8,FALSE)-SUMIFS(D:D,A:A,A279,B:B,B279,C:C,C279)),"")</f>
        <v/>
      </c>
      <c r="R279" s="9" t="str">
        <f ca="1">IFERROR(CONCATENATE(VLOOKUP(A279,GM_Table,12,FALSE)," ",(VLOOKUP(A279,GM_Table,13,FALSE))),"")</f>
        <v/>
      </c>
    </row>
    <row r="280" spans="1:18" ht="15" x14ac:dyDescent="0.2">
      <c r="A280" s="150" t="s">
        <v>1526</v>
      </c>
      <c r="B280" s="9" t="s">
        <v>3290</v>
      </c>
      <c r="C280" s="9" t="s">
        <v>3291</v>
      </c>
      <c r="D280" s="252">
        <v>1.51</v>
      </c>
      <c r="E280" s="221">
        <v>894</v>
      </c>
      <c r="F280" s="246">
        <v>859</v>
      </c>
      <c r="G280" s="247">
        <v>767</v>
      </c>
      <c r="H280" s="248">
        <v>875</v>
      </c>
      <c r="I280" s="249">
        <v>836</v>
      </c>
      <c r="J280" s="122" t="b">
        <f>IF(ISBLANK(CertifiedCrop[[#This Row],[1. Identifiant interne d’exploitation agricole*]]),"",IF(ISERROR(MATCH(CertifiedCrop[[#This Row],[1. Identifiant interne d’exploitation agricole*]],GroupMember[1. Identifiant interne d’exploitation agricole*],0)),FALSE,TRUE))</f>
        <v>1</v>
      </c>
      <c r="K280" s="122" t="b">
        <f t="array" ref="K280">IF(ISBLANK(CertifiedCrop[[#This Row],[2. Produit agricole certifié*]]),"",IF(ISERROR(MATCH(1,(#REF!=CertifiedCrop[[#This Row],[2. Produit agricole certifié*]])*(#REF!=CertifiedCrop[[#This Row],[3. Variété**]]),0)),FALSE,TRUE))</f>
        <v>0</v>
      </c>
      <c r="L280" s="20" t="str">
        <f t="shared" si="20"/>
        <v/>
      </c>
      <c r="M280" s="54" t="str">
        <f t="shared" si="21"/>
        <v/>
      </c>
      <c r="N280" s="54" t="str">
        <f t="shared" si="22"/>
        <v/>
      </c>
      <c r="O280" s="55">
        <f t="shared" si="23"/>
        <v>592.05298013245033</v>
      </c>
      <c r="P280" s="55">
        <f t="shared" si="24"/>
        <v>568.87417218543044</v>
      </c>
      <c r="Q280" s="9" t="str">
        <f ca="1">IFERROR((VLOOKUP(A280,GM_Table,8,FALSE)-SUMIFS(D:D,A:A,A280,B:B,B280,C:C,C280)),"")</f>
        <v/>
      </c>
      <c r="R280" s="9" t="str">
        <f ca="1">IFERROR(CONCATENATE(VLOOKUP(A280,GM_Table,12,FALSE)," ",(VLOOKUP(A280,GM_Table,13,FALSE))),"")</f>
        <v/>
      </c>
    </row>
    <row r="281" spans="1:18" ht="15" x14ac:dyDescent="0.2">
      <c r="A281" s="150" t="s">
        <v>1531</v>
      </c>
      <c r="B281" s="9" t="s">
        <v>3290</v>
      </c>
      <c r="C281" s="9" t="s">
        <v>3291</v>
      </c>
      <c r="D281" s="252">
        <v>1.41</v>
      </c>
      <c r="E281" s="221">
        <v>833</v>
      </c>
      <c r="F281" s="246">
        <v>811</v>
      </c>
      <c r="G281" s="247">
        <v>497</v>
      </c>
      <c r="H281" s="248">
        <v>792</v>
      </c>
      <c r="I281" s="249">
        <v>856</v>
      </c>
      <c r="J281" s="122" t="b">
        <f>IF(ISBLANK(CertifiedCrop[[#This Row],[1. Identifiant interne d’exploitation agricole*]]),"",IF(ISERROR(MATCH(CertifiedCrop[[#This Row],[1. Identifiant interne d’exploitation agricole*]],GroupMember[1. Identifiant interne d’exploitation agricole*],0)),FALSE,TRUE))</f>
        <v>1</v>
      </c>
      <c r="K281" s="122" t="b">
        <f t="array" ref="K281">IF(ISBLANK(CertifiedCrop[[#This Row],[2. Produit agricole certifié*]]),"",IF(ISERROR(MATCH(1,(#REF!=CertifiedCrop[[#This Row],[2. Produit agricole certifié*]])*(#REF!=CertifiedCrop[[#This Row],[3. Variété**]]),0)),FALSE,TRUE))</f>
        <v>0</v>
      </c>
      <c r="L281" s="20" t="str">
        <f t="shared" si="20"/>
        <v/>
      </c>
      <c r="M281" s="54" t="str">
        <f t="shared" si="21"/>
        <v>!</v>
      </c>
      <c r="N281" s="54" t="str">
        <f t="shared" si="22"/>
        <v>!</v>
      </c>
      <c r="O281" s="55">
        <f t="shared" si="23"/>
        <v>590.78014184397171</v>
      </c>
      <c r="P281" s="55">
        <f t="shared" si="24"/>
        <v>575.17730496453908</v>
      </c>
      <c r="Q281" s="9" t="str">
        <f ca="1">IFERROR((VLOOKUP(A281,GM_Table,8,FALSE)-SUMIFS(D:D,A:A,A281,B:B,B281,C:C,C281)),"")</f>
        <v/>
      </c>
      <c r="R281" s="9" t="str">
        <f ca="1">IFERROR(CONCATENATE(VLOOKUP(A281,GM_Table,12,FALSE)," ",(VLOOKUP(A281,GM_Table,13,FALSE))),"")</f>
        <v/>
      </c>
    </row>
    <row r="282" spans="1:18" ht="15" x14ac:dyDescent="0.2">
      <c r="A282" s="150" t="s">
        <v>1534</v>
      </c>
      <c r="B282" s="9" t="s">
        <v>3290</v>
      </c>
      <c r="C282" s="9" t="s">
        <v>3291</v>
      </c>
      <c r="D282" s="252">
        <v>1.26</v>
      </c>
      <c r="E282" s="221">
        <v>687</v>
      </c>
      <c r="F282" s="246">
        <v>658</v>
      </c>
      <c r="G282" s="247">
        <v>468</v>
      </c>
      <c r="H282" s="248">
        <v>474</v>
      </c>
      <c r="I282" s="249">
        <v>723</v>
      </c>
      <c r="J282" s="122" t="b">
        <f>IF(ISBLANK(CertifiedCrop[[#This Row],[1. Identifiant interne d’exploitation agricole*]]),"",IF(ISERROR(MATCH(CertifiedCrop[[#This Row],[1. Identifiant interne d’exploitation agricole*]],GroupMember[1. Identifiant interne d’exploitation agricole*],0)),FALSE,TRUE))</f>
        <v>1</v>
      </c>
      <c r="K282" s="122" t="b">
        <f t="array" ref="K282">IF(ISBLANK(CertifiedCrop[[#This Row],[2. Produit agricole certifié*]]),"",IF(ISERROR(MATCH(1,(#REF!=CertifiedCrop[[#This Row],[2. Produit agricole certifié*]])*(#REF!=CertifiedCrop[[#This Row],[3. Variété**]]),0)),FALSE,TRUE))</f>
        <v>0</v>
      </c>
      <c r="L282" s="20" t="str">
        <f t="shared" si="20"/>
        <v/>
      </c>
      <c r="M282" s="54" t="str">
        <f t="shared" si="21"/>
        <v>!</v>
      </c>
      <c r="N282" s="54" t="str">
        <f t="shared" si="22"/>
        <v/>
      </c>
      <c r="O282" s="55">
        <f t="shared" si="23"/>
        <v>545.23809523809518</v>
      </c>
      <c r="P282" s="55">
        <f t="shared" si="24"/>
        <v>522.22222222222217</v>
      </c>
      <c r="Q282" s="9" t="str">
        <f ca="1">IFERROR((VLOOKUP(A282,GM_Table,8,FALSE)-SUMIFS(D:D,A:A,A282,B:B,B282,C:C,C282)),"")</f>
        <v/>
      </c>
      <c r="R282" s="9" t="str">
        <f ca="1">IFERROR(CONCATENATE(VLOOKUP(A282,GM_Table,12,FALSE)," ",(VLOOKUP(A282,GM_Table,13,FALSE))),"")</f>
        <v/>
      </c>
    </row>
    <row r="283" spans="1:18" ht="15" x14ac:dyDescent="0.2">
      <c r="A283" s="150" t="s">
        <v>1538</v>
      </c>
      <c r="B283" s="9" t="s">
        <v>3290</v>
      </c>
      <c r="C283" s="9" t="s">
        <v>3291</v>
      </c>
      <c r="D283" s="252">
        <v>1.21</v>
      </c>
      <c r="E283" s="221">
        <v>694</v>
      </c>
      <c r="F283" s="246">
        <v>675</v>
      </c>
      <c r="G283" s="247">
        <v>487</v>
      </c>
      <c r="H283" s="248">
        <v>603</v>
      </c>
      <c r="I283" s="249">
        <v>633</v>
      </c>
      <c r="J283" s="122" t="b">
        <f>IF(ISBLANK(CertifiedCrop[[#This Row],[1. Identifiant interne d’exploitation agricole*]]),"",IF(ISERROR(MATCH(CertifiedCrop[[#This Row],[1. Identifiant interne d’exploitation agricole*]],GroupMember[1. Identifiant interne d’exploitation agricole*],0)),FALSE,TRUE))</f>
        <v>1</v>
      </c>
      <c r="K283" s="122" t="b">
        <f t="array" ref="K283">IF(ISBLANK(CertifiedCrop[[#This Row],[2. Produit agricole certifié*]]),"",IF(ISERROR(MATCH(1,(#REF!=CertifiedCrop[[#This Row],[2. Produit agricole certifié*]])*(#REF!=CertifiedCrop[[#This Row],[3. Variété**]]),0)),FALSE,TRUE))</f>
        <v>0</v>
      </c>
      <c r="L283" s="20" t="str">
        <f t="shared" si="20"/>
        <v/>
      </c>
      <c r="M283" s="54" t="str">
        <f t="shared" si="21"/>
        <v>!</v>
      </c>
      <c r="N283" s="54" t="str">
        <f t="shared" si="22"/>
        <v/>
      </c>
      <c r="O283" s="55">
        <f t="shared" si="23"/>
        <v>573.55371900826447</v>
      </c>
      <c r="P283" s="55">
        <f t="shared" si="24"/>
        <v>557.85123966942149</v>
      </c>
      <c r="Q283" s="9" t="str">
        <f ca="1">IFERROR((VLOOKUP(A283,GM_Table,8,FALSE)-SUMIFS(D:D,A:A,A283,B:B,B283,C:C,C283)),"")</f>
        <v/>
      </c>
      <c r="R283" s="9" t="str">
        <f ca="1">IFERROR(CONCATENATE(VLOOKUP(A283,GM_Table,12,FALSE)," ",(VLOOKUP(A283,GM_Table,13,FALSE))),"")</f>
        <v/>
      </c>
    </row>
    <row r="284" spans="1:18" ht="15" x14ac:dyDescent="0.2">
      <c r="A284" s="150" t="s">
        <v>1541</v>
      </c>
      <c r="B284" s="9" t="s">
        <v>3290</v>
      </c>
      <c r="C284" s="9" t="s">
        <v>3291</v>
      </c>
      <c r="D284" s="252">
        <v>0.93</v>
      </c>
      <c r="E284" s="221">
        <v>550</v>
      </c>
      <c r="F284" s="246">
        <v>521</v>
      </c>
      <c r="G284" s="247">
        <v>521</v>
      </c>
      <c r="H284" s="248">
        <v>362</v>
      </c>
      <c r="I284" s="249">
        <v>541</v>
      </c>
      <c r="J284" s="122" t="b">
        <f>IF(ISBLANK(CertifiedCrop[[#This Row],[1. Identifiant interne d’exploitation agricole*]]),"",IF(ISERROR(MATCH(CertifiedCrop[[#This Row],[1. Identifiant interne d’exploitation agricole*]],GroupMember[1. Identifiant interne d’exploitation agricole*],0)),FALSE,TRUE))</f>
        <v>1</v>
      </c>
      <c r="K284" s="122" t="b">
        <f t="array" ref="K284">IF(ISBLANK(CertifiedCrop[[#This Row],[2. Produit agricole certifié*]]),"",IF(ISERROR(MATCH(1,(#REF!=CertifiedCrop[[#This Row],[2. Produit agricole certifié*]])*(#REF!=CertifiedCrop[[#This Row],[3. Variété**]]),0)),FALSE,TRUE))</f>
        <v>0</v>
      </c>
      <c r="L284" s="20" t="str">
        <f t="shared" si="20"/>
        <v/>
      </c>
      <c r="M284" s="54" t="str">
        <f t="shared" si="21"/>
        <v/>
      </c>
      <c r="N284" s="54" t="str">
        <f t="shared" si="22"/>
        <v>!</v>
      </c>
      <c r="O284" s="55">
        <f t="shared" si="23"/>
        <v>591.39784946236557</v>
      </c>
      <c r="P284" s="55">
        <f t="shared" si="24"/>
        <v>560.21505376344078</v>
      </c>
      <c r="Q284" s="9" t="str">
        <f ca="1">IFERROR((VLOOKUP(A284,GM_Table,8,FALSE)-SUMIFS(D:D,A:A,A284,B:B,B284,C:C,C284)),"")</f>
        <v/>
      </c>
      <c r="R284" s="9" t="str">
        <f ca="1">IFERROR(CONCATENATE(VLOOKUP(A284,GM_Table,12,FALSE)," ",(VLOOKUP(A284,GM_Table,13,FALSE))),"")</f>
        <v/>
      </c>
    </row>
    <row r="285" spans="1:18" ht="15" x14ac:dyDescent="0.2">
      <c r="A285" s="150" t="s">
        <v>1546</v>
      </c>
      <c r="B285" s="9" t="s">
        <v>3290</v>
      </c>
      <c r="C285" s="9" t="s">
        <v>3291</v>
      </c>
      <c r="D285" s="252">
        <v>0.79</v>
      </c>
      <c r="E285" s="221">
        <v>495</v>
      </c>
      <c r="F285" s="246">
        <v>465</v>
      </c>
      <c r="G285" s="247">
        <v>317</v>
      </c>
      <c r="H285" s="248">
        <v>289</v>
      </c>
      <c r="I285" s="249">
        <v>406</v>
      </c>
      <c r="J285" s="122" t="b">
        <f>IF(ISBLANK(CertifiedCrop[[#This Row],[1. Identifiant interne d’exploitation agricole*]]),"",IF(ISERROR(MATCH(CertifiedCrop[[#This Row],[1. Identifiant interne d’exploitation agricole*]],GroupMember[1. Identifiant interne d’exploitation agricole*],0)),FALSE,TRUE))</f>
        <v>1</v>
      </c>
      <c r="K285" s="122" t="b">
        <f t="array" ref="K285">IF(ISBLANK(CertifiedCrop[[#This Row],[2. Produit agricole certifié*]]),"",IF(ISERROR(MATCH(1,(#REF!=CertifiedCrop[[#This Row],[2. Produit agricole certifié*]])*(#REF!=CertifiedCrop[[#This Row],[3. Variété**]]),0)),FALSE,TRUE))</f>
        <v>0</v>
      </c>
      <c r="L285" s="20" t="str">
        <f t="shared" si="20"/>
        <v/>
      </c>
      <c r="M285" s="54" t="str">
        <f t="shared" si="21"/>
        <v>!</v>
      </c>
      <c r="N285" s="54" t="str">
        <f t="shared" si="22"/>
        <v/>
      </c>
      <c r="O285" s="55">
        <f t="shared" si="23"/>
        <v>626.58227848101262</v>
      </c>
      <c r="P285" s="55">
        <f t="shared" si="24"/>
        <v>588.60759493670878</v>
      </c>
      <c r="Q285" s="9" t="str">
        <f ca="1">IFERROR((VLOOKUP(A285,GM_Table,8,FALSE)-SUMIFS(D:D,A:A,A285,B:B,B285,C:C,C285)),"")</f>
        <v/>
      </c>
      <c r="R285" s="9" t="str">
        <f ca="1">IFERROR(CONCATENATE(VLOOKUP(A285,GM_Table,12,FALSE)," ",(VLOOKUP(A285,GM_Table,13,FALSE))),"")</f>
        <v/>
      </c>
    </row>
    <row r="286" spans="1:18" ht="15" x14ac:dyDescent="0.2">
      <c r="A286" s="150" t="s">
        <v>1550</v>
      </c>
      <c r="B286" s="9" t="s">
        <v>3290</v>
      </c>
      <c r="C286" s="9" t="s">
        <v>3291</v>
      </c>
      <c r="D286" s="252">
        <v>1.69</v>
      </c>
      <c r="E286" s="221">
        <v>921</v>
      </c>
      <c r="F286" s="246">
        <v>900</v>
      </c>
      <c r="G286" s="247">
        <v>631</v>
      </c>
      <c r="H286" s="248">
        <v>781</v>
      </c>
      <c r="I286" s="249">
        <v>893</v>
      </c>
      <c r="J286" s="122" t="b">
        <f>IF(ISBLANK(CertifiedCrop[[#This Row],[1. Identifiant interne d’exploitation agricole*]]),"",IF(ISERROR(MATCH(CertifiedCrop[[#This Row],[1. Identifiant interne d’exploitation agricole*]],GroupMember[1. Identifiant interne d’exploitation agricole*],0)),FALSE,TRUE))</f>
        <v>1</v>
      </c>
      <c r="K286" s="122" t="b">
        <f t="array" ref="K286">IF(ISBLANK(CertifiedCrop[[#This Row],[2. Produit agricole certifié*]]),"",IF(ISERROR(MATCH(1,(#REF!=CertifiedCrop[[#This Row],[2. Produit agricole certifié*]])*(#REF!=CertifiedCrop[[#This Row],[3. Variété**]]),0)),FALSE,TRUE))</f>
        <v>0</v>
      </c>
      <c r="L286" s="20" t="str">
        <f t="shared" si="20"/>
        <v/>
      </c>
      <c r="M286" s="54" t="str">
        <f t="shared" si="21"/>
        <v>!</v>
      </c>
      <c r="N286" s="54" t="str">
        <f t="shared" si="22"/>
        <v/>
      </c>
      <c r="O286" s="55">
        <f t="shared" si="23"/>
        <v>544.97041420118342</v>
      </c>
      <c r="P286" s="55">
        <f t="shared" si="24"/>
        <v>532.54437869822482</v>
      </c>
      <c r="Q286" s="9" t="str">
        <f ca="1">IFERROR((VLOOKUP(A286,GM_Table,8,FALSE)-SUMIFS(D:D,A:A,A286,B:B,B286,C:C,C286)),"")</f>
        <v/>
      </c>
      <c r="R286" s="9" t="str">
        <f ca="1">IFERROR(CONCATENATE(VLOOKUP(A286,GM_Table,12,FALSE)," ",(VLOOKUP(A286,GM_Table,13,FALSE))),"")</f>
        <v/>
      </c>
    </row>
    <row r="287" spans="1:18" ht="15" x14ac:dyDescent="0.2">
      <c r="A287" s="150" t="s">
        <v>1553</v>
      </c>
      <c r="B287" s="9" t="s">
        <v>3290</v>
      </c>
      <c r="C287" s="9" t="s">
        <v>3291</v>
      </c>
      <c r="D287" s="252">
        <v>1.72</v>
      </c>
      <c r="E287" s="245">
        <v>1020</v>
      </c>
      <c r="F287" s="246">
        <v>968</v>
      </c>
      <c r="G287" s="247">
        <v>590</v>
      </c>
      <c r="H287" s="248">
        <v>806</v>
      </c>
      <c r="I287" s="249">
        <v>721</v>
      </c>
      <c r="J287" s="122" t="b">
        <f>IF(ISBLANK(CertifiedCrop[[#This Row],[1. Identifiant interne d’exploitation agricole*]]),"",IF(ISERROR(MATCH(CertifiedCrop[[#This Row],[1. Identifiant interne d’exploitation agricole*]],GroupMember[1. Identifiant interne d’exploitation agricole*],0)),FALSE,TRUE))</f>
        <v>1</v>
      </c>
      <c r="K287" s="122" t="b">
        <f t="array" ref="K287">IF(ISBLANK(CertifiedCrop[[#This Row],[2. Produit agricole certifié*]]),"",IF(ISERROR(MATCH(1,(#REF!=CertifiedCrop[[#This Row],[2. Produit agricole certifié*]])*(#REF!=CertifiedCrop[[#This Row],[3. Variété**]]),0)),FALSE,TRUE))</f>
        <v>0</v>
      </c>
      <c r="L287" s="20" t="str">
        <f t="shared" si="20"/>
        <v/>
      </c>
      <c r="M287" s="54" t="str">
        <f t="shared" si="21"/>
        <v>!</v>
      </c>
      <c r="N287" s="54" t="str">
        <f t="shared" si="22"/>
        <v>!</v>
      </c>
      <c r="O287" s="55">
        <f t="shared" si="23"/>
        <v>593.02325581395348</v>
      </c>
      <c r="P287" s="55">
        <f t="shared" si="24"/>
        <v>562.79069767441865</v>
      </c>
      <c r="Q287" s="9" t="str">
        <f ca="1">IFERROR((VLOOKUP(A287,GM_Table,8,FALSE)-SUMIFS(D:D,A:A,A287,B:B,B287,C:C,C287)),"")</f>
        <v/>
      </c>
      <c r="R287" s="9" t="str">
        <f ca="1">IFERROR(CONCATENATE(VLOOKUP(A287,GM_Table,12,FALSE)," ",(VLOOKUP(A287,GM_Table,13,FALSE))),"")</f>
        <v/>
      </c>
    </row>
    <row r="288" spans="1:18" ht="15" x14ac:dyDescent="0.2">
      <c r="A288" s="150" t="s">
        <v>1555</v>
      </c>
      <c r="B288" s="9" t="s">
        <v>3290</v>
      </c>
      <c r="C288" s="9" t="s">
        <v>3291</v>
      </c>
      <c r="D288" s="252">
        <v>3</v>
      </c>
      <c r="E288" s="245">
        <v>1801</v>
      </c>
      <c r="F288" s="246">
        <v>1809</v>
      </c>
      <c r="G288" s="247">
        <v>1809</v>
      </c>
      <c r="H288" s="248">
        <v>1405</v>
      </c>
      <c r="I288" s="249">
        <v>1203</v>
      </c>
      <c r="J288" s="122" t="b">
        <f>IF(ISBLANK(CertifiedCrop[[#This Row],[1. Identifiant interne d’exploitation agricole*]]),"",IF(ISERROR(MATCH(CertifiedCrop[[#This Row],[1. Identifiant interne d’exploitation agricole*]],GroupMember[1. Identifiant interne d’exploitation agricole*],0)),FALSE,TRUE))</f>
        <v>1</v>
      </c>
      <c r="K288" s="122" t="b">
        <f t="array" ref="K288">IF(ISBLANK(CertifiedCrop[[#This Row],[2. Produit agricole certifié*]]),"",IF(ISERROR(MATCH(1,(#REF!=CertifiedCrop[[#This Row],[2. Produit agricole certifié*]])*(#REF!=CertifiedCrop[[#This Row],[3. Variété**]]),0)),FALSE,TRUE))</f>
        <v>0</v>
      </c>
      <c r="L288" s="20" t="str">
        <f t="shared" si="20"/>
        <v/>
      </c>
      <c r="M288" s="54" t="str">
        <f t="shared" si="21"/>
        <v/>
      </c>
      <c r="N288" s="54" t="str">
        <f t="shared" si="22"/>
        <v>!</v>
      </c>
      <c r="O288" s="55">
        <f t="shared" si="23"/>
        <v>600.33333333333337</v>
      </c>
      <c r="P288" s="55">
        <f t="shared" si="24"/>
        <v>603</v>
      </c>
      <c r="Q288" s="9" t="str">
        <f ca="1">IFERROR((VLOOKUP(A288,GM_Table,8,FALSE)-SUMIFS(D:D,A:A,A288,B:B,B288,C:C,C288)),"")</f>
        <v/>
      </c>
      <c r="R288" s="9" t="str">
        <f ca="1">IFERROR(CONCATENATE(VLOOKUP(A288,GM_Table,12,FALSE)," ",(VLOOKUP(A288,GM_Table,13,FALSE))),"")</f>
        <v/>
      </c>
    </row>
    <row r="289" spans="1:18" ht="15" x14ac:dyDescent="0.2">
      <c r="A289" s="150" t="s">
        <v>1558</v>
      </c>
      <c r="B289" s="9" t="s">
        <v>3290</v>
      </c>
      <c r="C289" s="9" t="s">
        <v>3291</v>
      </c>
      <c r="D289" s="252">
        <v>0.71</v>
      </c>
      <c r="E289" s="221">
        <v>445</v>
      </c>
      <c r="F289" s="246">
        <v>412</v>
      </c>
      <c r="G289" s="247">
        <v>219</v>
      </c>
      <c r="H289" s="248">
        <v>329</v>
      </c>
      <c r="I289" s="249">
        <v>412</v>
      </c>
      <c r="J289" s="122" t="b">
        <f>IF(ISBLANK(CertifiedCrop[[#This Row],[1. Identifiant interne d’exploitation agricole*]]),"",IF(ISERROR(MATCH(CertifiedCrop[[#This Row],[1. Identifiant interne d’exploitation agricole*]],GroupMember[1. Identifiant interne d’exploitation agricole*],0)),FALSE,TRUE))</f>
        <v>1</v>
      </c>
      <c r="K289" s="122" t="b">
        <f t="array" ref="K289">IF(ISBLANK(CertifiedCrop[[#This Row],[2. Produit agricole certifié*]]),"",IF(ISERROR(MATCH(1,(#REF!=CertifiedCrop[[#This Row],[2. Produit agricole certifié*]])*(#REF!=CertifiedCrop[[#This Row],[3. Variété**]]),0)),FALSE,TRUE))</f>
        <v>0</v>
      </c>
      <c r="L289" s="20" t="str">
        <f t="shared" si="20"/>
        <v/>
      </c>
      <c r="M289" s="54" t="str">
        <f t="shared" si="21"/>
        <v>!</v>
      </c>
      <c r="N289" s="54" t="str">
        <f t="shared" si="22"/>
        <v>!</v>
      </c>
      <c r="O289" s="55">
        <f t="shared" si="23"/>
        <v>626.76056338028172</v>
      </c>
      <c r="P289" s="55">
        <f t="shared" si="24"/>
        <v>580.28169014084506</v>
      </c>
      <c r="Q289" s="9" t="str">
        <f ca="1">IFERROR((VLOOKUP(A289,GM_Table,8,FALSE)-SUMIFS(D:D,A:A,A289,B:B,B289,C:C,C289)),"")</f>
        <v/>
      </c>
      <c r="R289" s="9" t="str">
        <f ca="1">IFERROR(CONCATENATE(VLOOKUP(A289,GM_Table,12,FALSE)," ",(VLOOKUP(A289,GM_Table,13,FALSE))),"")</f>
        <v/>
      </c>
    </row>
    <row r="290" spans="1:18" ht="15" x14ac:dyDescent="0.2">
      <c r="A290" s="150" t="s">
        <v>1560</v>
      </c>
      <c r="B290" s="9" t="s">
        <v>3290</v>
      </c>
      <c r="C290" s="9" t="s">
        <v>3291</v>
      </c>
      <c r="D290" s="252">
        <v>2.66</v>
      </c>
      <c r="E290" s="245">
        <v>1544</v>
      </c>
      <c r="F290" s="246">
        <v>1478</v>
      </c>
      <c r="G290" s="247">
        <v>1012</v>
      </c>
      <c r="H290" s="248">
        <v>1334</v>
      </c>
      <c r="I290" s="249">
        <v>989</v>
      </c>
      <c r="J290" s="122" t="b">
        <f>IF(ISBLANK(CertifiedCrop[[#This Row],[1. Identifiant interne d’exploitation agricole*]]),"",IF(ISERROR(MATCH(CertifiedCrop[[#This Row],[1. Identifiant interne d’exploitation agricole*]],GroupMember[1. Identifiant interne d’exploitation agricole*],0)),FALSE,TRUE))</f>
        <v>1</v>
      </c>
      <c r="K290" s="122" t="b">
        <f t="array" ref="K290">IF(ISBLANK(CertifiedCrop[[#This Row],[2. Produit agricole certifié*]]),"",IF(ISERROR(MATCH(1,(#REF!=CertifiedCrop[[#This Row],[2. Produit agricole certifié*]])*(#REF!=CertifiedCrop[[#This Row],[3. Variété**]]),0)),FALSE,TRUE))</f>
        <v>0</v>
      </c>
      <c r="L290" s="20" t="str">
        <f t="shared" si="20"/>
        <v/>
      </c>
      <c r="M290" s="54" t="str">
        <f t="shared" si="21"/>
        <v>!</v>
      </c>
      <c r="N290" s="54" t="str">
        <f t="shared" si="22"/>
        <v/>
      </c>
      <c r="O290" s="55">
        <f t="shared" si="23"/>
        <v>580.45112781954879</v>
      </c>
      <c r="P290" s="55">
        <f t="shared" si="24"/>
        <v>555.63909774436092</v>
      </c>
      <c r="Q290" s="9" t="str">
        <f ca="1">IFERROR((VLOOKUP(A290,GM_Table,8,FALSE)-SUMIFS(D:D,A:A,A290,B:B,B290,C:C,C290)),"")</f>
        <v/>
      </c>
      <c r="R290" s="9" t="str">
        <f ca="1">IFERROR(CONCATENATE(VLOOKUP(A290,GM_Table,12,FALSE)," ",(VLOOKUP(A290,GM_Table,13,FALSE))),"")</f>
        <v/>
      </c>
    </row>
    <row r="291" spans="1:18" ht="15" x14ac:dyDescent="0.2">
      <c r="A291" s="150" t="s">
        <v>1561</v>
      </c>
      <c r="B291" s="9" t="s">
        <v>3290</v>
      </c>
      <c r="C291" s="9" t="s">
        <v>3291</v>
      </c>
      <c r="D291" s="252">
        <v>1.61</v>
      </c>
      <c r="E291" s="221">
        <v>921</v>
      </c>
      <c r="F291" s="246">
        <v>907</v>
      </c>
      <c r="G291" s="247">
        <v>727</v>
      </c>
      <c r="H291" s="248">
        <v>528</v>
      </c>
      <c r="I291" s="249">
        <v>798</v>
      </c>
      <c r="J291" s="122" t="b">
        <f>IF(ISBLANK(CertifiedCrop[[#This Row],[1. Identifiant interne d’exploitation agricole*]]),"",IF(ISERROR(MATCH(CertifiedCrop[[#This Row],[1. Identifiant interne d’exploitation agricole*]],GroupMember[1. Identifiant interne d’exploitation agricole*],0)),FALSE,TRUE))</f>
        <v>1</v>
      </c>
      <c r="K291" s="122" t="b">
        <f t="array" ref="K291">IF(ISBLANK(CertifiedCrop[[#This Row],[2. Produit agricole certifié*]]),"",IF(ISERROR(MATCH(1,(#REF!=CertifiedCrop[[#This Row],[2. Produit agricole certifié*]])*(#REF!=CertifiedCrop[[#This Row],[3. Variété**]]),0)),FALSE,TRUE))</f>
        <v>0</v>
      </c>
      <c r="L291" s="20" t="str">
        <f t="shared" si="20"/>
        <v/>
      </c>
      <c r="M291" s="54" t="str">
        <f t="shared" si="21"/>
        <v/>
      </c>
      <c r="N291" s="54" t="str">
        <f t="shared" si="22"/>
        <v>!</v>
      </c>
      <c r="O291" s="55">
        <f t="shared" si="23"/>
        <v>572.0496894409938</v>
      </c>
      <c r="P291" s="55">
        <f t="shared" si="24"/>
        <v>563.35403726708068</v>
      </c>
      <c r="Q291" s="9" t="str">
        <f ca="1">IFERROR((VLOOKUP(A291,GM_Table,8,FALSE)-SUMIFS(D:D,A:A,A291,B:B,B291,C:C,C291)),"")</f>
        <v/>
      </c>
      <c r="R291" s="9" t="str">
        <f ca="1">IFERROR(CONCATENATE(VLOOKUP(A291,GM_Table,12,FALSE)," ",(VLOOKUP(A291,GM_Table,13,FALSE))),"")</f>
        <v/>
      </c>
    </row>
    <row r="292" spans="1:18" ht="15" x14ac:dyDescent="0.2">
      <c r="A292" s="150" t="s">
        <v>1566</v>
      </c>
      <c r="B292" s="9" t="s">
        <v>3290</v>
      </c>
      <c r="C292" s="9" t="s">
        <v>3291</v>
      </c>
      <c r="D292" s="252">
        <v>4.3</v>
      </c>
      <c r="E292" s="245">
        <v>2720</v>
      </c>
      <c r="F292" s="246">
        <v>2685</v>
      </c>
      <c r="G292" s="247">
        <v>1926</v>
      </c>
      <c r="H292" s="248">
        <v>2537</v>
      </c>
      <c r="I292" s="249">
        <v>1756</v>
      </c>
      <c r="J292" s="122" t="b">
        <f>IF(ISBLANK(CertifiedCrop[[#This Row],[1. Identifiant interne d’exploitation agricole*]]),"",IF(ISERROR(MATCH(CertifiedCrop[[#This Row],[1. Identifiant interne d’exploitation agricole*]],GroupMember[1. Identifiant interne d’exploitation agricole*],0)),FALSE,TRUE))</f>
        <v>1</v>
      </c>
      <c r="K292" s="122" t="b">
        <f t="array" ref="K292">IF(ISBLANK(CertifiedCrop[[#This Row],[2. Produit agricole certifié*]]),"",IF(ISERROR(MATCH(1,(#REF!=CertifiedCrop[[#This Row],[2. Produit agricole certifié*]])*(#REF!=CertifiedCrop[[#This Row],[3. Variété**]]),0)),FALSE,TRUE))</f>
        <v>0</v>
      </c>
      <c r="L292" s="20" t="str">
        <f t="shared" si="20"/>
        <v/>
      </c>
      <c r="M292" s="54" t="str">
        <f t="shared" si="21"/>
        <v>!</v>
      </c>
      <c r="N292" s="54" t="str">
        <f t="shared" si="22"/>
        <v/>
      </c>
      <c r="O292" s="55">
        <f t="shared" si="23"/>
        <v>632.55813953488371</v>
      </c>
      <c r="P292" s="55">
        <f t="shared" si="24"/>
        <v>624.41860465116281</v>
      </c>
      <c r="Q292" s="9" t="str">
        <f ca="1">IFERROR((VLOOKUP(A292,GM_Table,8,FALSE)-SUMIFS(D:D,A:A,A292,B:B,B292,C:C,C292)),"")</f>
        <v/>
      </c>
      <c r="R292" s="9" t="str">
        <f ca="1">IFERROR(CONCATENATE(VLOOKUP(A292,GM_Table,12,FALSE)," ",(VLOOKUP(A292,GM_Table,13,FALSE))),"")</f>
        <v/>
      </c>
    </row>
    <row r="293" spans="1:18" ht="15" x14ac:dyDescent="0.2">
      <c r="A293" s="150" t="s">
        <v>1569</v>
      </c>
      <c r="B293" s="9" t="s">
        <v>3290</v>
      </c>
      <c r="C293" s="9" t="s">
        <v>3291</v>
      </c>
      <c r="D293" s="252">
        <v>1.67</v>
      </c>
      <c r="E293" s="221">
        <v>910</v>
      </c>
      <c r="F293" s="246">
        <v>917</v>
      </c>
      <c r="G293" s="247">
        <v>917</v>
      </c>
      <c r="H293" s="248">
        <v>247</v>
      </c>
      <c r="I293" s="249">
        <v>816</v>
      </c>
      <c r="J293" s="122" t="b">
        <f>IF(ISBLANK(CertifiedCrop[[#This Row],[1. Identifiant interne d’exploitation agricole*]]),"",IF(ISERROR(MATCH(CertifiedCrop[[#This Row],[1. Identifiant interne d’exploitation agricole*]],GroupMember[1. Identifiant interne d’exploitation agricole*],0)),FALSE,TRUE))</f>
        <v>1</v>
      </c>
      <c r="K293" s="122" t="b">
        <f t="array" ref="K293">IF(ISBLANK(CertifiedCrop[[#This Row],[2. Produit agricole certifié*]]),"",IF(ISERROR(MATCH(1,(#REF!=CertifiedCrop[[#This Row],[2. Produit agricole certifié*]])*(#REF!=CertifiedCrop[[#This Row],[3. Variété**]]),0)),FALSE,TRUE))</f>
        <v>0</v>
      </c>
      <c r="L293" s="20" t="str">
        <f t="shared" si="20"/>
        <v/>
      </c>
      <c r="M293" s="54" t="str">
        <f t="shared" si="21"/>
        <v/>
      </c>
      <c r="N293" s="54" t="str">
        <f t="shared" si="22"/>
        <v>!</v>
      </c>
      <c r="O293" s="55">
        <f t="shared" si="23"/>
        <v>544.91017964071864</v>
      </c>
      <c r="P293" s="55">
        <f t="shared" si="24"/>
        <v>549.1017964071857</v>
      </c>
      <c r="Q293" s="9" t="str">
        <f ca="1">IFERROR((VLOOKUP(A293,GM_Table,8,FALSE)-SUMIFS(D:D,A:A,A293,B:B,B293,C:C,C293)),"")</f>
        <v/>
      </c>
      <c r="R293" s="9" t="str">
        <f ca="1">IFERROR(CONCATENATE(VLOOKUP(A293,GM_Table,12,FALSE)," ",(VLOOKUP(A293,GM_Table,13,FALSE))),"")</f>
        <v/>
      </c>
    </row>
    <row r="294" spans="1:18" ht="15" x14ac:dyDescent="0.2">
      <c r="A294" s="150" t="s">
        <v>1572</v>
      </c>
      <c r="B294" s="9" t="s">
        <v>3290</v>
      </c>
      <c r="C294" s="9" t="s">
        <v>3291</v>
      </c>
      <c r="D294" s="252">
        <v>3.42</v>
      </c>
      <c r="E294" s="245">
        <v>1992</v>
      </c>
      <c r="F294" s="246">
        <v>1895</v>
      </c>
      <c r="G294" s="247">
        <v>1257</v>
      </c>
      <c r="H294" s="248">
        <v>1606</v>
      </c>
      <c r="I294" s="249">
        <v>1387</v>
      </c>
      <c r="J294" s="122" t="b">
        <f>IF(ISBLANK(CertifiedCrop[[#This Row],[1. Identifiant interne d’exploitation agricole*]]),"",IF(ISERROR(MATCH(CertifiedCrop[[#This Row],[1. Identifiant interne d’exploitation agricole*]],GroupMember[1. Identifiant interne d’exploitation agricole*],0)),FALSE,TRUE))</f>
        <v>1</v>
      </c>
      <c r="K294" s="122" t="b">
        <f t="array" ref="K294">IF(ISBLANK(CertifiedCrop[[#This Row],[2. Produit agricole certifié*]]),"",IF(ISERROR(MATCH(1,(#REF!=CertifiedCrop[[#This Row],[2. Produit agricole certifié*]])*(#REF!=CertifiedCrop[[#This Row],[3. Variété**]]),0)),FALSE,TRUE))</f>
        <v>0</v>
      </c>
      <c r="L294" s="20" t="str">
        <f t="shared" si="20"/>
        <v/>
      </c>
      <c r="M294" s="54" t="str">
        <f t="shared" si="21"/>
        <v>!</v>
      </c>
      <c r="N294" s="54" t="str">
        <f t="shared" si="22"/>
        <v/>
      </c>
      <c r="O294" s="55">
        <f t="shared" si="23"/>
        <v>582.45614035087715</v>
      </c>
      <c r="P294" s="55">
        <f t="shared" si="24"/>
        <v>554.09356725146199</v>
      </c>
      <c r="Q294" s="9" t="str">
        <f ca="1">IFERROR((VLOOKUP(A294,GM_Table,8,FALSE)-SUMIFS(D:D,A:A,A294,B:B,B294,C:C,C294)),"")</f>
        <v/>
      </c>
      <c r="R294" s="9" t="str">
        <f ca="1">IFERROR(CONCATENATE(VLOOKUP(A294,GM_Table,12,FALSE)," ",(VLOOKUP(A294,GM_Table,13,FALSE))),"")</f>
        <v/>
      </c>
    </row>
    <row r="295" spans="1:18" ht="15" x14ac:dyDescent="0.2">
      <c r="A295" s="150" t="s">
        <v>1575</v>
      </c>
      <c r="B295" s="9" t="s">
        <v>3290</v>
      </c>
      <c r="C295" s="9" t="s">
        <v>3291</v>
      </c>
      <c r="D295" s="252">
        <v>6.51</v>
      </c>
      <c r="E295" s="245">
        <v>3694</v>
      </c>
      <c r="F295" s="246">
        <v>3562</v>
      </c>
      <c r="G295" s="247">
        <v>2724</v>
      </c>
      <c r="H295" s="248">
        <v>3124</v>
      </c>
      <c r="I295" s="249">
        <v>2599</v>
      </c>
      <c r="J295" s="122" t="b">
        <f>IF(ISBLANK(CertifiedCrop[[#This Row],[1. Identifiant interne d’exploitation agricole*]]),"",IF(ISERROR(MATCH(CertifiedCrop[[#This Row],[1. Identifiant interne d’exploitation agricole*]],GroupMember[1. Identifiant interne d’exploitation agricole*],0)),FALSE,TRUE))</f>
        <v>1</v>
      </c>
      <c r="K295" s="122" t="b">
        <f t="array" ref="K295">IF(ISBLANK(CertifiedCrop[[#This Row],[2. Produit agricole certifié*]]),"",IF(ISERROR(MATCH(1,(#REF!=CertifiedCrop[[#This Row],[2. Produit agricole certifié*]])*(#REF!=CertifiedCrop[[#This Row],[3. Variété**]]),0)),FALSE,TRUE))</f>
        <v>0</v>
      </c>
      <c r="L295" s="20" t="str">
        <f t="shared" si="20"/>
        <v/>
      </c>
      <c r="M295" s="54" t="str">
        <f t="shared" si="21"/>
        <v>!</v>
      </c>
      <c r="N295" s="54" t="str">
        <f t="shared" si="22"/>
        <v/>
      </c>
      <c r="O295" s="55">
        <f t="shared" si="23"/>
        <v>567.43471582181257</v>
      </c>
      <c r="P295" s="55">
        <f t="shared" si="24"/>
        <v>547.15821812596005</v>
      </c>
      <c r="Q295" s="9" t="str">
        <f ca="1">IFERROR((VLOOKUP(A295,GM_Table,8,FALSE)-SUMIFS(D:D,A:A,A295,B:B,B295,C:C,C295)),"")</f>
        <v/>
      </c>
      <c r="R295" s="9" t="str">
        <f ca="1">IFERROR(CONCATENATE(VLOOKUP(A295,GM_Table,12,FALSE)," ",(VLOOKUP(A295,GM_Table,13,FALSE))),"")</f>
        <v/>
      </c>
    </row>
    <row r="296" spans="1:18" ht="15" x14ac:dyDescent="0.2">
      <c r="A296" s="150" t="s">
        <v>1576</v>
      </c>
      <c r="B296" s="9" t="s">
        <v>3290</v>
      </c>
      <c r="C296" s="9" t="s">
        <v>3291</v>
      </c>
      <c r="D296" s="252">
        <v>2.81</v>
      </c>
      <c r="E296" s="245">
        <v>1738</v>
      </c>
      <c r="F296" s="246">
        <v>1685</v>
      </c>
      <c r="G296" s="247">
        <v>1419</v>
      </c>
      <c r="H296" s="248">
        <v>1395</v>
      </c>
      <c r="I296" s="249">
        <v>1608</v>
      </c>
      <c r="J296" s="122" t="b">
        <f>IF(ISBLANK(CertifiedCrop[[#This Row],[1. Identifiant interne d’exploitation agricole*]]),"",IF(ISERROR(MATCH(CertifiedCrop[[#This Row],[1. Identifiant interne d’exploitation agricole*]],GroupMember[1. Identifiant interne d’exploitation agricole*],0)),FALSE,TRUE))</f>
        <v>1</v>
      </c>
      <c r="K296" s="122" t="b">
        <f t="array" ref="K296">IF(ISBLANK(CertifiedCrop[[#This Row],[2. Produit agricole certifié*]]),"",IF(ISERROR(MATCH(1,(#REF!=CertifiedCrop[[#This Row],[2. Produit agricole certifié*]])*(#REF!=CertifiedCrop[[#This Row],[3. Variété**]]),0)),FALSE,TRUE))</f>
        <v>0</v>
      </c>
      <c r="L296" s="20" t="str">
        <f t="shared" si="20"/>
        <v/>
      </c>
      <c r="M296" s="54" t="str">
        <f t="shared" si="21"/>
        <v/>
      </c>
      <c r="N296" s="54" t="str">
        <f t="shared" si="22"/>
        <v/>
      </c>
      <c r="O296" s="55">
        <f t="shared" si="23"/>
        <v>618.50533807829186</v>
      </c>
      <c r="P296" s="55">
        <f t="shared" si="24"/>
        <v>599.64412811387899</v>
      </c>
      <c r="Q296" s="9" t="str">
        <f ca="1">IFERROR((VLOOKUP(A296,GM_Table,8,FALSE)-SUMIFS(D:D,A:A,A296,B:B,B296,C:C,C296)),"")</f>
        <v/>
      </c>
      <c r="R296" s="9" t="str">
        <f ca="1">IFERROR(CONCATENATE(VLOOKUP(A296,GM_Table,12,FALSE)," ",(VLOOKUP(A296,GM_Table,13,FALSE))),"")</f>
        <v/>
      </c>
    </row>
    <row r="297" spans="1:18" ht="15" x14ac:dyDescent="0.2">
      <c r="A297" s="150" t="s">
        <v>1579</v>
      </c>
      <c r="B297" s="9" t="s">
        <v>3290</v>
      </c>
      <c r="C297" s="9" t="s">
        <v>3291</v>
      </c>
      <c r="D297" s="252">
        <v>1.92</v>
      </c>
      <c r="E297" s="245">
        <v>1215</v>
      </c>
      <c r="F297" s="246">
        <v>1195</v>
      </c>
      <c r="G297" s="247">
        <v>834</v>
      </c>
      <c r="H297" s="248">
        <v>978</v>
      </c>
      <c r="I297" s="249">
        <v>803</v>
      </c>
      <c r="J297" s="122" t="b">
        <f>IF(ISBLANK(CertifiedCrop[[#This Row],[1. Identifiant interne d’exploitation agricole*]]),"",IF(ISERROR(MATCH(CertifiedCrop[[#This Row],[1. Identifiant interne d’exploitation agricole*]],GroupMember[1. Identifiant interne d’exploitation agricole*],0)),FALSE,TRUE))</f>
        <v>1</v>
      </c>
      <c r="K297" s="122" t="b">
        <f t="array" ref="K297">IF(ISBLANK(CertifiedCrop[[#This Row],[2. Produit agricole certifié*]]),"",IF(ISERROR(MATCH(1,(#REF!=CertifiedCrop[[#This Row],[2. Produit agricole certifié*]])*(#REF!=CertifiedCrop[[#This Row],[3. Variété**]]),0)),FALSE,TRUE))</f>
        <v>0</v>
      </c>
      <c r="L297" s="20" t="str">
        <f t="shared" si="20"/>
        <v/>
      </c>
      <c r="M297" s="54" t="str">
        <f t="shared" si="21"/>
        <v>!</v>
      </c>
      <c r="N297" s="54" t="str">
        <f t="shared" si="22"/>
        <v/>
      </c>
      <c r="O297" s="55">
        <f t="shared" si="23"/>
        <v>632.8125</v>
      </c>
      <c r="P297" s="55">
        <f t="shared" si="24"/>
        <v>622.39583333333337</v>
      </c>
      <c r="Q297" s="9" t="str">
        <f ca="1">IFERROR((VLOOKUP(A297,GM_Table,8,FALSE)-SUMIFS(D:D,A:A,A297,B:B,B297,C:C,C297)),"")</f>
        <v/>
      </c>
      <c r="R297" s="9" t="str">
        <f ca="1">IFERROR(CONCATENATE(VLOOKUP(A297,GM_Table,12,FALSE)," ",(VLOOKUP(A297,GM_Table,13,FALSE))),"")</f>
        <v/>
      </c>
    </row>
    <row r="298" spans="1:18" ht="15" x14ac:dyDescent="0.2">
      <c r="A298" s="150" t="s">
        <v>1583</v>
      </c>
      <c r="B298" s="9" t="s">
        <v>3290</v>
      </c>
      <c r="C298" s="9" t="s">
        <v>3291</v>
      </c>
      <c r="D298" s="252">
        <v>0.66</v>
      </c>
      <c r="E298" s="221">
        <v>382</v>
      </c>
      <c r="F298" s="246">
        <v>369</v>
      </c>
      <c r="G298" s="247">
        <v>329</v>
      </c>
      <c r="H298" s="248">
        <v>321</v>
      </c>
      <c r="I298" s="249">
        <v>355</v>
      </c>
      <c r="J298" s="122" t="b">
        <f>IF(ISBLANK(CertifiedCrop[[#This Row],[1. Identifiant interne d’exploitation agricole*]]),"",IF(ISERROR(MATCH(CertifiedCrop[[#This Row],[1. Identifiant interne d’exploitation agricole*]],GroupMember[1. Identifiant interne d’exploitation agricole*],0)),FALSE,TRUE))</f>
        <v>1</v>
      </c>
      <c r="K298" s="122" t="b">
        <f t="array" ref="K298">IF(ISBLANK(CertifiedCrop[[#This Row],[2. Produit agricole certifié*]]),"",IF(ISERROR(MATCH(1,(#REF!=CertifiedCrop[[#This Row],[2. Produit agricole certifié*]])*(#REF!=CertifiedCrop[[#This Row],[3. Variété**]]),0)),FALSE,TRUE))</f>
        <v>0</v>
      </c>
      <c r="L298" s="20" t="str">
        <f t="shared" si="20"/>
        <v/>
      </c>
      <c r="M298" s="54" t="str">
        <f t="shared" si="21"/>
        <v/>
      </c>
      <c r="N298" s="54" t="str">
        <f t="shared" si="22"/>
        <v/>
      </c>
      <c r="O298" s="55">
        <f t="shared" si="23"/>
        <v>578.78787878787875</v>
      </c>
      <c r="P298" s="55">
        <f t="shared" si="24"/>
        <v>559.09090909090901</v>
      </c>
      <c r="Q298" s="9" t="str">
        <f ca="1">IFERROR((VLOOKUP(A298,GM_Table,8,FALSE)-SUMIFS(D:D,A:A,A298,B:B,B298,C:C,C298)),"")</f>
        <v/>
      </c>
      <c r="R298" s="9" t="str">
        <f ca="1">IFERROR(CONCATENATE(VLOOKUP(A298,GM_Table,12,FALSE)," ",(VLOOKUP(A298,GM_Table,13,FALSE))),"")</f>
        <v/>
      </c>
    </row>
    <row r="299" spans="1:18" ht="15" x14ac:dyDescent="0.2">
      <c r="A299" s="150" t="s">
        <v>1586</v>
      </c>
      <c r="B299" s="9" t="s">
        <v>3290</v>
      </c>
      <c r="C299" s="9" t="s">
        <v>3291</v>
      </c>
      <c r="D299" s="252">
        <v>1.32</v>
      </c>
      <c r="E299" s="221">
        <v>793</v>
      </c>
      <c r="F299" s="246">
        <v>754</v>
      </c>
      <c r="G299" s="247">
        <v>718</v>
      </c>
      <c r="H299" s="248">
        <v>524</v>
      </c>
      <c r="I299" s="249">
        <v>695</v>
      </c>
      <c r="J299" s="122" t="b">
        <f>IF(ISBLANK(CertifiedCrop[[#This Row],[1. Identifiant interne d’exploitation agricole*]]),"",IF(ISERROR(MATCH(CertifiedCrop[[#This Row],[1. Identifiant interne d’exploitation agricole*]],GroupMember[1. Identifiant interne d’exploitation agricole*],0)),FALSE,TRUE))</f>
        <v>1</v>
      </c>
      <c r="K299" s="122" t="b">
        <f t="array" ref="K299">IF(ISBLANK(CertifiedCrop[[#This Row],[2. Produit agricole certifié*]]),"",IF(ISERROR(MATCH(1,(#REF!=CertifiedCrop[[#This Row],[2. Produit agricole certifié*]])*(#REF!=CertifiedCrop[[#This Row],[3. Variété**]]),0)),FALSE,TRUE))</f>
        <v>0</v>
      </c>
      <c r="L299" s="20" t="str">
        <f t="shared" si="20"/>
        <v/>
      </c>
      <c r="M299" s="54" t="str">
        <f t="shared" si="21"/>
        <v/>
      </c>
      <c r="N299" s="54" t="str">
        <f t="shared" si="22"/>
        <v>!</v>
      </c>
      <c r="O299" s="55">
        <f t="shared" si="23"/>
        <v>600.75757575757575</v>
      </c>
      <c r="P299" s="55">
        <f t="shared" si="24"/>
        <v>571.21212121212113</v>
      </c>
      <c r="Q299" s="9" t="str">
        <f ca="1">IFERROR((VLOOKUP(A299,GM_Table,8,FALSE)-SUMIFS(D:D,A:A,A299,B:B,B299,C:C,C299)),"")</f>
        <v/>
      </c>
      <c r="R299" s="9" t="str">
        <f ca="1">IFERROR(CONCATENATE(VLOOKUP(A299,GM_Table,12,FALSE)," ",(VLOOKUP(A299,GM_Table,13,FALSE))),"")</f>
        <v/>
      </c>
    </row>
    <row r="300" spans="1:18" ht="15" x14ac:dyDescent="0.2">
      <c r="A300" s="150" t="s">
        <v>1590</v>
      </c>
      <c r="B300" s="9" t="s">
        <v>3290</v>
      </c>
      <c r="C300" s="9" t="s">
        <v>3291</v>
      </c>
      <c r="D300" s="252">
        <v>1.28</v>
      </c>
      <c r="E300" s="221">
        <v>803</v>
      </c>
      <c r="F300" s="246">
        <v>800</v>
      </c>
      <c r="G300" s="247">
        <v>589</v>
      </c>
      <c r="H300" s="248">
        <v>573</v>
      </c>
      <c r="I300" s="249">
        <v>688</v>
      </c>
      <c r="J300" s="122" t="b">
        <f>IF(ISBLANK(CertifiedCrop[[#This Row],[1. Identifiant interne d’exploitation agricole*]]),"",IF(ISERROR(MATCH(CertifiedCrop[[#This Row],[1. Identifiant interne d’exploitation agricole*]],GroupMember[1. Identifiant interne d’exploitation agricole*],0)),FALSE,TRUE))</f>
        <v>1</v>
      </c>
      <c r="K300" s="122" t="b">
        <f t="array" ref="K300">IF(ISBLANK(CertifiedCrop[[#This Row],[2. Produit agricole certifié*]]),"",IF(ISERROR(MATCH(1,(#REF!=CertifiedCrop[[#This Row],[2. Produit agricole certifié*]])*(#REF!=CertifiedCrop[[#This Row],[3. Variété**]]),0)),FALSE,TRUE))</f>
        <v>0</v>
      </c>
      <c r="L300" s="20" t="str">
        <f t="shared" si="20"/>
        <v/>
      </c>
      <c r="M300" s="54" t="str">
        <f t="shared" si="21"/>
        <v>!</v>
      </c>
      <c r="N300" s="54" t="str">
        <f t="shared" si="22"/>
        <v/>
      </c>
      <c r="O300" s="55">
        <f t="shared" si="23"/>
        <v>627.34375</v>
      </c>
      <c r="P300" s="55">
        <f t="shared" si="24"/>
        <v>625</v>
      </c>
      <c r="Q300" s="9" t="str">
        <f ca="1">IFERROR((VLOOKUP(A300,GM_Table,8,FALSE)-SUMIFS(D:D,A:A,A300,B:B,B300,C:C,C300)),"")</f>
        <v/>
      </c>
      <c r="R300" s="9" t="str">
        <f ca="1">IFERROR(CONCATENATE(VLOOKUP(A300,GM_Table,12,FALSE)," ",(VLOOKUP(A300,GM_Table,13,FALSE))),"")</f>
        <v/>
      </c>
    </row>
    <row r="301" spans="1:18" ht="15" x14ac:dyDescent="0.2">
      <c r="A301" s="150" t="s">
        <v>1592</v>
      </c>
      <c r="B301" s="9" t="s">
        <v>3290</v>
      </c>
      <c r="C301" s="9" t="s">
        <v>3291</v>
      </c>
      <c r="D301" s="252">
        <v>1.02</v>
      </c>
      <c r="E301" s="221">
        <v>562</v>
      </c>
      <c r="F301" s="246">
        <v>550</v>
      </c>
      <c r="G301" s="247">
        <v>359</v>
      </c>
      <c r="H301" s="248">
        <v>397</v>
      </c>
      <c r="I301" s="249">
        <v>514</v>
      </c>
      <c r="J301" s="122" t="b">
        <f>IF(ISBLANK(CertifiedCrop[[#This Row],[1. Identifiant interne d’exploitation agricole*]]),"",IF(ISERROR(MATCH(CertifiedCrop[[#This Row],[1. Identifiant interne d’exploitation agricole*]],GroupMember[1. Identifiant interne d’exploitation agricole*],0)),FALSE,TRUE))</f>
        <v>1</v>
      </c>
      <c r="K301" s="122" t="b">
        <f t="array" ref="K301">IF(ISBLANK(CertifiedCrop[[#This Row],[2. Produit agricole certifié*]]),"",IF(ISERROR(MATCH(1,(#REF!=CertifiedCrop[[#This Row],[2. Produit agricole certifié*]])*(#REF!=CertifiedCrop[[#This Row],[3. Variété**]]),0)),FALSE,TRUE))</f>
        <v>0</v>
      </c>
      <c r="L301" s="20" t="str">
        <f t="shared" si="20"/>
        <v/>
      </c>
      <c r="M301" s="54" t="str">
        <f t="shared" si="21"/>
        <v>!</v>
      </c>
      <c r="N301" s="54" t="str">
        <f t="shared" si="22"/>
        <v/>
      </c>
      <c r="O301" s="55">
        <f t="shared" si="23"/>
        <v>550.98039215686276</v>
      </c>
      <c r="P301" s="55">
        <f t="shared" si="24"/>
        <v>539.21568627450984</v>
      </c>
      <c r="Q301" s="9" t="str">
        <f ca="1">IFERROR((VLOOKUP(A301,GM_Table,8,FALSE)-SUMIFS(D:D,A:A,A301,B:B,B301,C:C,C301)),"")</f>
        <v/>
      </c>
      <c r="R301" s="9" t="str">
        <f ca="1">IFERROR(CONCATENATE(VLOOKUP(A301,GM_Table,12,FALSE)," ",(VLOOKUP(A301,GM_Table,13,FALSE))),"")</f>
        <v/>
      </c>
    </row>
    <row r="302" spans="1:18" ht="15" x14ac:dyDescent="0.2">
      <c r="A302" s="150" t="s">
        <v>1596</v>
      </c>
      <c r="B302" s="9" t="s">
        <v>3290</v>
      </c>
      <c r="C302" s="9" t="s">
        <v>3291</v>
      </c>
      <c r="D302" s="252">
        <v>1.47</v>
      </c>
      <c r="E302" s="221">
        <v>863</v>
      </c>
      <c r="F302" s="246">
        <v>850</v>
      </c>
      <c r="G302" s="247">
        <v>516</v>
      </c>
      <c r="H302" s="248">
        <v>757</v>
      </c>
      <c r="I302" s="249">
        <v>823</v>
      </c>
      <c r="J302" s="122" t="b">
        <f>IF(ISBLANK(CertifiedCrop[[#This Row],[1. Identifiant interne d’exploitation agricole*]]),"",IF(ISERROR(MATCH(CertifiedCrop[[#This Row],[1. Identifiant interne d’exploitation agricole*]],GroupMember[1. Identifiant interne d’exploitation agricole*],0)),FALSE,TRUE))</f>
        <v>1</v>
      </c>
      <c r="K302" s="122" t="b">
        <f t="array" ref="K302">IF(ISBLANK(CertifiedCrop[[#This Row],[2. Produit agricole certifié*]]),"",IF(ISERROR(MATCH(1,(#REF!=CertifiedCrop[[#This Row],[2. Produit agricole certifié*]])*(#REF!=CertifiedCrop[[#This Row],[3. Variété**]]),0)),FALSE,TRUE))</f>
        <v>0</v>
      </c>
      <c r="L302" s="20" t="str">
        <f t="shared" si="20"/>
        <v/>
      </c>
      <c r="M302" s="54" t="str">
        <f t="shared" si="21"/>
        <v>!</v>
      </c>
      <c r="N302" s="54" t="str">
        <f t="shared" si="22"/>
        <v>!</v>
      </c>
      <c r="O302" s="55">
        <f t="shared" si="23"/>
        <v>587.07482993197277</v>
      </c>
      <c r="P302" s="55">
        <f t="shared" si="24"/>
        <v>578.23129251700686</v>
      </c>
      <c r="Q302" s="9" t="str">
        <f ca="1">IFERROR((VLOOKUP(A302,GM_Table,8,FALSE)-SUMIFS(D:D,A:A,A302,B:B,B302,C:C,C302)),"")</f>
        <v/>
      </c>
      <c r="R302" s="9" t="str">
        <f ca="1">IFERROR(CONCATENATE(VLOOKUP(A302,GM_Table,12,FALSE)," ",(VLOOKUP(A302,GM_Table,13,FALSE))),"")</f>
        <v/>
      </c>
    </row>
    <row r="303" spans="1:18" ht="15" x14ac:dyDescent="0.2">
      <c r="A303" s="150" t="s">
        <v>1600</v>
      </c>
      <c r="B303" s="9" t="s">
        <v>3290</v>
      </c>
      <c r="C303" s="9" t="s">
        <v>3291</v>
      </c>
      <c r="D303" s="252">
        <v>1.45</v>
      </c>
      <c r="E303" s="221">
        <v>839</v>
      </c>
      <c r="F303" s="246">
        <v>814</v>
      </c>
      <c r="G303" s="247">
        <v>759</v>
      </c>
      <c r="H303" s="248">
        <v>454</v>
      </c>
      <c r="I303" s="249">
        <v>608</v>
      </c>
      <c r="J303" s="122" t="b">
        <f>IF(ISBLANK(CertifiedCrop[[#This Row],[1. Identifiant interne d’exploitation agricole*]]),"",IF(ISERROR(MATCH(CertifiedCrop[[#This Row],[1. Identifiant interne d’exploitation agricole*]],GroupMember[1. Identifiant interne d’exploitation agricole*],0)),FALSE,TRUE))</f>
        <v>1</v>
      </c>
      <c r="K303" s="122" t="b">
        <f t="array" ref="K303">IF(ISBLANK(CertifiedCrop[[#This Row],[2. Produit agricole certifié*]]),"",IF(ISERROR(MATCH(1,(#REF!=CertifiedCrop[[#This Row],[2. Produit agricole certifié*]])*(#REF!=CertifiedCrop[[#This Row],[3. Variété**]]),0)),FALSE,TRUE))</f>
        <v>0</v>
      </c>
      <c r="L303" s="20" t="str">
        <f t="shared" si="20"/>
        <v/>
      </c>
      <c r="M303" s="54" t="str">
        <f t="shared" si="21"/>
        <v/>
      </c>
      <c r="N303" s="54" t="str">
        <f t="shared" si="22"/>
        <v>!</v>
      </c>
      <c r="O303" s="55">
        <f t="shared" si="23"/>
        <v>578.62068965517244</v>
      </c>
      <c r="P303" s="55">
        <f t="shared" si="24"/>
        <v>561.37931034482756</v>
      </c>
      <c r="Q303" s="9" t="str">
        <f ca="1">IFERROR((VLOOKUP(A303,GM_Table,8,FALSE)-SUMIFS(D:D,A:A,A303,B:B,B303,C:C,C303)),"")</f>
        <v/>
      </c>
      <c r="R303" s="9" t="str">
        <f ca="1">IFERROR(CONCATENATE(VLOOKUP(A303,GM_Table,12,FALSE)," ",(VLOOKUP(A303,GM_Table,13,FALSE))),"")</f>
        <v/>
      </c>
    </row>
    <row r="304" spans="1:18" ht="15" x14ac:dyDescent="0.2">
      <c r="A304" s="150" t="s">
        <v>1604</v>
      </c>
      <c r="B304" s="9" t="s">
        <v>3290</v>
      </c>
      <c r="C304" s="9" t="s">
        <v>3291</v>
      </c>
      <c r="D304" s="252">
        <v>0.94</v>
      </c>
      <c r="E304" s="221">
        <v>589</v>
      </c>
      <c r="F304" s="246">
        <v>565</v>
      </c>
      <c r="G304" s="247">
        <v>365</v>
      </c>
      <c r="H304" s="248">
        <v>326</v>
      </c>
      <c r="I304" s="249">
        <v>501</v>
      </c>
      <c r="J304" s="122" t="b">
        <f>IF(ISBLANK(CertifiedCrop[[#This Row],[1. Identifiant interne d’exploitation agricole*]]),"",IF(ISERROR(MATCH(CertifiedCrop[[#This Row],[1. Identifiant interne d’exploitation agricole*]],GroupMember[1. Identifiant interne d’exploitation agricole*],0)),FALSE,TRUE))</f>
        <v>1</v>
      </c>
      <c r="K304" s="122" t="b">
        <f t="array" ref="K304">IF(ISBLANK(CertifiedCrop[[#This Row],[2. Produit agricole certifié*]]),"",IF(ISERROR(MATCH(1,(#REF!=CertifiedCrop[[#This Row],[2. Produit agricole certifié*]])*(#REF!=CertifiedCrop[[#This Row],[3. Variété**]]),0)),FALSE,TRUE))</f>
        <v>0</v>
      </c>
      <c r="L304" s="20" t="str">
        <f t="shared" si="20"/>
        <v/>
      </c>
      <c r="M304" s="54" t="str">
        <f t="shared" si="21"/>
        <v>!</v>
      </c>
      <c r="N304" s="54" t="str">
        <f t="shared" si="22"/>
        <v/>
      </c>
      <c r="O304" s="55">
        <f t="shared" si="23"/>
        <v>626.59574468085111</v>
      </c>
      <c r="P304" s="55">
        <f t="shared" si="24"/>
        <v>601.06382978723411</v>
      </c>
      <c r="Q304" s="9" t="str">
        <f ca="1">IFERROR((VLOOKUP(A304,GM_Table,8,FALSE)-SUMIFS(D:D,A:A,A304,B:B,B304,C:C,C304)),"")</f>
        <v/>
      </c>
      <c r="R304" s="9" t="str">
        <f ca="1">IFERROR(CONCATENATE(VLOOKUP(A304,GM_Table,12,FALSE)," ",(VLOOKUP(A304,GM_Table,13,FALSE))),"")</f>
        <v/>
      </c>
    </row>
    <row r="305" spans="1:18" ht="15" x14ac:dyDescent="0.2">
      <c r="A305" s="150" t="s">
        <v>1608</v>
      </c>
      <c r="B305" s="9" t="s">
        <v>3290</v>
      </c>
      <c r="C305" s="9" t="s">
        <v>3291</v>
      </c>
      <c r="D305" s="252">
        <v>1.71</v>
      </c>
      <c r="E305" s="245">
        <v>1032</v>
      </c>
      <c r="F305" s="246">
        <v>1025</v>
      </c>
      <c r="G305" s="247">
        <v>1020</v>
      </c>
      <c r="H305" s="248">
        <v>679</v>
      </c>
      <c r="I305" s="249">
        <v>716</v>
      </c>
      <c r="J305" s="122" t="b">
        <f>IF(ISBLANK(CertifiedCrop[[#This Row],[1. Identifiant interne d’exploitation agricole*]]),"",IF(ISERROR(MATCH(CertifiedCrop[[#This Row],[1. Identifiant interne d’exploitation agricole*]],GroupMember[1. Identifiant interne d’exploitation agricole*],0)),FALSE,TRUE))</f>
        <v>1</v>
      </c>
      <c r="K305" s="122" t="b">
        <f t="array" ref="K305">IF(ISBLANK(CertifiedCrop[[#This Row],[2. Produit agricole certifié*]]),"",IF(ISERROR(MATCH(1,(#REF!=CertifiedCrop[[#This Row],[2. Produit agricole certifié*]])*(#REF!=CertifiedCrop[[#This Row],[3. Variété**]]),0)),FALSE,TRUE))</f>
        <v>0</v>
      </c>
      <c r="L305" s="20" t="str">
        <f t="shared" si="20"/>
        <v/>
      </c>
      <c r="M305" s="54" t="str">
        <f t="shared" si="21"/>
        <v/>
      </c>
      <c r="N305" s="54" t="str">
        <f t="shared" si="22"/>
        <v>!</v>
      </c>
      <c r="O305" s="55">
        <f t="shared" si="23"/>
        <v>603.50877192982455</v>
      </c>
      <c r="P305" s="55">
        <f t="shared" si="24"/>
        <v>599.41520467836256</v>
      </c>
      <c r="Q305" s="9" t="str">
        <f ca="1">IFERROR((VLOOKUP(A305,GM_Table,8,FALSE)-SUMIFS(D:D,A:A,A305,B:B,B305,C:C,C305)),"")</f>
        <v/>
      </c>
      <c r="R305" s="9" t="str">
        <f ca="1">IFERROR(CONCATENATE(VLOOKUP(A305,GM_Table,12,FALSE)," ",(VLOOKUP(A305,GM_Table,13,FALSE))),"")</f>
        <v/>
      </c>
    </row>
    <row r="306" spans="1:18" ht="15" x14ac:dyDescent="0.2">
      <c r="A306" s="150" t="s">
        <v>1610</v>
      </c>
      <c r="B306" s="9" t="s">
        <v>3290</v>
      </c>
      <c r="C306" s="9" t="s">
        <v>3291</v>
      </c>
      <c r="D306" s="252">
        <v>0.92</v>
      </c>
      <c r="E306" s="221">
        <v>564</v>
      </c>
      <c r="F306" s="246">
        <v>540</v>
      </c>
      <c r="G306" s="247">
        <v>447</v>
      </c>
      <c r="H306" s="248">
        <v>357</v>
      </c>
      <c r="I306" s="249">
        <v>523</v>
      </c>
      <c r="J306" s="122" t="b">
        <f>IF(ISBLANK(CertifiedCrop[[#This Row],[1. Identifiant interne d’exploitation agricole*]]),"",IF(ISERROR(MATCH(CertifiedCrop[[#This Row],[1. Identifiant interne d’exploitation agricole*]],GroupMember[1. Identifiant interne d’exploitation agricole*],0)),FALSE,TRUE))</f>
        <v>1</v>
      </c>
      <c r="K306" s="122" t="b">
        <f t="array" ref="K306">IF(ISBLANK(CertifiedCrop[[#This Row],[2. Produit agricole certifié*]]),"",IF(ISERROR(MATCH(1,(#REF!=CertifiedCrop[[#This Row],[2. Produit agricole certifié*]])*(#REF!=CertifiedCrop[[#This Row],[3. Variété**]]),0)),FALSE,TRUE))</f>
        <v>0</v>
      </c>
      <c r="L306" s="20" t="str">
        <f t="shared" si="20"/>
        <v/>
      </c>
      <c r="M306" s="54" t="str">
        <f t="shared" si="21"/>
        <v/>
      </c>
      <c r="N306" s="54" t="str">
        <f t="shared" si="22"/>
        <v>!</v>
      </c>
      <c r="O306" s="55">
        <f t="shared" si="23"/>
        <v>613.04347826086951</v>
      </c>
      <c r="P306" s="55">
        <f t="shared" si="24"/>
        <v>586.95652173913038</v>
      </c>
      <c r="Q306" s="9" t="str">
        <f ca="1">IFERROR((VLOOKUP(A306,GM_Table,8,FALSE)-SUMIFS(D:D,A:A,A306,B:B,B306,C:C,C306)),"")</f>
        <v/>
      </c>
      <c r="R306" s="9" t="str">
        <f ca="1">IFERROR(CONCATENATE(VLOOKUP(A306,GM_Table,12,FALSE)," ",(VLOOKUP(A306,GM_Table,13,FALSE))),"")</f>
        <v/>
      </c>
    </row>
    <row r="307" spans="1:18" ht="15" x14ac:dyDescent="0.2">
      <c r="A307" s="150" t="s">
        <v>1612</v>
      </c>
      <c r="B307" s="9" t="s">
        <v>3290</v>
      </c>
      <c r="C307" s="9" t="s">
        <v>3291</v>
      </c>
      <c r="D307" s="252">
        <v>1.63</v>
      </c>
      <c r="E307" s="245">
        <v>1001</v>
      </c>
      <c r="F307" s="246">
        <v>984</v>
      </c>
      <c r="G307" s="247">
        <v>777</v>
      </c>
      <c r="H307" s="248">
        <v>834</v>
      </c>
      <c r="I307" s="249">
        <v>716</v>
      </c>
      <c r="J307" s="122" t="b">
        <f>IF(ISBLANK(CertifiedCrop[[#This Row],[1. Identifiant interne d’exploitation agricole*]]),"",IF(ISERROR(MATCH(CertifiedCrop[[#This Row],[1. Identifiant interne d’exploitation agricole*]],GroupMember[1. Identifiant interne d’exploitation agricole*],0)),FALSE,TRUE))</f>
        <v>1</v>
      </c>
      <c r="K307" s="122" t="b">
        <f t="array" ref="K307">IF(ISBLANK(CertifiedCrop[[#This Row],[2. Produit agricole certifié*]]),"",IF(ISERROR(MATCH(1,(#REF!=CertifiedCrop[[#This Row],[2. Produit agricole certifié*]])*(#REF!=CertifiedCrop[[#This Row],[3. Variété**]]),0)),FALSE,TRUE))</f>
        <v>0</v>
      </c>
      <c r="L307" s="20" t="str">
        <f t="shared" ref="L307:L370" si="25">IF((F307-G307)&lt;0,"!","")</f>
        <v/>
      </c>
      <c r="M307" s="54" t="str">
        <f t="shared" ref="M307:M370" si="26">IFERROR(IF((F307-G307)/G307&gt;25%,"!",IF((F307-G307)/G307&lt;-25%,"!","")),"")</f>
        <v>!</v>
      </c>
      <c r="N307" s="54" t="str">
        <f t="shared" ref="N307:N370" si="27">IFERROR(IF((G307-H307)/H307&gt;25%,"!",IF((G307-H307)/H307&lt;-25%,"!","")),"")</f>
        <v/>
      </c>
      <c r="O307" s="55">
        <f t="shared" ref="O307:O370" si="28">IFERROR(E307/D307,"")</f>
        <v>614.11042944785277</v>
      </c>
      <c r="P307" s="55">
        <f t="shared" ref="P307:P370" si="29">IFERROR(F307/D307,"")</f>
        <v>603.68098159509202</v>
      </c>
      <c r="Q307" s="9" t="str">
        <f ca="1">IFERROR((VLOOKUP(A307,GM_Table,8,FALSE)-SUMIFS(D:D,A:A,A307,B:B,B307,C:C,C307)),"")</f>
        <v/>
      </c>
      <c r="R307" s="9" t="str">
        <f ca="1">IFERROR(CONCATENATE(VLOOKUP(A307,GM_Table,12,FALSE)," ",(VLOOKUP(A307,GM_Table,13,FALSE))),"")</f>
        <v/>
      </c>
    </row>
    <row r="308" spans="1:18" ht="15" x14ac:dyDescent="0.2">
      <c r="A308" s="150" t="s">
        <v>1614</v>
      </c>
      <c r="B308" s="9" t="s">
        <v>3290</v>
      </c>
      <c r="C308" s="9" t="s">
        <v>3291</v>
      </c>
      <c r="D308" s="252">
        <v>1.47</v>
      </c>
      <c r="E308" s="221">
        <v>906</v>
      </c>
      <c r="F308" s="246">
        <v>887</v>
      </c>
      <c r="G308" s="247">
        <v>563</v>
      </c>
      <c r="H308" s="248">
        <v>742</v>
      </c>
      <c r="I308" s="249">
        <v>854</v>
      </c>
      <c r="J308" s="122" t="b">
        <f>IF(ISBLANK(CertifiedCrop[[#This Row],[1. Identifiant interne d’exploitation agricole*]]),"",IF(ISERROR(MATCH(CertifiedCrop[[#This Row],[1. Identifiant interne d’exploitation agricole*]],GroupMember[1. Identifiant interne d’exploitation agricole*],0)),FALSE,TRUE))</f>
        <v>1</v>
      </c>
      <c r="K308" s="122" t="b">
        <f t="array" ref="K308">IF(ISBLANK(CertifiedCrop[[#This Row],[2. Produit agricole certifié*]]),"",IF(ISERROR(MATCH(1,(#REF!=CertifiedCrop[[#This Row],[2. Produit agricole certifié*]])*(#REF!=CertifiedCrop[[#This Row],[3. Variété**]]),0)),FALSE,TRUE))</f>
        <v>0</v>
      </c>
      <c r="L308" s="20" t="str">
        <f t="shared" si="25"/>
        <v/>
      </c>
      <c r="M308" s="54" t="str">
        <f t="shared" si="26"/>
        <v>!</v>
      </c>
      <c r="N308" s="54" t="str">
        <f t="shared" si="27"/>
        <v/>
      </c>
      <c r="O308" s="55">
        <f t="shared" si="28"/>
        <v>616.32653061224494</v>
      </c>
      <c r="P308" s="55">
        <f t="shared" si="29"/>
        <v>603.40136054421771</v>
      </c>
      <c r="Q308" s="9" t="str">
        <f ca="1">IFERROR((VLOOKUP(A308,GM_Table,8,FALSE)-SUMIFS(D:D,A:A,A308,B:B,B308,C:C,C308)),"")</f>
        <v/>
      </c>
      <c r="R308" s="9" t="str">
        <f ca="1">IFERROR(CONCATENATE(VLOOKUP(A308,GM_Table,12,FALSE)," ",(VLOOKUP(A308,GM_Table,13,FALSE))),"")</f>
        <v/>
      </c>
    </row>
    <row r="309" spans="1:18" ht="15" x14ac:dyDescent="0.2">
      <c r="A309" s="150" t="s">
        <v>1615</v>
      </c>
      <c r="B309" s="9" t="s">
        <v>3290</v>
      </c>
      <c r="C309" s="9" t="s">
        <v>3291</v>
      </c>
      <c r="D309" s="252">
        <v>1.98</v>
      </c>
      <c r="E309" s="245">
        <v>1231</v>
      </c>
      <c r="F309" s="246">
        <v>1125</v>
      </c>
      <c r="G309" s="247">
        <v>1125</v>
      </c>
      <c r="H309" s="248">
        <v>611</v>
      </c>
      <c r="I309" s="249">
        <v>994</v>
      </c>
      <c r="J309" s="122" t="b">
        <f>IF(ISBLANK(CertifiedCrop[[#This Row],[1. Identifiant interne d’exploitation agricole*]]),"",IF(ISERROR(MATCH(CertifiedCrop[[#This Row],[1. Identifiant interne d’exploitation agricole*]],GroupMember[1. Identifiant interne d’exploitation agricole*],0)),FALSE,TRUE))</f>
        <v>1</v>
      </c>
      <c r="K309" s="122" t="b">
        <f t="array" ref="K309">IF(ISBLANK(CertifiedCrop[[#This Row],[2. Produit agricole certifié*]]),"",IF(ISERROR(MATCH(1,(#REF!=CertifiedCrop[[#This Row],[2. Produit agricole certifié*]])*(#REF!=CertifiedCrop[[#This Row],[3. Variété**]]),0)),FALSE,TRUE))</f>
        <v>0</v>
      </c>
      <c r="L309" s="20" t="str">
        <f t="shared" si="25"/>
        <v/>
      </c>
      <c r="M309" s="54" t="str">
        <f t="shared" si="26"/>
        <v/>
      </c>
      <c r="N309" s="54" t="str">
        <f t="shared" si="27"/>
        <v>!</v>
      </c>
      <c r="O309" s="55">
        <f t="shared" si="28"/>
        <v>621.71717171717171</v>
      </c>
      <c r="P309" s="55">
        <f t="shared" si="29"/>
        <v>568.18181818181813</v>
      </c>
      <c r="Q309" s="9" t="str">
        <f ca="1">IFERROR((VLOOKUP(A309,GM_Table,8,FALSE)-SUMIFS(D:D,A:A,A309,B:B,B309,C:C,C309)),"")</f>
        <v/>
      </c>
      <c r="R309" s="9" t="str">
        <f ca="1">IFERROR(CONCATENATE(VLOOKUP(A309,GM_Table,12,FALSE)," ",(VLOOKUP(A309,GM_Table,13,FALSE))),"")</f>
        <v/>
      </c>
    </row>
    <row r="310" spans="1:18" ht="15" x14ac:dyDescent="0.2">
      <c r="A310" s="150" t="s">
        <v>1617</v>
      </c>
      <c r="B310" s="9" t="s">
        <v>3290</v>
      </c>
      <c r="C310" s="9" t="s">
        <v>3291</v>
      </c>
      <c r="D310" s="252">
        <v>3.22</v>
      </c>
      <c r="E310" s="245">
        <v>2018</v>
      </c>
      <c r="F310" s="246">
        <v>1965</v>
      </c>
      <c r="G310" s="247">
        <v>828</v>
      </c>
      <c r="H310" s="248">
        <v>1290</v>
      </c>
      <c r="I310" s="249">
        <v>1287</v>
      </c>
      <c r="J310" s="122" t="b">
        <f>IF(ISBLANK(CertifiedCrop[[#This Row],[1. Identifiant interne d’exploitation agricole*]]),"",IF(ISERROR(MATCH(CertifiedCrop[[#This Row],[1. Identifiant interne d’exploitation agricole*]],GroupMember[1. Identifiant interne d’exploitation agricole*],0)),FALSE,TRUE))</f>
        <v>1</v>
      </c>
      <c r="K310" s="122" t="b">
        <f t="array" ref="K310">IF(ISBLANK(CertifiedCrop[[#This Row],[2. Produit agricole certifié*]]),"",IF(ISERROR(MATCH(1,(#REF!=CertifiedCrop[[#This Row],[2. Produit agricole certifié*]])*(#REF!=CertifiedCrop[[#This Row],[3. Variété**]]),0)),FALSE,TRUE))</f>
        <v>0</v>
      </c>
      <c r="L310" s="20" t="str">
        <f t="shared" si="25"/>
        <v/>
      </c>
      <c r="M310" s="54" t="str">
        <f t="shared" si="26"/>
        <v>!</v>
      </c>
      <c r="N310" s="54" t="str">
        <f t="shared" si="27"/>
        <v>!</v>
      </c>
      <c r="O310" s="55">
        <f t="shared" si="28"/>
        <v>626.70807453416148</v>
      </c>
      <c r="P310" s="55">
        <f t="shared" si="29"/>
        <v>610.2484472049689</v>
      </c>
      <c r="Q310" s="9" t="str">
        <f ca="1">IFERROR((VLOOKUP(A310,GM_Table,8,FALSE)-SUMIFS(D:D,A:A,A310,B:B,B310,C:C,C310)),"")</f>
        <v/>
      </c>
      <c r="R310" s="9" t="str">
        <f ca="1">IFERROR(CONCATENATE(VLOOKUP(A310,GM_Table,12,FALSE)," ",(VLOOKUP(A310,GM_Table,13,FALSE))),"")</f>
        <v/>
      </c>
    </row>
    <row r="311" spans="1:18" ht="15" x14ac:dyDescent="0.2">
      <c r="A311" s="150" t="s">
        <v>1619</v>
      </c>
      <c r="B311" s="9" t="s">
        <v>3290</v>
      </c>
      <c r="C311" s="9" t="s">
        <v>3291</v>
      </c>
      <c r="D311" s="252">
        <v>5</v>
      </c>
      <c r="E311" s="245">
        <v>2932</v>
      </c>
      <c r="F311" s="246">
        <v>2874</v>
      </c>
      <c r="G311" s="247">
        <v>2182</v>
      </c>
      <c r="H311" s="248">
        <v>2617</v>
      </c>
      <c r="I311" s="249">
        <v>2727</v>
      </c>
      <c r="J311" s="122" t="b">
        <f>IF(ISBLANK(CertifiedCrop[[#This Row],[1. Identifiant interne d’exploitation agricole*]]),"",IF(ISERROR(MATCH(CertifiedCrop[[#This Row],[1. Identifiant interne d’exploitation agricole*]],GroupMember[1. Identifiant interne d’exploitation agricole*],0)),FALSE,TRUE))</f>
        <v>1</v>
      </c>
      <c r="K311" s="122" t="b">
        <f t="array" ref="K311">IF(ISBLANK(CertifiedCrop[[#This Row],[2. Produit agricole certifié*]]),"",IF(ISERROR(MATCH(1,(#REF!=CertifiedCrop[[#This Row],[2. Produit agricole certifié*]])*(#REF!=CertifiedCrop[[#This Row],[3. Variété**]]),0)),FALSE,TRUE))</f>
        <v>0</v>
      </c>
      <c r="L311" s="20" t="str">
        <f t="shared" si="25"/>
        <v/>
      </c>
      <c r="M311" s="54" t="str">
        <f t="shared" si="26"/>
        <v>!</v>
      </c>
      <c r="N311" s="54" t="str">
        <f t="shared" si="27"/>
        <v/>
      </c>
      <c r="O311" s="55">
        <f t="shared" si="28"/>
        <v>586.4</v>
      </c>
      <c r="P311" s="55">
        <f t="shared" si="29"/>
        <v>574.79999999999995</v>
      </c>
      <c r="Q311" s="9" t="str">
        <f ca="1">IFERROR((VLOOKUP(A311,GM_Table,8,FALSE)-SUMIFS(D:D,A:A,A311,B:B,B311,C:C,C311)),"")</f>
        <v/>
      </c>
      <c r="R311" s="9" t="str">
        <f ca="1">IFERROR(CONCATENATE(VLOOKUP(A311,GM_Table,12,FALSE)," ",(VLOOKUP(A311,GM_Table,13,FALSE))),"")</f>
        <v/>
      </c>
    </row>
    <row r="312" spans="1:18" ht="15" x14ac:dyDescent="0.2">
      <c r="A312" s="150" t="s">
        <v>1623</v>
      </c>
      <c r="B312" s="9" t="s">
        <v>3290</v>
      </c>
      <c r="C312" s="9" t="s">
        <v>3291</v>
      </c>
      <c r="D312" s="252">
        <v>1.42</v>
      </c>
      <c r="E312" s="221">
        <v>806</v>
      </c>
      <c r="F312" s="246">
        <v>795</v>
      </c>
      <c r="G312" s="247">
        <v>477</v>
      </c>
      <c r="H312" s="248">
        <v>679</v>
      </c>
      <c r="I312" s="249">
        <v>753</v>
      </c>
      <c r="J312" s="122" t="b">
        <f>IF(ISBLANK(CertifiedCrop[[#This Row],[1. Identifiant interne d’exploitation agricole*]]),"",IF(ISERROR(MATCH(CertifiedCrop[[#This Row],[1. Identifiant interne d’exploitation agricole*]],GroupMember[1. Identifiant interne d’exploitation agricole*],0)),FALSE,TRUE))</f>
        <v>1</v>
      </c>
      <c r="K312" s="122" t="b">
        <f t="array" ref="K312">IF(ISBLANK(CertifiedCrop[[#This Row],[2. Produit agricole certifié*]]),"",IF(ISERROR(MATCH(1,(#REF!=CertifiedCrop[[#This Row],[2. Produit agricole certifié*]])*(#REF!=CertifiedCrop[[#This Row],[3. Variété**]]),0)),FALSE,TRUE))</f>
        <v>0</v>
      </c>
      <c r="L312" s="20" t="str">
        <f t="shared" si="25"/>
        <v/>
      </c>
      <c r="M312" s="54" t="str">
        <f t="shared" si="26"/>
        <v>!</v>
      </c>
      <c r="N312" s="54" t="str">
        <f t="shared" si="27"/>
        <v>!</v>
      </c>
      <c r="O312" s="55">
        <f t="shared" si="28"/>
        <v>567.6056338028169</v>
      </c>
      <c r="P312" s="55">
        <f t="shared" si="29"/>
        <v>559.85915492957747</v>
      </c>
      <c r="Q312" s="9" t="str">
        <f ca="1">IFERROR((VLOOKUP(A312,GM_Table,8,FALSE)-SUMIFS(D:D,A:A,A312,B:B,B312,C:C,C312)),"")</f>
        <v/>
      </c>
      <c r="R312" s="9" t="str">
        <f ca="1">IFERROR(CONCATENATE(VLOOKUP(A312,GM_Table,12,FALSE)," ",(VLOOKUP(A312,GM_Table,13,FALSE))),"")</f>
        <v/>
      </c>
    </row>
    <row r="313" spans="1:18" ht="15" x14ac:dyDescent="0.2">
      <c r="A313" s="150" t="s">
        <v>1625</v>
      </c>
      <c r="B313" s="9" t="s">
        <v>3290</v>
      </c>
      <c r="C313" s="9" t="s">
        <v>3291</v>
      </c>
      <c r="D313" s="252">
        <v>2</v>
      </c>
      <c r="E313" s="245">
        <v>1155</v>
      </c>
      <c r="F313" s="246">
        <v>1095</v>
      </c>
      <c r="G313" s="247">
        <v>982</v>
      </c>
      <c r="H313" s="248">
        <v>794</v>
      </c>
      <c r="I313" s="249">
        <v>845</v>
      </c>
      <c r="J313" s="122" t="b">
        <f>IF(ISBLANK(CertifiedCrop[[#This Row],[1. Identifiant interne d’exploitation agricole*]]),"",IF(ISERROR(MATCH(CertifiedCrop[[#This Row],[1. Identifiant interne d’exploitation agricole*]],GroupMember[1. Identifiant interne d’exploitation agricole*],0)),FALSE,TRUE))</f>
        <v>1</v>
      </c>
      <c r="K313" s="122" t="b">
        <f t="array" ref="K313">IF(ISBLANK(CertifiedCrop[[#This Row],[2. Produit agricole certifié*]]),"",IF(ISERROR(MATCH(1,(#REF!=CertifiedCrop[[#This Row],[2. Produit agricole certifié*]])*(#REF!=CertifiedCrop[[#This Row],[3. Variété**]]),0)),FALSE,TRUE))</f>
        <v>0</v>
      </c>
      <c r="L313" s="20" t="str">
        <f t="shared" si="25"/>
        <v/>
      </c>
      <c r="M313" s="54" t="str">
        <f t="shared" si="26"/>
        <v/>
      </c>
      <c r="N313" s="54" t="str">
        <f t="shared" si="27"/>
        <v/>
      </c>
      <c r="O313" s="55">
        <f t="shared" si="28"/>
        <v>577.5</v>
      </c>
      <c r="P313" s="55">
        <f t="shared" si="29"/>
        <v>547.5</v>
      </c>
      <c r="Q313" s="9" t="str">
        <f ca="1">IFERROR((VLOOKUP(A313,GM_Table,8,FALSE)-SUMIFS(D:D,A:A,A313,B:B,B313,C:C,C313)),"")</f>
        <v/>
      </c>
      <c r="R313" s="9" t="str">
        <f ca="1">IFERROR(CONCATENATE(VLOOKUP(A313,GM_Table,12,FALSE)," ",(VLOOKUP(A313,GM_Table,13,FALSE))),"")</f>
        <v/>
      </c>
    </row>
    <row r="314" spans="1:18" ht="15" x14ac:dyDescent="0.2">
      <c r="A314" s="150" t="s">
        <v>1628</v>
      </c>
      <c r="B314" s="9" t="s">
        <v>3290</v>
      </c>
      <c r="C314" s="9" t="s">
        <v>3291</v>
      </c>
      <c r="D314" s="252">
        <v>2.12</v>
      </c>
      <c r="E314" s="245">
        <v>1226</v>
      </c>
      <c r="F314" s="246">
        <v>1245</v>
      </c>
      <c r="G314" s="247">
        <v>873</v>
      </c>
      <c r="H314" s="248">
        <v>1018</v>
      </c>
      <c r="I314" s="249">
        <v>906</v>
      </c>
      <c r="J314" s="122" t="b">
        <f>IF(ISBLANK(CertifiedCrop[[#This Row],[1. Identifiant interne d’exploitation agricole*]]),"",IF(ISERROR(MATCH(CertifiedCrop[[#This Row],[1. Identifiant interne d’exploitation agricole*]],GroupMember[1. Identifiant interne d’exploitation agricole*],0)),FALSE,TRUE))</f>
        <v>1</v>
      </c>
      <c r="K314" s="122" t="b">
        <f t="array" ref="K314">IF(ISBLANK(CertifiedCrop[[#This Row],[2. Produit agricole certifié*]]),"",IF(ISERROR(MATCH(1,(#REF!=CertifiedCrop[[#This Row],[2. Produit agricole certifié*]])*(#REF!=CertifiedCrop[[#This Row],[3. Variété**]]),0)),FALSE,TRUE))</f>
        <v>0</v>
      </c>
      <c r="L314" s="20" t="str">
        <f t="shared" si="25"/>
        <v/>
      </c>
      <c r="M314" s="54" t="str">
        <f t="shared" si="26"/>
        <v>!</v>
      </c>
      <c r="N314" s="54" t="str">
        <f t="shared" si="27"/>
        <v/>
      </c>
      <c r="O314" s="55">
        <f t="shared" si="28"/>
        <v>578.30188679245282</v>
      </c>
      <c r="P314" s="55">
        <f t="shared" si="29"/>
        <v>587.2641509433962</v>
      </c>
      <c r="Q314" s="9" t="str">
        <f ca="1">IFERROR((VLOOKUP(A314,GM_Table,8,FALSE)-SUMIFS(D:D,A:A,A314,B:B,B314,C:C,C314)),"")</f>
        <v/>
      </c>
      <c r="R314" s="9" t="str">
        <f ca="1">IFERROR(CONCATENATE(VLOOKUP(A314,GM_Table,12,FALSE)," ",(VLOOKUP(A314,GM_Table,13,FALSE))),"")</f>
        <v/>
      </c>
    </row>
    <row r="315" spans="1:18" ht="15" x14ac:dyDescent="0.2">
      <c r="A315" s="179" t="s">
        <v>1631</v>
      </c>
      <c r="B315" s="9" t="s">
        <v>3290</v>
      </c>
      <c r="C315" s="9" t="s">
        <v>3291</v>
      </c>
      <c r="D315" s="252">
        <v>1.1399999999999999</v>
      </c>
      <c r="E315" s="221">
        <v>687</v>
      </c>
      <c r="F315" s="246">
        <v>638</v>
      </c>
      <c r="G315" s="247">
        <v>638</v>
      </c>
      <c r="H315" s="248">
        <v>589</v>
      </c>
      <c r="I315" s="249">
        <v>587</v>
      </c>
      <c r="J315" s="122" t="b">
        <f>IF(ISBLANK(CertifiedCrop[[#This Row],[1. Identifiant interne d’exploitation agricole*]]),"",IF(ISERROR(MATCH(CertifiedCrop[[#This Row],[1. Identifiant interne d’exploitation agricole*]],GroupMember[1. Identifiant interne d’exploitation agricole*],0)),FALSE,TRUE))</f>
        <v>1</v>
      </c>
      <c r="K315" s="122" t="b">
        <f t="array" ref="K315">IF(ISBLANK(CertifiedCrop[[#This Row],[2. Produit agricole certifié*]]),"",IF(ISERROR(MATCH(1,(#REF!=CertifiedCrop[[#This Row],[2. Produit agricole certifié*]])*(#REF!=CertifiedCrop[[#This Row],[3. Variété**]]),0)),FALSE,TRUE))</f>
        <v>0</v>
      </c>
      <c r="L315" s="20" t="str">
        <f t="shared" si="25"/>
        <v/>
      </c>
      <c r="M315" s="54" t="str">
        <f t="shared" si="26"/>
        <v/>
      </c>
      <c r="N315" s="54" t="str">
        <f t="shared" si="27"/>
        <v/>
      </c>
      <c r="O315" s="55">
        <f t="shared" si="28"/>
        <v>602.63157894736844</v>
      </c>
      <c r="P315" s="55">
        <f t="shared" si="29"/>
        <v>559.64912280701765</v>
      </c>
      <c r="Q315" s="9" t="str">
        <f ca="1">IFERROR((VLOOKUP(A315,GM_Table,8,FALSE)-SUMIFS(D:D,A:A,A315,B:B,B315,C:C,C315)),"")</f>
        <v/>
      </c>
      <c r="R315" s="9" t="str">
        <f ca="1">IFERROR(CONCATENATE(VLOOKUP(A315,GM_Table,12,FALSE)," ",(VLOOKUP(A315,GM_Table,13,FALSE))),"")</f>
        <v/>
      </c>
    </row>
    <row r="316" spans="1:18" ht="15" x14ac:dyDescent="0.2">
      <c r="A316" s="150" t="s">
        <v>1635</v>
      </c>
      <c r="B316" s="9" t="s">
        <v>3290</v>
      </c>
      <c r="C316" s="9" t="s">
        <v>3291</v>
      </c>
      <c r="D316" s="252">
        <v>0.76</v>
      </c>
      <c r="E316" s="221">
        <v>477</v>
      </c>
      <c r="F316" s="246">
        <v>462</v>
      </c>
      <c r="G316" s="247">
        <v>421</v>
      </c>
      <c r="H316" s="248">
        <v>294</v>
      </c>
      <c r="I316" s="249">
        <v>382</v>
      </c>
      <c r="J316" s="122" t="b">
        <f>IF(ISBLANK(CertifiedCrop[[#This Row],[1. Identifiant interne d’exploitation agricole*]]),"",IF(ISERROR(MATCH(CertifiedCrop[[#This Row],[1. Identifiant interne d’exploitation agricole*]],GroupMember[1. Identifiant interne d’exploitation agricole*],0)),FALSE,TRUE))</f>
        <v>1</v>
      </c>
      <c r="K316" s="122" t="b">
        <f t="array" ref="K316">IF(ISBLANK(CertifiedCrop[[#This Row],[2. Produit agricole certifié*]]),"",IF(ISERROR(MATCH(1,(#REF!=CertifiedCrop[[#This Row],[2. Produit agricole certifié*]])*(#REF!=CertifiedCrop[[#This Row],[3. Variété**]]),0)),FALSE,TRUE))</f>
        <v>0</v>
      </c>
      <c r="L316" s="20" t="str">
        <f t="shared" si="25"/>
        <v/>
      </c>
      <c r="M316" s="54" t="str">
        <f t="shared" si="26"/>
        <v/>
      </c>
      <c r="N316" s="54" t="str">
        <f t="shared" si="27"/>
        <v>!</v>
      </c>
      <c r="O316" s="55">
        <f t="shared" si="28"/>
        <v>627.63157894736844</v>
      </c>
      <c r="P316" s="55">
        <f t="shared" si="29"/>
        <v>607.8947368421052</v>
      </c>
      <c r="Q316" s="9" t="str">
        <f ca="1">IFERROR((VLOOKUP(A316,GM_Table,8,FALSE)-SUMIFS(D:D,A:A,A316,B:B,B316,C:C,C316)),"")</f>
        <v/>
      </c>
      <c r="R316" s="9" t="str">
        <f ca="1">IFERROR(CONCATENATE(VLOOKUP(A316,GM_Table,12,FALSE)," ",(VLOOKUP(A316,GM_Table,13,FALSE))),"")</f>
        <v/>
      </c>
    </row>
    <row r="317" spans="1:18" ht="15" x14ac:dyDescent="0.2">
      <c r="A317" s="150" t="s">
        <v>1637</v>
      </c>
      <c r="B317" s="9" t="s">
        <v>3290</v>
      </c>
      <c r="C317" s="9" t="s">
        <v>3291</v>
      </c>
      <c r="D317" s="252">
        <v>2.37</v>
      </c>
      <c r="E317" s="245">
        <v>1499</v>
      </c>
      <c r="F317" s="246">
        <v>1396</v>
      </c>
      <c r="G317" s="247">
        <v>1062</v>
      </c>
      <c r="H317" s="248">
        <v>1235</v>
      </c>
      <c r="I317" s="249">
        <v>936</v>
      </c>
      <c r="J317" s="122" t="b">
        <f>IF(ISBLANK(CertifiedCrop[[#This Row],[1. Identifiant interne d’exploitation agricole*]]),"",IF(ISERROR(MATCH(CertifiedCrop[[#This Row],[1. Identifiant interne d’exploitation agricole*]],GroupMember[1. Identifiant interne d’exploitation agricole*],0)),FALSE,TRUE))</f>
        <v>1</v>
      </c>
      <c r="K317" s="122" t="b">
        <f t="array" ref="K317">IF(ISBLANK(CertifiedCrop[[#This Row],[2. Produit agricole certifié*]]),"",IF(ISERROR(MATCH(1,(#REF!=CertifiedCrop[[#This Row],[2. Produit agricole certifié*]])*(#REF!=CertifiedCrop[[#This Row],[3. Variété**]]),0)),FALSE,TRUE))</f>
        <v>0</v>
      </c>
      <c r="L317" s="20" t="str">
        <f t="shared" si="25"/>
        <v/>
      </c>
      <c r="M317" s="54" t="str">
        <f t="shared" si="26"/>
        <v>!</v>
      </c>
      <c r="N317" s="54" t="str">
        <f t="shared" si="27"/>
        <v/>
      </c>
      <c r="O317" s="55">
        <f t="shared" si="28"/>
        <v>632.48945147679319</v>
      </c>
      <c r="P317" s="55">
        <f t="shared" si="29"/>
        <v>589.02953586497893</v>
      </c>
      <c r="Q317" s="9" t="str">
        <f ca="1">IFERROR((VLOOKUP(A317,GM_Table,8,FALSE)-SUMIFS(D:D,A:A,A317,B:B,B317,C:C,C317)),"")</f>
        <v/>
      </c>
      <c r="R317" s="9" t="str">
        <f ca="1">IFERROR(CONCATENATE(VLOOKUP(A317,GM_Table,12,FALSE)," ",(VLOOKUP(A317,GM_Table,13,FALSE))),"")</f>
        <v/>
      </c>
    </row>
    <row r="318" spans="1:18" ht="15" x14ac:dyDescent="0.2">
      <c r="A318" s="150" t="s">
        <v>1640</v>
      </c>
      <c r="B318" s="9" t="s">
        <v>3290</v>
      </c>
      <c r="C318" s="9" t="s">
        <v>3291</v>
      </c>
      <c r="D318" s="252">
        <v>2</v>
      </c>
      <c r="E318" s="245">
        <v>1157</v>
      </c>
      <c r="F318" s="246">
        <v>1089</v>
      </c>
      <c r="G318" s="247">
        <v>642</v>
      </c>
      <c r="H318" s="248">
        <v>791</v>
      </c>
      <c r="I318" s="249">
        <v>1032</v>
      </c>
      <c r="J318" s="122" t="b">
        <f>IF(ISBLANK(CertifiedCrop[[#This Row],[1. Identifiant interne d’exploitation agricole*]]),"",IF(ISERROR(MATCH(CertifiedCrop[[#This Row],[1. Identifiant interne d’exploitation agricole*]],GroupMember[1. Identifiant interne d’exploitation agricole*],0)),FALSE,TRUE))</f>
        <v>1</v>
      </c>
      <c r="K318" s="122" t="b">
        <f t="array" ref="K318">IF(ISBLANK(CertifiedCrop[[#This Row],[2. Produit agricole certifié*]]),"",IF(ISERROR(MATCH(1,(#REF!=CertifiedCrop[[#This Row],[2. Produit agricole certifié*]])*(#REF!=CertifiedCrop[[#This Row],[3. Variété**]]),0)),FALSE,TRUE))</f>
        <v>0</v>
      </c>
      <c r="L318" s="20" t="str">
        <f t="shared" si="25"/>
        <v/>
      </c>
      <c r="M318" s="54" t="str">
        <f t="shared" si="26"/>
        <v>!</v>
      </c>
      <c r="N318" s="54" t="str">
        <f t="shared" si="27"/>
        <v/>
      </c>
      <c r="O318" s="55">
        <f t="shared" si="28"/>
        <v>578.5</v>
      </c>
      <c r="P318" s="55">
        <f t="shared" si="29"/>
        <v>544.5</v>
      </c>
      <c r="Q318" s="9" t="str">
        <f ca="1">IFERROR((VLOOKUP(A318,GM_Table,8,FALSE)-SUMIFS(D:D,A:A,A318,B:B,B318,C:C,C318)),"")</f>
        <v/>
      </c>
      <c r="R318" s="9" t="str">
        <f ca="1">IFERROR(CONCATENATE(VLOOKUP(A318,GM_Table,12,FALSE)," ",(VLOOKUP(A318,GM_Table,13,FALSE))),"")</f>
        <v/>
      </c>
    </row>
    <row r="319" spans="1:18" ht="15" x14ac:dyDescent="0.2">
      <c r="A319" s="150" t="s">
        <v>1642</v>
      </c>
      <c r="B319" s="9" t="s">
        <v>3290</v>
      </c>
      <c r="C319" s="9" t="s">
        <v>3291</v>
      </c>
      <c r="D319" s="252">
        <v>2</v>
      </c>
      <c r="E319" s="245">
        <v>1135</v>
      </c>
      <c r="F319" s="246">
        <v>1128</v>
      </c>
      <c r="G319" s="247">
        <v>1128</v>
      </c>
      <c r="H319" s="248">
        <v>877</v>
      </c>
      <c r="I319" s="249">
        <v>989</v>
      </c>
      <c r="J319" s="122" t="b">
        <f>IF(ISBLANK(CertifiedCrop[[#This Row],[1. Identifiant interne d’exploitation agricole*]]),"",IF(ISERROR(MATCH(CertifiedCrop[[#This Row],[1. Identifiant interne d’exploitation agricole*]],GroupMember[1. Identifiant interne d’exploitation agricole*],0)),FALSE,TRUE))</f>
        <v>1</v>
      </c>
      <c r="K319" s="122" t="b">
        <f t="array" ref="K319">IF(ISBLANK(CertifiedCrop[[#This Row],[2. Produit agricole certifié*]]),"",IF(ISERROR(MATCH(1,(#REF!=CertifiedCrop[[#This Row],[2. Produit agricole certifié*]])*(#REF!=CertifiedCrop[[#This Row],[3. Variété**]]),0)),FALSE,TRUE))</f>
        <v>0</v>
      </c>
      <c r="L319" s="20" t="str">
        <f t="shared" si="25"/>
        <v/>
      </c>
      <c r="M319" s="54" t="str">
        <f t="shared" si="26"/>
        <v/>
      </c>
      <c r="N319" s="54" t="str">
        <f t="shared" si="27"/>
        <v>!</v>
      </c>
      <c r="O319" s="55">
        <f t="shared" si="28"/>
        <v>567.5</v>
      </c>
      <c r="P319" s="55">
        <f t="shared" si="29"/>
        <v>564</v>
      </c>
      <c r="Q319" s="9" t="str">
        <f ca="1">IFERROR((VLOOKUP(A319,GM_Table,8,FALSE)-SUMIFS(D:D,A:A,A319,B:B,B319,C:C,C319)),"")</f>
        <v/>
      </c>
      <c r="R319" s="9" t="str">
        <f ca="1">IFERROR(CONCATENATE(VLOOKUP(A319,GM_Table,12,FALSE)," ",(VLOOKUP(A319,GM_Table,13,FALSE))),"")</f>
        <v/>
      </c>
    </row>
    <row r="320" spans="1:18" ht="15" x14ac:dyDescent="0.2">
      <c r="A320" s="150" t="s">
        <v>1644</v>
      </c>
      <c r="B320" s="9" t="s">
        <v>3290</v>
      </c>
      <c r="C320" s="9" t="s">
        <v>3291</v>
      </c>
      <c r="D320" s="252">
        <v>3</v>
      </c>
      <c r="E320" s="245">
        <v>1901</v>
      </c>
      <c r="F320" s="246">
        <v>1874</v>
      </c>
      <c r="G320" s="247">
        <v>1290</v>
      </c>
      <c r="H320" s="248">
        <v>1818</v>
      </c>
      <c r="I320" s="249">
        <v>1532</v>
      </c>
      <c r="J320" s="122" t="b">
        <f>IF(ISBLANK(CertifiedCrop[[#This Row],[1. Identifiant interne d’exploitation agricole*]]),"",IF(ISERROR(MATCH(CertifiedCrop[[#This Row],[1. Identifiant interne d’exploitation agricole*]],GroupMember[1. Identifiant interne d’exploitation agricole*],0)),FALSE,TRUE))</f>
        <v>1</v>
      </c>
      <c r="K320" s="122" t="b">
        <f t="array" ref="K320">IF(ISBLANK(CertifiedCrop[[#This Row],[2. Produit agricole certifié*]]),"",IF(ISERROR(MATCH(1,(#REF!=CertifiedCrop[[#This Row],[2. Produit agricole certifié*]])*(#REF!=CertifiedCrop[[#This Row],[3. Variété**]]),0)),FALSE,TRUE))</f>
        <v>0</v>
      </c>
      <c r="L320" s="20" t="str">
        <f t="shared" si="25"/>
        <v/>
      </c>
      <c r="M320" s="54" t="str">
        <f t="shared" si="26"/>
        <v>!</v>
      </c>
      <c r="N320" s="54" t="str">
        <f t="shared" si="27"/>
        <v>!</v>
      </c>
      <c r="O320" s="55">
        <f t="shared" si="28"/>
        <v>633.66666666666663</v>
      </c>
      <c r="P320" s="55">
        <f t="shared" si="29"/>
        <v>624.66666666666663</v>
      </c>
      <c r="Q320" s="9" t="str">
        <f ca="1">IFERROR((VLOOKUP(A320,GM_Table,8,FALSE)-SUMIFS(D:D,A:A,A320,B:B,B320,C:C,C320)),"")</f>
        <v/>
      </c>
      <c r="R320" s="9" t="str">
        <f ca="1">IFERROR(CONCATENATE(VLOOKUP(A320,GM_Table,12,FALSE)," ",(VLOOKUP(A320,GM_Table,13,FALSE))),"")</f>
        <v/>
      </c>
    </row>
    <row r="321" spans="1:18" ht="15" x14ac:dyDescent="0.2">
      <c r="A321" s="150" t="s">
        <v>1646</v>
      </c>
      <c r="B321" s="9" t="s">
        <v>3290</v>
      </c>
      <c r="C321" s="9" t="s">
        <v>3291</v>
      </c>
      <c r="D321" s="252">
        <v>2</v>
      </c>
      <c r="E321" s="245">
        <v>1165</v>
      </c>
      <c r="F321" s="246">
        <v>1095</v>
      </c>
      <c r="G321" s="247">
        <v>1002</v>
      </c>
      <c r="H321" s="248">
        <v>950</v>
      </c>
      <c r="I321" s="249">
        <v>1007</v>
      </c>
      <c r="J321" s="122" t="b">
        <f>IF(ISBLANK(CertifiedCrop[[#This Row],[1. Identifiant interne d’exploitation agricole*]]),"",IF(ISERROR(MATCH(CertifiedCrop[[#This Row],[1. Identifiant interne d’exploitation agricole*]],GroupMember[1. Identifiant interne d’exploitation agricole*],0)),FALSE,TRUE))</f>
        <v>1</v>
      </c>
      <c r="K321" s="122" t="b">
        <f t="array" ref="K321">IF(ISBLANK(CertifiedCrop[[#This Row],[2. Produit agricole certifié*]]),"",IF(ISERROR(MATCH(1,(#REF!=CertifiedCrop[[#This Row],[2. Produit agricole certifié*]])*(#REF!=CertifiedCrop[[#This Row],[3. Variété**]]),0)),FALSE,TRUE))</f>
        <v>0</v>
      </c>
      <c r="L321" s="20" t="str">
        <f t="shared" si="25"/>
        <v/>
      </c>
      <c r="M321" s="54" t="str">
        <f t="shared" si="26"/>
        <v/>
      </c>
      <c r="N321" s="54" t="str">
        <f t="shared" si="27"/>
        <v/>
      </c>
      <c r="O321" s="55">
        <f t="shared" si="28"/>
        <v>582.5</v>
      </c>
      <c r="P321" s="55">
        <f t="shared" si="29"/>
        <v>547.5</v>
      </c>
      <c r="Q321" s="9" t="str">
        <f ca="1">IFERROR((VLOOKUP(A321,GM_Table,8,FALSE)-SUMIFS(D:D,A:A,A321,B:B,B321,C:C,C321)),"")</f>
        <v/>
      </c>
      <c r="R321" s="9" t="str">
        <f ca="1">IFERROR(CONCATENATE(VLOOKUP(A321,GM_Table,12,FALSE)," ",(VLOOKUP(A321,GM_Table,13,FALSE))),"")</f>
        <v/>
      </c>
    </row>
    <row r="322" spans="1:18" ht="15" x14ac:dyDescent="0.2">
      <c r="A322" s="150" t="s">
        <v>1649</v>
      </c>
      <c r="B322" s="9" t="s">
        <v>3290</v>
      </c>
      <c r="C322" s="9" t="s">
        <v>3291</v>
      </c>
      <c r="D322" s="252">
        <v>2.1800000000000002</v>
      </c>
      <c r="E322" s="245">
        <v>1289</v>
      </c>
      <c r="F322" s="246">
        <v>1205</v>
      </c>
      <c r="G322" s="247">
        <v>1076</v>
      </c>
      <c r="H322" s="248">
        <v>845</v>
      </c>
      <c r="I322" s="249">
        <v>914</v>
      </c>
      <c r="J322" s="122" t="b">
        <f>IF(ISBLANK(CertifiedCrop[[#This Row],[1. Identifiant interne d’exploitation agricole*]]),"",IF(ISERROR(MATCH(CertifiedCrop[[#This Row],[1. Identifiant interne d’exploitation agricole*]],GroupMember[1. Identifiant interne d’exploitation agricole*],0)),FALSE,TRUE))</f>
        <v>1</v>
      </c>
      <c r="K322" s="122" t="b">
        <f t="array" ref="K322">IF(ISBLANK(CertifiedCrop[[#This Row],[2. Produit agricole certifié*]]),"",IF(ISERROR(MATCH(1,(#REF!=CertifiedCrop[[#This Row],[2. Produit agricole certifié*]])*(#REF!=CertifiedCrop[[#This Row],[3. Variété**]]),0)),FALSE,TRUE))</f>
        <v>0</v>
      </c>
      <c r="L322" s="20" t="str">
        <f t="shared" si="25"/>
        <v/>
      </c>
      <c r="M322" s="54" t="str">
        <f t="shared" si="26"/>
        <v/>
      </c>
      <c r="N322" s="54" t="str">
        <f t="shared" si="27"/>
        <v>!</v>
      </c>
      <c r="O322" s="55">
        <f t="shared" si="28"/>
        <v>591.28440366972472</v>
      </c>
      <c r="P322" s="55">
        <f t="shared" si="29"/>
        <v>552.75229357798162</v>
      </c>
      <c r="Q322" s="9" t="str">
        <f ca="1">IFERROR((VLOOKUP(A322,GM_Table,8,FALSE)-SUMIFS(D:D,A:A,A322,B:B,B322,C:C,C322)),"")</f>
        <v/>
      </c>
      <c r="R322" s="9" t="str">
        <f ca="1">IFERROR(CONCATENATE(VLOOKUP(A322,GM_Table,12,FALSE)," ",(VLOOKUP(A322,GM_Table,13,FALSE))),"")</f>
        <v/>
      </c>
    </row>
    <row r="323" spans="1:18" ht="15" x14ac:dyDescent="0.2">
      <c r="A323" s="150" t="s">
        <v>1652</v>
      </c>
      <c r="B323" s="9" t="s">
        <v>3290</v>
      </c>
      <c r="C323" s="9" t="s">
        <v>3291</v>
      </c>
      <c r="D323" s="252">
        <v>1.37</v>
      </c>
      <c r="E323" s="221">
        <v>756</v>
      </c>
      <c r="F323" s="246">
        <v>712</v>
      </c>
      <c r="G323" s="247">
        <v>579</v>
      </c>
      <c r="H323" s="248">
        <v>611</v>
      </c>
      <c r="I323" s="249">
        <v>728</v>
      </c>
      <c r="J323" s="122" t="b">
        <f>IF(ISBLANK(CertifiedCrop[[#This Row],[1. Identifiant interne d’exploitation agricole*]]),"",IF(ISERROR(MATCH(CertifiedCrop[[#This Row],[1. Identifiant interne d’exploitation agricole*]],GroupMember[1. Identifiant interne d’exploitation agricole*],0)),FALSE,TRUE))</f>
        <v>1</v>
      </c>
      <c r="K323" s="122" t="b">
        <f t="array" ref="K323">IF(ISBLANK(CertifiedCrop[[#This Row],[2. Produit agricole certifié*]]),"",IF(ISERROR(MATCH(1,(#REF!=CertifiedCrop[[#This Row],[2. Produit agricole certifié*]])*(#REF!=CertifiedCrop[[#This Row],[3. Variété**]]),0)),FALSE,TRUE))</f>
        <v>0</v>
      </c>
      <c r="L323" s="20" t="str">
        <f t="shared" si="25"/>
        <v/>
      </c>
      <c r="M323" s="54" t="str">
        <f t="shared" si="26"/>
        <v/>
      </c>
      <c r="N323" s="54" t="str">
        <f t="shared" si="27"/>
        <v/>
      </c>
      <c r="O323" s="55">
        <f t="shared" si="28"/>
        <v>551.8248175182481</v>
      </c>
      <c r="P323" s="55">
        <f t="shared" si="29"/>
        <v>519.70802919708024</v>
      </c>
      <c r="Q323" s="9" t="str">
        <f ca="1">IFERROR((VLOOKUP(A323,GM_Table,8,FALSE)-SUMIFS(D:D,A:A,A323,B:B,B323,C:C,C323)),"")</f>
        <v/>
      </c>
      <c r="R323" s="9" t="str">
        <f ca="1">IFERROR(CONCATENATE(VLOOKUP(A323,GM_Table,12,FALSE)," ",(VLOOKUP(A323,GM_Table,13,FALSE))),"")</f>
        <v/>
      </c>
    </row>
    <row r="324" spans="1:18" ht="15" x14ac:dyDescent="0.2">
      <c r="A324" s="150" t="s">
        <v>1655</v>
      </c>
      <c r="B324" s="9" t="s">
        <v>3290</v>
      </c>
      <c r="C324" s="9" t="s">
        <v>3291</v>
      </c>
      <c r="D324" s="252">
        <v>1.44</v>
      </c>
      <c r="E324" s="221">
        <v>852</v>
      </c>
      <c r="F324" s="246">
        <v>821</v>
      </c>
      <c r="G324" s="247">
        <v>574</v>
      </c>
      <c r="H324" s="248">
        <v>687</v>
      </c>
      <c r="I324" s="249">
        <v>857</v>
      </c>
      <c r="J324" s="122" t="b">
        <f>IF(ISBLANK(CertifiedCrop[[#This Row],[1. Identifiant interne d’exploitation agricole*]]),"",IF(ISERROR(MATCH(CertifiedCrop[[#This Row],[1. Identifiant interne d’exploitation agricole*]],GroupMember[1. Identifiant interne d’exploitation agricole*],0)),FALSE,TRUE))</f>
        <v>1</v>
      </c>
      <c r="K324" s="122" t="b">
        <f t="array" ref="K324">IF(ISBLANK(CertifiedCrop[[#This Row],[2. Produit agricole certifié*]]),"",IF(ISERROR(MATCH(1,(#REF!=CertifiedCrop[[#This Row],[2. Produit agricole certifié*]])*(#REF!=CertifiedCrop[[#This Row],[3. Variété**]]),0)),FALSE,TRUE))</f>
        <v>0</v>
      </c>
      <c r="L324" s="20" t="str">
        <f t="shared" si="25"/>
        <v/>
      </c>
      <c r="M324" s="54" t="str">
        <f t="shared" si="26"/>
        <v>!</v>
      </c>
      <c r="N324" s="54" t="str">
        <f t="shared" si="27"/>
        <v/>
      </c>
      <c r="O324" s="55">
        <f t="shared" si="28"/>
        <v>591.66666666666674</v>
      </c>
      <c r="P324" s="55">
        <f t="shared" si="29"/>
        <v>570.13888888888891</v>
      </c>
      <c r="Q324" s="9" t="str">
        <f ca="1">IFERROR((VLOOKUP(A324,GM_Table,8,FALSE)-SUMIFS(D:D,A:A,A324,B:B,B324,C:C,C324)),"")</f>
        <v/>
      </c>
      <c r="R324" s="9" t="str">
        <f ca="1">IFERROR(CONCATENATE(VLOOKUP(A324,GM_Table,12,FALSE)," ",(VLOOKUP(A324,GM_Table,13,FALSE))),"")</f>
        <v/>
      </c>
    </row>
    <row r="325" spans="1:18" ht="15" x14ac:dyDescent="0.2">
      <c r="A325" s="150" t="s">
        <v>1658</v>
      </c>
      <c r="B325" s="9" t="s">
        <v>3290</v>
      </c>
      <c r="C325" s="9" t="s">
        <v>3291</v>
      </c>
      <c r="D325" s="252">
        <v>1.42</v>
      </c>
      <c r="E325" s="221">
        <v>773</v>
      </c>
      <c r="F325" s="246">
        <v>762</v>
      </c>
      <c r="G325" s="247">
        <v>513</v>
      </c>
      <c r="H325" s="248">
        <v>613</v>
      </c>
      <c r="I325" s="249">
        <v>789</v>
      </c>
      <c r="J325" s="122" t="b">
        <f>IF(ISBLANK(CertifiedCrop[[#This Row],[1. Identifiant interne d’exploitation agricole*]]),"",IF(ISERROR(MATCH(CertifiedCrop[[#This Row],[1. Identifiant interne d’exploitation agricole*]],GroupMember[1. Identifiant interne d’exploitation agricole*],0)),FALSE,TRUE))</f>
        <v>1</v>
      </c>
      <c r="K325" s="122" t="b">
        <f t="array" ref="K325">IF(ISBLANK(CertifiedCrop[[#This Row],[2. Produit agricole certifié*]]),"",IF(ISERROR(MATCH(1,(#REF!=CertifiedCrop[[#This Row],[2. Produit agricole certifié*]])*(#REF!=CertifiedCrop[[#This Row],[3. Variété**]]),0)),FALSE,TRUE))</f>
        <v>0</v>
      </c>
      <c r="L325" s="20" t="str">
        <f t="shared" si="25"/>
        <v/>
      </c>
      <c r="M325" s="54" t="str">
        <f t="shared" si="26"/>
        <v>!</v>
      </c>
      <c r="N325" s="54" t="str">
        <f t="shared" si="27"/>
        <v/>
      </c>
      <c r="O325" s="55">
        <f t="shared" si="28"/>
        <v>544.36619718309862</v>
      </c>
      <c r="P325" s="55">
        <f t="shared" si="29"/>
        <v>536.61971830985919</v>
      </c>
      <c r="Q325" s="9" t="str">
        <f ca="1">IFERROR((VLOOKUP(A325,GM_Table,8,FALSE)-SUMIFS(D:D,A:A,A325,B:B,B325,C:C,C325)),"")</f>
        <v/>
      </c>
      <c r="R325" s="9" t="str">
        <f ca="1">IFERROR(CONCATENATE(VLOOKUP(A325,GM_Table,12,FALSE)," ",(VLOOKUP(A325,GM_Table,13,FALSE))),"")</f>
        <v/>
      </c>
    </row>
    <row r="326" spans="1:18" ht="15" x14ac:dyDescent="0.2">
      <c r="A326" s="150" t="s">
        <v>1662</v>
      </c>
      <c r="B326" s="9" t="s">
        <v>3290</v>
      </c>
      <c r="C326" s="9" t="s">
        <v>3291</v>
      </c>
      <c r="D326" s="252">
        <v>3.86</v>
      </c>
      <c r="E326" s="245">
        <v>2446</v>
      </c>
      <c r="F326" s="246">
        <v>2365</v>
      </c>
      <c r="G326" s="247">
        <v>1508</v>
      </c>
      <c r="H326" s="248">
        <v>2270</v>
      </c>
      <c r="I326" s="249">
        <v>1504</v>
      </c>
      <c r="J326" s="122" t="b">
        <f>IF(ISBLANK(CertifiedCrop[[#This Row],[1. Identifiant interne d’exploitation agricole*]]),"",IF(ISERROR(MATCH(CertifiedCrop[[#This Row],[1. Identifiant interne d’exploitation agricole*]],GroupMember[1. Identifiant interne d’exploitation agricole*],0)),FALSE,TRUE))</f>
        <v>1</v>
      </c>
      <c r="K326" s="122" t="b">
        <f t="array" ref="K326">IF(ISBLANK(CertifiedCrop[[#This Row],[2. Produit agricole certifié*]]),"",IF(ISERROR(MATCH(1,(#REF!=CertifiedCrop[[#This Row],[2. Produit agricole certifié*]])*(#REF!=CertifiedCrop[[#This Row],[3. Variété**]]),0)),FALSE,TRUE))</f>
        <v>0</v>
      </c>
      <c r="L326" s="20" t="str">
        <f t="shared" si="25"/>
        <v/>
      </c>
      <c r="M326" s="54" t="str">
        <f t="shared" si="26"/>
        <v>!</v>
      </c>
      <c r="N326" s="54" t="str">
        <f t="shared" si="27"/>
        <v>!</v>
      </c>
      <c r="O326" s="55">
        <f t="shared" si="28"/>
        <v>633.67875647668393</v>
      </c>
      <c r="P326" s="55">
        <f t="shared" si="29"/>
        <v>612.6943005181347</v>
      </c>
      <c r="Q326" s="9" t="str">
        <f ca="1">IFERROR((VLOOKUP(A326,GM_Table,8,FALSE)-SUMIFS(D:D,A:A,A326,B:B,B326,C:C,C326)),"")</f>
        <v/>
      </c>
      <c r="R326" s="9" t="str">
        <f ca="1">IFERROR(CONCATENATE(VLOOKUP(A326,GM_Table,12,FALSE)," ",(VLOOKUP(A326,GM_Table,13,FALSE))),"")</f>
        <v/>
      </c>
    </row>
    <row r="327" spans="1:18" ht="15" x14ac:dyDescent="0.2">
      <c r="A327" s="150" t="s">
        <v>1665</v>
      </c>
      <c r="B327" s="9" t="s">
        <v>3290</v>
      </c>
      <c r="C327" s="9" t="s">
        <v>3291</v>
      </c>
      <c r="D327" s="252">
        <v>0.92</v>
      </c>
      <c r="E327" s="221">
        <v>585</v>
      </c>
      <c r="F327" s="246">
        <v>578</v>
      </c>
      <c r="G327" s="247">
        <v>578</v>
      </c>
      <c r="H327" s="248">
        <v>362</v>
      </c>
      <c r="I327" s="249">
        <v>504</v>
      </c>
      <c r="J327" s="122" t="b">
        <f>IF(ISBLANK(CertifiedCrop[[#This Row],[1. Identifiant interne d’exploitation agricole*]]),"",IF(ISERROR(MATCH(CertifiedCrop[[#This Row],[1. Identifiant interne d’exploitation agricole*]],GroupMember[1. Identifiant interne d’exploitation agricole*],0)),FALSE,TRUE))</f>
        <v>1</v>
      </c>
      <c r="K327" s="122" t="b">
        <f t="array" ref="K327">IF(ISBLANK(CertifiedCrop[[#This Row],[2. Produit agricole certifié*]]),"",IF(ISERROR(MATCH(1,(#REF!=CertifiedCrop[[#This Row],[2. Produit agricole certifié*]])*(#REF!=CertifiedCrop[[#This Row],[3. Variété**]]),0)),FALSE,TRUE))</f>
        <v>0</v>
      </c>
      <c r="L327" s="20" t="str">
        <f t="shared" si="25"/>
        <v/>
      </c>
      <c r="M327" s="54" t="str">
        <f t="shared" si="26"/>
        <v/>
      </c>
      <c r="N327" s="54" t="str">
        <f t="shared" si="27"/>
        <v>!</v>
      </c>
      <c r="O327" s="55">
        <f t="shared" si="28"/>
        <v>635.86956521739125</v>
      </c>
      <c r="P327" s="55">
        <f t="shared" si="29"/>
        <v>628.26086956521738</v>
      </c>
      <c r="Q327" s="9" t="str">
        <f ca="1">IFERROR((VLOOKUP(A327,GM_Table,8,FALSE)-SUMIFS(D:D,A:A,A327,B:B,B327,C:C,C327)),"")</f>
        <v/>
      </c>
      <c r="R327" s="9" t="str">
        <f ca="1">IFERROR(CONCATENATE(VLOOKUP(A327,GM_Table,12,FALSE)," ",(VLOOKUP(A327,GM_Table,13,FALSE))),"")</f>
        <v/>
      </c>
    </row>
    <row r="328" spans="1:18" ht="15" x14ac:dyDescent="0.2">
      <c r="A328" s="150" t="s">
        <v>1669</v>
      </c>
      <c r="B328" s="9" t="s">
        <v>3290</v>
      </c>
      <c r="C328" s="9" t="s">
        <v>3291</v>
      </c>
      <c r="D328" s="252">
        <v>1.39</v>
      </c>
      <c r="E328" s="221">
        <v>823</v>
      </c>
      <c r="F328" s="246">
        <v>806</v>
      </c>
      <c r="G328" s="247">
        <v>680</v>
      </c>
      <c r="H328" s="248">
        <v>220</v>
      </c>
      <c r="I328" s="249">
        <v>754</v>
      </c>
      <c r="J328" s="122" t="b">
        <f>IF(ISBLANK(CertifiedCrop[[#This Row],[1. Identifiant interne d’exploitation agricole*]]),"",IF(ISERROR(MATCH(CertifiedCrop[[#This Row],[1. Identifiant interne d’exploitation agricole*]],GroupMember[1. Identifiant interne d’exploitation agricole*],0)),FALSE,TRUE))</f>
        <v>1</v>
      </c>
      <c r="K328" s="122" t="b">
        <f t="array" ref="K328">IF(ISBLANK(CertifiedCrop[[#This Row],[2. Produit agricole certifié*]]),"",IF(ISERROR(MATCH(1,(#REF!=CertifiedCrop[[#This Row],[2. Produit agricole certifié*]])*(#REF!=CertifiedCrop[[#This Row],[3. Variété**]]),0)),FALSE,TRUE))</f>
        <v>0</v>
      </c>
      <c r="L328" s="20" t="str">
        <f t="shared" si="25"/>
        <v/>
      </c>
      <c r="M328" s="54" t="str">
        <f t="shared" si="26"/>
        <v/>
      </c>
      <c r="N328" s="54" t="str">
        <f t="shared" si="27"/>
        <v>!</v>
      </c>
      <c r="O328" s="55">
        <f t="shared" si="28"/>
        <v>592.08633093525179</v>
      </c>
      <c r="P328" s="55">
        <f t="shared" si="29"/>
        <v>579.85611510791375</v>
      </c>
      <c r="Q328" s="9" t="str">
        <f ca="1">IFERROR((VLOOKUP(A328,GM_Table,8,FALSE)-SUMIFS(D:D,A:A,A328,B:B,B328,C:C,C328)),"")</f>
        <v/>
      </c>
      <c r="R328" s="9" t="str">
        <f ca="1">IFERROR(CONCATENATE(VLOOKUP(A328,GM_Table,12,FALSE)," ",(VLOOKUP(A328,GM_Table,13,FALSE))),"")</f>
        <v/>
      </c>
    </row>
    <row r="329" spans="1:18" ht="15" x14ac:dyDescent="0.2">
      <c r="A329" s="150" t="s">
        <v>1672</v>
      </c>
      <c r="B329" s="9" t="s">
        <v>3290</v>
      </c>
      <c r="C329" s="9" t="s">
        <v>3291</v>
      </c>
      <c r="D329" s="252">
        <v>2</v>
      </c>
      <c r="E329" s="245">
        <v>1219</v>
      </c>
      <c r="F329" s="246">
        <v>1185</v>
      </c>
      <c r="G329" s="247">
        <v>727</v>
      </c>
      <c r="H329" s="248">
        <v>727</v>
      </c>
      <c r="I329" s="249">
        <v>1117</v>
      </c>
      <c r="J329" s="122" t="b">
        <f>IF(ISBLANK(CertifiedCrop[[#This Row],[1. Identifiant interne d’exploitation agricole*]]),"",IF(ISERROR(MATCH(CertifiedCrop[[#This Row],[1. Identifiant interne d’exploitation agricole*]],GroupMember[1. Identifiant interne d’exploitation agricole*],0)),FALSE,TRUE))</f>
        <v>1</v>
      </c>
      <c r="K329" s="122" t="b">
        <f t="array" ref="K329">IF(ISBLANK(CertifiedCrop[[#This Row],[2. Produit agricole certifié*]]),"",IF(ISERROR(MATCH(1,(#REF!=CertifiedCrop[[#This Row],[2. Produit agricole certifié*]])*(#REF!=CertifiedCrop[[#This Row],[3. Variété**]]),0)),FALSE,TRUE))</f>
        <v>0</v>
      </c>
      <c r="L329" s="20" t="str">
        <f t="shared" si="25"/>
        <v/>
      </c>
      <c r="M329" s="54" t="str">
        <f t="shared" si="26"/>
        <v>!</v>
      </c>
      <c r="N329" s="54" t="str">
        <f t="shared" si="27"/>
        <v/>
      </c>
      <c r="O329" s="55">
        <f t="shared" si="28"/>
        <v>609.5</v>
      </c>
      <c r="P329" s="55">
        <f t="shared" si="29"/>
        <v>592.5</v>
      </c>
      <c r="Q329" s="9" t="str">
        <f ca="1">IFERROR((VLOOKUP(A329,GM_Table,8,FALSE)-SUMIFS(D:D,A:A,A329,B:B,B329,C:C,C329)),"")</f>
        <v/>
      </c>
      <c r="R329" s="9" t="str">
        <f ca="1">IFERROR(CONCATENATE(VLOOKUP(A329,GM_Table,12,FALSE)," ",(VLOOKUP(A329,GM_Table,13,FALSE))),"")</f>
        <v/>
      </c>
    </row>
    <row r="330" spans="1:18" ht="15" x14ac:dyDescent="0.2">
      <c r="A330" s="150" t="s">
        <v>1674</v>
      </c>
      <c r="B330" s="9" t="s">
        <v>3290</v>
      </c>
      <c r="C330" s="9" t="s">
        <v>3291</v>
      </c>
      <c r="D330" s="252">
        <v>1.51</v>
      </c>
      <c r="E330" s="221">
        <v>931</v>
      </c>
      <c r="F330" s="246">
        <v>907</v>
      </c>
      <c r="G330" s="247">
        <v>715</v>
      </c>
      <c r="H330" s="248">
        <v>624</v>
      </c>
      <c r="I330" s="249">
        <v>863</v>
      </c>
      <c r="J330" s="122" t="b">
        <f>IF(ISBLANK(CertifiedCrop[[#This Row],[1. Identifiant interne d’exploitation agricole*]]),"",IF(ISERROR(MATCH(CertifiedCrop[[#This Row],[1. Identifiant interne d’exploitation agricole*]],GroupMember[1. Identifiant interne d’exploitation agricole*],0)),FALSE,TRUE))</f>
        <v>1</v>
      </c>
      <c r="K330" s="122" t="b">
        <f t="array" ref="K330">IF(ISBLANK(CertifiedCrop[[#This Row],[2. Produit agricole certifié*]]),"",IF(ISERROR(MATCH(1,(#REF!=CertifiedCrop[[#This Row],[2. Produit agricole certifié*]])*(#REF!=CertifiedCrop[[#This Row],[3. Variété**]]),0)),FALSE,TRUE))</f>
        <v>0</v>
      </c>
      <c r="L330" s="20" t="str">
        <f t="shared" si="25"/>
        <v/>
      </c>
      <c r="M330" s="54" t="str">
        <f t="shared" si="26"/>
        <v>!</v>
      </c>
      <c r="N330" s="54" t="str">
        <f t="shared" si="27"/>
        <v/>
      </c>
      <c r="O330" s="55">
        <f t="shared" si="28"/>
        <v>616.55629139072846</v>
      </c>
      <c r="P330" s="55">
        <f t="shared" si="29"/>
        <v>600.66225165562912</v>
      </c>
      <c r="Q330" s="9" t="str">
        <f ca="1">IFERROR((VLOOKUP(A330,GM_Table,8,FALSE)-SUMIFS(D:D,A:A,A330,B:B,B330,C:C,C330)),"")</f>
        <v/>
      </c>
      <c r="R330" s="9" t="str">
        <f ca="1">IFERROR(CONCATENATE(VLOOKUP(A330,GM_Table,12,FALSE)," ",(VLOOKUP(A330,GM_Table,13,FALSE))),"")</f>
        <v/>
      </c>
    </row>
    <row r="331" spans="1:18" ht="15" x14ac:dyDescent="0.2">
      <c r="A331" s="150" t="s">
        <v>1679</v>
      </c>
      <c r="B331" s="9" t="s">
        <v>3290</v>
      </c>
      <c r="C331" s="9" t="s">
        <v>3291</v>
      </c>
      <c r="D331" s="252">
        <v>1.27</v>
      </c>
      <c r="E331" s="221">
        <v>765</v>
      </c>
      <c r="F331" s="246">
        <v>754</v>
      </c>
      <c r="G331" s="247">
        <v>545</v>
      </c>
      <c r="H331" s="248">
        <v>565</v>
      </c>
      <c r="I331" s="249">
        <v>656</v>
      </c>
      <c r="J331" s="122" t="b">
        <f>IF(ISBLANK(CertifiedCrop[[#This Row],[1. Identifiant interne d’exploitation agricole*]]),"",IF(ISERROR(MATCH(CertifiedCrop[[#This Row],[1. Identifiant interne d’exploitation agricole*]],GroupMember[1. Identifiant interne d’exploitation agricole*],0)),FALSE,TRUE))</f>
        <v>1</v>
      </c>
      <c r="K331" s="122" t="b">
        <f t="array" ref="K331">IF(ISBLANK(CertifiedCrop[[#This Row],[2. Produit agricole certifié*]]),"",IF(ISERROR(MATCH(1,(#REF!=CertifiedCrop[[#This Row],[2. Produit agricole certifié*]])*(#REF!=CertifiedCrop[[#This Row],[3. Variété**]]),0)),FALSE,TRUE))</f>
        <v>0</v>
      </c>
      <c r="L331" s="20" t="str">
        <f t="shared" si="25"/>
        <v/>
      </c>
      <c r="M331" s="54" t="str">
        <f t="shared" si="26"/>
        <v>!</v>
      </c>
      <c r="N331" s="54" t="str">
        <f t="shared" si="27"/>
        <v/>
      </c>
      <c r="O331" s="55">
        <f t="shared" si="28"/>
        <v>602.36220472440948</v>
      </c>
      <c r="P331" s="55">
        <f t="shared" si="29"/>
        <v>593.70078740157476</v>
      </c>
      <c r="Q331" s="9" t="str">
        <f ca="1">IFERROR((VLOOKUP(A331,GM_Table,8,FALSE)-SUMIFS(D:D,A:A,A331,B:B,B331,C:C,C331)),"")</f>
        <v/>
      </c>
      <c r="R331" s="9" t="str">
        <f ca="1">IFERROR(CONCATENATE(VLOOKUP(A331,GM_Table,12,FALSE)," ",(VLOOKUP(A331,GM_Table,13,FALSE))),"")</f>
        <v/>
      </c>
    </row>
    <row r="332" spans="1:18" ht="15" x14ac:dyDescent="0.2">
      <c r="A332" s="150" t="s">
        <v>1682</v>
      </c>
      <c r="B332" s="9" t="s">
        <v>3290</v>
      </c>
      <c r="C332" s="9" t="s">
        <v>3291</v>
      </c>
      <c r="D332" s="252">
        <v>1.23</v>
      </c>
      <c r="E332" s="221">
        <v>698</v>
      </c>
      <c r="F332" s="246">
        <v>658</v>
      </c>
      <c r="G332" s="247">
        <v>366</v>
      </c>
      <c r="H332" s="248">
        <v>417</v>
      </c>
      <c r="I332" s="249">
        <v>714</v>
      </c>
      <c r="J332" s="122" t="b">
        <f>IF(ISBLANK(CertifiedCrop[[#This Row],[1. Identifiant interne d’exploitation agricole*]]),"",IF(ISERROR(MATCH(CertifiedCrop[[#This Row],[1. Identifiant interne d’exploitation agricole*]],GroupMember[1. Identifiant interne d’exploitation agricole*],0)),FALSE,TRUE))</f>
        <v>1</v>
      </c>
      <c r="K332" s="122" t="b">
        <f t="array" ref="K332">IF(ISBLANK(CertifiedCrop[[#This Row],[2. Produit agricole certifié*]]),"",IF(ISERROR(MATCH(1,(#REF!=CertifiedCrop[[#This Row],[2. Produit agricole certifié*]])*(#REF!=CertifiedCrop[[#This Row],[3. Variété**]]),0)),FALSE,TRUE))</f>
        <v>0</v>
      </c>
      <c r="L332" s="20" t="str">
        <f t="shared" si="25"/>
        <v/>
      </c>
      <c r="M332" s="54" t="str">
        <f t="shared" si="26"/>
        <v>!</v>
      </c>
      <c r="N332" s="54" t="str">
        <f t="shared" si="27"/>
        <v/>
      </c>
      <c r="O332" s="55">
        <f t="shared" si="28"/>
        <v>567.47967479674799</v>
      </c>
      <c r="P332" s="55">
        <f t="shared" si="29"/>
        <v>534.95934959349597</v>
      </c>
      <c r="Q332" s="9" t="str">
        <f ca="1">IFERROR((VLOOKUP(A332,GM_Table,8,FALSE)-SUMIFS(D:D,A:A,A332,B:B,B332,C:C,C332)),"")</f>
        <v/>
      </c>
      <c r="R332" s="9" t="str">
        <f ca="1">IFERROR(CONCATENATE(VLOOKUP(A332,GM_Table,12,FALSE)," ",(VLOOKUP(A332,GM_Table,13,FALSE))),"")</f>
        <v/>
      </c>
    </row>
    <row r="333" spans="1:18" ht="15" x14ac:dyDescent="0.2">
      <c r="A333" s="150" t="s">
        <v>1685</v>
      </c>
      <c r="B333" s="9" t="s">
        <v>3290</v>
      </c>
      <c r="C333" s="9" t="s">
        <v>3291</v>
      </c>
      <c r="D333" s="252">
        <v>1.54</v>
      </c>
      <c r="E333" s="221">
        <v>898</v>
      </c>
      <c r="F333" s="246">
        <v>856</v>
      </c>
      <c r="G333" s="247">
        <v>590</v>
      </c>
      <c r="H333" s="248">
        <v>826</v>
      </c>
      <c r="I333" s="249">
        <v>837</v>
      </c>
      <c r="J333" s="122" t="b">
        <f>IF(ISBLANK(CertifiedCrop[[#This Row],[1. Identifiant interne d’exploitation agricole*]]),"",IF(ISERROR(MATCH(CertifiedCrop[[#This Row],[1. Identifiant interne d’exploitation agricole*]],GroupMember[1. Identifiant interne d’exploitation agricole*],0)),FALSE,TRUE))</f>
        <v>1</v>
      </c>
      <c r="K333" s="122" t="b">
        <f t="array" ref="K333">IF(ISBLANK(CertifiedCrop[[#This Row],[2. Produit agricole certifié*]]),"",IF(ISERROR(MATCH(1,(#REF!=CertifiedCrop[[#This Row],[2. Produit agricole certifié*]])*(#REF!=CertifiedCrop[[#This Row],[3. Variété**]]),0)),FALSE,TRUE))</f>
        <v>0</v>
      </c>
      <c r="L333" s="20" t="str">
        <f t="shared" si="25"/>
        <v/>
      </c>
      <c r="M333" s="54" t="str">
        <f t="shared" si="26"/>
        <v>!</v>
      </c>
      <c r="N333" s="54" t="str">
        <f t="shared" si="27"/>
        <v>!</v>
      </c>
      <c r="O333" s="55">
        <f t="shared" si="28"/>
        <v>583.11688311688306</v>
      </c>
      <c r="P333" s="55">
        <f t="shared" si="29"/>
        <v>555.84415584415581</v>
      </c>
      <c r="Q333" s="9" t="str">
        <f ca="1">IFERROR((VLOOKUP(A333,GM_Table,8,FALSE)-SUMIFS(D:D,A:A,A333,B:B,B333,C:C,C333)),"")</f>
        <v/>
      </c>
      <c r="R333" s="9" t="str">
        <f ca="1">IFERROR(CONCATENATE(VLOOKUP(A333,GM_Table,12,FALSE)," ",(VLOOKUP(A333,GM_Table,13,FALSE))),"")</f>
        <v/>
      </c>
    </row>
    <row r="334" spans="1:18" ht="15" x14ac:dyDescent="0.2">
      <c r="A334" s="150" t="s">
        <v>1687</v>
      </c>
      <c r="B334" s="9" t="s">
        <v>3290</v>
      </c>
      <c r="C334" s="9" t="s">
        <v>3291</v>
      </c>
      <c r="D334" s="252">
        <v>2.52</v>
      </c>
      <c r="E334" s="245">
        <v>1491</v>
      </c>
      <c r="F334" s="246">
        <v>1367</v>
      </c>
      <c r="G334" s="247">
        <v>1071</v>
      </c>
      <c r="H334" s="248">
        <v>1335</v>
      </c>
      <c r="I334" s="249">
        <v>1461</v>
      </c>
      <c r="J334" s="122" t="b">
        <f>IF(ISBLANK(CertifiedCrop[[#This Row],[1. Identifiant interne d’exploitation agricole*]]),"",IF(ISERROR(MATCH(CertifiedCrop[[#This Row],[1. Identifiant interne d’exploitation agricole*]],GroupMember[1. Identifiant interne d’exploitation agricole*],0)),FALSE,TRUE))</f>
        <v>1</v>
      </c>
      <c r="K334" s="122" t="b">
        <f t="array" ref="K334">IF(ISBLANK(CertifiedCrop[[#This Row],[2. Produit agricole certifié*]]),"",IF(ISERROR(MATCH(1,(#REF!=CertifiedCrop[[#This Row],[2. Produit agricole certifié*]])*(#REF!=CertifiedCrop[[#This Row],[3. Variété**]]),0)),FALSE,TRUE))</f>
        <v>0</v>
      </c>
      <c r="L334" s="20" t="str">
        <f t="shared" si="25"/>
        <v/>
      </c>
      <c r="M334" s="54" t="str">
        <f t="shared" si="26"/>
        <v>!</v>
      </c>
      <c r="N334" s="54" t="str">
        <f t="shared" si="27"/>
        <v/>
      </c>
      <c r="O334" s="55">
        <f t="shared" si="28"/>
        <v>591.66666666666663</v>
      </c>
      <c r="P334" s="55">
        <f t="shared" si="29"/>
        <v>542.46031746031747</v>
      </c>
      <c r="Q334" s="9" t="str">
        <f ca="1">IFERROR((VLOOKUP(A334,GM_Table,8,FALSE)-SUMIFS(D:D,A:A,A334,B:B,B334,C:C,C334)),"")</f>
        <v/>
      </c>
      <c r="R334" s="9" t="str">
        <f ca="1">IFERROR(CONCATENATE(VLOOKUP(A334,GM_Table,12,FALSE)," ",(VLOOKUP(A334,GM_Table,13,FALSE))),"")</f>
        <v/>
      </c>
    </row>
    <row r="335" spans="1:18" ht="15" x14ac:dyDescent="0.2">
      <c r="A335" s="150" t="s">
        <v>1692</v>
      </c>
      <c r="B335" s="9" t="s">
        <v>3290</v>
      </c>
      <c r="C335" s="9" t="s">
        <v>3291</v>
      </c>
      <c r="D335" s="252">
        <v>0.81</v>
      </c>
      <c r="E335" s="221">
        <v>468</v>
      </c>
      <c r="F335" s="246">
        <v>471</v>
      </c>
      <c r="G335" s="247">
        <v>304</v>
      </c>
      <c r="H335" s="248">
        <v>258</v>
      </c>
      <c r="I335" s="249">
        <v>451</v>
      </c>
      <c r="J335" s="122" t="b">
        <f>IF(ISBLANK(CertifiedCrop[[#This Row],[1. Identifiant interne d’exploitation agricole*]]),"",IF(ISERROR(MATCH(CertifiedCrop[[#This Row],[1. Identifiant interne d’exploitation agricole*]],GroupMember[1. Identifiant interne d’exploitation agricole*],0)),FALSE,TRUE))</f>
        <v>1</v>
      </c>
      <c r="K335" s="122" t="b">
        <f t="array" ref="K335">IF(ISBLANK(CertifiedCrop[[#This Row],[2. Produit agricole certifié*]]),"",IF(ISERROR(MATCH(1,(#REF!=CertifiedCrop[[#This Row],[2. Produit agricole certifié*]])*(#REF!=CertifiedCrop[[#This Row],[3. Variété**]]),0)),FALSE,TRUE))</f>
        <v>0</v>
      </c>
      <c r="L335" s="20" t="str">
        <f t="shared" si="25"/>
        <v/>
      </c>
      <c r="M335" s="54" t="str">
        <f t="shared" si="26"/>
        <v>!</v>
      </c>
      <c r="N335" s="54" t="str">
        <f t="shared" si="27"/>
        <v/>
      </c>
      <c r="O335" s="55">
        <f t="shared" si="28"/>
        <v>577.77777777777771</v>
      </c>
      <c r="P335" s="55">
        <f t="shared" si="29"/>
        <v>581.48148148148141</v>
      </c>
      <c r="Q335" s="9" t="str">
        <f ca="1">IFERROR((VLOOKUP(A335,GM_Table,8,FALSE)-SUMIFS(D:D,A:A,A335,B:B,B335,C:C,C335)),"")</f>
        <v/>
      </c>
      <c r="R335" s="9" t="str">
        <f ca="1">IFERROR(CONCATENATE(VLOOKUP(A335,GM_Table,12,FALSE)," ",(VLOOKUP(A335,GM_Table,13,FALSE))),"")</f>
        <v/>
      </c>
    </row>
    <row r="336" spans="1:18" ht="15" x14ac:dyDescent="0.2">
      <c r="A336" s="150" t="s">
        <v>1696</v>
      </c>
      <c r="B336" s="9" t="s">
        <v>3290</v>
      </c>
      <c r="C336" s="9" t="s">
        <v>3291</v>
      </c>
      <c r="D336" s="252">
        <v>1.4</v>
      </c>
      <c r="E336" s="221">
        <v>878</v>
      </c>
      <c r="F336" s="246">
        <v>859</v>
      </c>
      <c r="G336" s="247">
        <v>573</v>
      </c>
      <c r="H336" s="248">
        <v>484</v>
      </c>
      <c r="I336" s="249">
        <v>736</v>
      </c>
      <c r="J336" s="122" t="b">
        <f>IF(ISBLANK(CertifiedCrop[[#This Row],[1. Identifiant interne d’exploitation agricole*]]),"",IF(ISERROR(MATCH(CertifiedCrop[[#This Row],[1. Identifiant interne d’exploitation agricole*]],GroupMember[1. Identifiant interne d’exploitation agricole*],0)),FALSE,TRUE))</f>
        <v>1</v>
      </c>
      <c r="K336" s="122" t="b">
        <f t="array" ref="K336">IF(ISBLANK(CertifiedCrop[[#This Row],[2. Produit agricole certifié*]]),"",IF(ISERROR(MATCH(1,(#REF!=CertifiedCrop[[#This Row],[2. Produit agricole certifié*]])*(#REF!=CertifiedCrop[[#This Row],[3. Variété**]]),0)),FALSE,TRUE))</f>
        <v>0</v>
      </c>
      <c r="L336" s="20" t="str">
        <f t="shared" si="25"/>
        <v/>
      </c>
      <c r="M336" s="54" t="str">
        <f t="shared" si="26"/>
        <v>!</v>
      </c>
      <c r="N336" s="54" t="str">
        <f t="shared" si="27"/>
        <v/>
      </c>
      <c r="O336" s="55">
        <f t="shared" si="28"/>
        <v>627.14285714285722</v>
      </c>
      <c r="P336" s="55">
        <f t="shared" si="29"/>
        <v>613.57142857142856</v>
      </c>
      <c r="Q336" s="9" t="str">
        <f ca="1">IFERROR((VLOOKUP(A336,GM_Table,8,FALSE)-SUMIFS(D:D,A:A,A336,B:B,B336,C:C,C336)),"")</f>
        <v/>
      </c>
      <c r="R336" s="9" t="str">
        <f ca="1">IFERROR(CONCATENATE(VLOOKUP(A336,GM_Table,12,FALSE)," ",(VLOOKUP(A336,GM_Table,13,FALSE))),"")</f>
        <v/>
      </c>
    </row>
    <row r="337" spans="1:18" ht="15" x14ac:dyDescent="0.2">
      <c r="A337" s="150" t="s">
        <v>1699</v>
      </c>
      <c r="B337" s="9" t="s">
        <v>3290</v>
      </c>
      <c r="C337" s="9" t="s">
        <v>3291</v>
      </c>
      <c r="D337" s="252">
        <v>1.69</v>
      </c>
      <c r="E337" s="245">
        <v>1003</v>
      </c>
      <c r="F337" s="246">
        <v>956</v>
      </c>
      <c r="G337" s="247">
        <v>657</v>
      </c>
      <c r="H337" s="248">
        <v>659</v>
      </c>
      <c r="I337" s="249">
        <v>835</v>
      </c>
      <c r="J337" s="122" t="b">
        <f>IF(ISBLANK(CertifiedCrop[[#This Row],[1. Identifiant interne d’exploitation agricole*]]),"",IF(ISERROR(MATCH(CertifiedCrop[[#This Row],[1. Identifiant interne d’exploitation agricole*]],GroupMember[1. Identifiant interne d’exploitation agricole*],0)),FALSE,TRUE))</f>
        <v>1</v>
      </c>
      <c r="K337" s="122" t="b">
        <f t="array" ref="K337">IF(ISBLANK(CertifiedCrop[[#This Row],[2. Produit agricole certifié*]]),"",IF(ISERROR(MATCH(1,(#REF!=CertifiedCrop[[#This Row],[2. Produit agricole certifié*]])*(#REF!=CertifiedCrop[[#This Row],[3. Variété**]]),0)),FALSE,TRUE))</f>
        <v>0</v>
      </c>
      <c r="L337" s="20" t="str">
        <f t="shared" si="25"/>
        <v/>
      </c>
      <c r="M337" s="54" t="str">
        <f t="shared" si="26"/>
        <v>!</v>
      </c>
      <c r="N337" s="54" t="str">
        <f t="shared" si="27"/>
        <v/>
      </c>
      <c r="O337" s="55">
        <f t="shared" si="28"/>
        <v>593.49112426035504</v>
      </c>
      <c r="P337" s="55">
        <f t="shared" si="29"/>
        <v>565.68047337278108</v>
      </c>
      <c r="Q337" s="9" t="str">
        <f ca="1">IFERROR((VLOOKUP(A337,GM_Table,8,FALSE)-SUMIFS(D:D,A:A,A337,B:B,B337,C:C,C337)),"")</f>
        <v/>
      </c>
      <c r="R337" s="9" t="str">
        <f ca="1">IFERROR(CONCATENATE(VLOOKUP(A337,GM_Table,12,FALSE)," ",(VLOOKUP(A337,GM_Table,13,FALSE))),"")</f>
        <v/>
      </c>
    </row>
    <row r="338" spans="1:18" ht="15" x14ac:dyDescent="0.2">
      <c r="A338" s="150" t="s">
        <v>1702</v>
      </c>
      <c r="B338" s="9" t="s">
        <v>3290</v>
      </c>
      <c r="C338" s="9" t="s">
        <v>3291</v>
      </c>
      <c r="D338" s="252">
        <v>0.97</v>
      </c>
      <c r="E338" s="221">
        <v>609</v>
      </c>
      <c r="F338" s="246">
        <v>604</v>
      </c>
      <c r="G338" s="247">
        <v>352</v>
      </c>
      <c r="H338" s="248">
        <v>431</v>
      </c>
      <c r="I338" s="249">
        <v>547</v>
      </c>
      <c r="J338" s="122" t="b">
        <f>IF(ISBLANK(CertifiedCrop[[#This Row],[1. Identifiant interne d’exploitation agricole*]]),"",IF(ISERROR(MATCH(CertifiedCrop[[#This Row],[1. Identifiant interne d’exploitation agricole*]],GroupMember[1. Identifiant interne d’exploitation agricole*],0)),FALSE,TRUE))</f>
        <v>1</v>
      </c>
      <c r="K338" s="122" t="b">
        <f t="array" ref="K338">IF(ISBLANK(CertifiedCrop[[#This Row],[2. Produit agricole certifié*]]),"",IF(ISERROR(MATCH(1,(#REF!=CertifiedCrop[[#This Row],[2. Produit agricole certifié*]])*(#REF!=CertifiedCrop[[#This Row],[3. Variété**]]),0)),FALSE,TRUE))</f>
        <v>0</v>
      </c>
      <c r="L338" s="20" t="str">
        <f t="shared" si="25"/>
        <v/>
      </c>
      <c r="M338" s="54" t="str">
        <f t="shared" si="26"/>
        <v>!</v>
      </c>
      <c r="N338" s="54" t="str">
        <f t="shared" si="27"/>
        <v/>
      </c>
      <c r="O338" s="55">
        <f t="shared" si="28"/>
        <v>627.83505154639181</v>
      </c>
      <c r="P338" s="55">
        <f t="shared" si="29"/>
        <v>622.68041237113403</v>
      </c>
      <c r="Q338" s="9" t="str">
        <f ca="1">IFERROR((VLOOKUP(A338,GM_Table,8,FALSE)-SUMIFS(D:D,A:A,A338,B:B,B338,C:C,C338)),"")</f>
        <v/>
      </c>
      <c r="R338" s="9" t="str">
        <f ca="1">IFERROR(CONCATENATE(VLOOKUP(A338,GM_Table,12,FALSE)," ",(VLOOKUP(A338,GM_Table,13,FALSE))),"")</f>
        <v/>
      </c>
    </row>
    <row r="339" spans="1:18" ht="15" x14ac:dyDescent="0.2">
      <c r="A339" s="150" t="s">
        <v>1705</v>
      </c>
      <c r="B339" s="9" t="s">
        <v>3290</v>
      </c>
      <c r="C339" s="9" t="s">
        <v>3291</v>
      </c>
      <c r="D339" s="252">
        <v>2.66</v>
      </c>
      <c r="E339" s="245">
        <v>1397</v>
      </c>
      <c r="F339" s="246">
        <v>1323</v>
      </c>
      <c r="G339" s="247">
        <v>758</v>
      </c>
      <c r="H339" s="248">
        <v>1165</v>
      </c>
      <c r="I339" s="249">
        <v>1093</v>
      </c>
      <c r="J339" s="122" t="b">
        <f>IF(ISBLANK(CertifiedCrop[[#This Row],[1. Identifiant interne d’exploitation agricole*]]),"",IF(ISERROR(MATCH(CertifiedCrop[[#This Row],[1. Identifiant interne d’exploitation agricole*]],GroupMember[1. Identifiant interne d’exploitation agricole*],0)),FALSE,TRUE))</f>
        <v>1</v>
      </c>
      <c r="K339" s="122" t="b">
        <f t="array" ref="K339">IF(ISBLANK(CertifiedCrop[[#This Row],[2. Produit agricole certifié*]]),"",IF(ISERROR(MATCH(1,(#REF!=CertifiedCrop[[#This Row],[2. Produit agricole certifié*]])*(#REF!=CertifiedCrop[[#This Row],[3. Variété**]]),0)),FALSE,TRUE))</f>
        <v>0</v>
      </c>
      <c r="L339" s="20" t="str">
        <f t="shared" si="25"/>
        <v/>
      </c>
      <c r="M339" s="54" t="str">
        <f t="shared" si="26"/>
        <v>!</v>
      </c>
      <c r="N339" s="54" t="str">
        <f t="shared" si="27"/>
        <v>!</v>
      </c>
      <c r="O339" s="55">
        <f t="shared" si="28"/>
        <v>525.18796992481202</v>
      </c>
      <c r="P339" s="55">
        <f t="shared" si="29"/>
        <v>497.36842105263156</v>
      </c>
      <c r="Q339" s="9" t="str">
        <f ca="1">IFERROR((VLOOKUP(A339,GM_Table,8,FALSE)-SUMIFS(D:D,A:A,A339,B:B,B339,C:C,C339)),"")</f>
        <v/>
      </c>
      <c r="R339" s="9" t="str">
        <f ca="1">IFERROR(CONCATENATE(VLOOKUP(A339,GM_Table,12,FALSE)," ",(VLOOKUP(A339,GM_Table,13,FALSE))),"")</f>
        <v/>
      </c>
    </row>
    <row r="340" spans="1:18" ht="15" x14ac:dyDescent="0.2">
      <c r="A340" s="150" t="s">
        <v>1707</v>
      </c>
      <c r="B340" s="9" t="s">
        <v>3290</v>
      </c>
      <c r="C340" s="9" t="s">
        <v>3291</v>
      </c>
      <c r="D340" s="252">
        <v>1.0900000000000001</v>
      </c>
      <c r="E340" s="221">
        <v>619</v>
      </c>
      <c r="F340" s="246">
        <v>608</v>
      </c>
      <c r="G340" s="247">
        <v>411</v>
      </c>
      <c r="H340" s="248">
        <v>415</v>
      </c>
      <c r="I340" s="249">
        <v>605</v>
      </c>
      <c r="J340" s="122" t="b">
        <f>IF(ISBLANK(CertifiedCrop[[#This Row],[1. Identifiant interne d’exploitation agricole*]]),"",IF(ISERROR(MATCH(CertifiedCrop[[#This Row],[1. Identifiant interne d’exploitation agricole*]],GroupMember[1. Identifiant interne d’exploitation agricole*],0)),FALSE,TRUE))</f>
        <v>1</v>
      </c>
      <c r="K340" s="122" t="b">
        <f t="array" ref="K340">IF(ISBLANK(CertifiedCrop[[#This Row],[2. Produit agricole certifié*]]),"",IF(ISERROR(MATCH(1,(#REF!=CertifiedCrop[[#This Row],[2. Produit agricole certifié*]])*(#REF!=CertifiedCrop[[#This Row],[3. Variété**]]),0)),FALSE,TRUE))</f>
        <v>0</v>
      </c>
      <c r="L340" s="20" t="str">
        <f t="shared" si="25"/>
        <v/>
      </c>
      <c r="M340" s="54" t="str">
        <f t="shared" si="26"/>
        <v>!</v>
      </c>
      <c r="N340" s="54" t="str">
        <f t="shared" si="27"/>
        <v/>
      </c>
      <c r="O340" s="55">
        <f t="shared" si="28"/>
        <v>567.88990825688074</v>
      </c>
      <c r="P340" s="55">
        <f t="shared" si="29"/>
        <v>557.79816513761466</v>
      </c>
      <c r="Q340" s="9" t="str">
        <f ca="1">IFERROR((VLOOKUP(A340,GM_Table,8,FALSE)-SUMIFS(D:D,A:A,A340,B:B,B340,C:C,C340)),"")</f>
        <v/>
      </c>
      <c r="R340" s="9" t="str">
        <f ca="1">IFERROR(CONCATENATE(VLOOKUP(A340,GM_Table,12,FALSE)," ",(VLOOKUP(A340,GM_Table,13,FALSE))),"")</f>
        <v/>
      </c>
    </row>
    <row r="341" spans="1:18" ht="15" x14ac:dyDescent="0.2">
      <c r="A341" s="150" t="s">
        <v>1709</v>
      </c>
      <c r="B341" s="9" t="s">
        <v>3290</v>
      </c>
      <c r="C341" s="9" t="s">
        <v>3291</v>
      </c>
      <c r="D341" s="252">
        <v>4.1900000000000004</v>
      </c>
      <c r="E341" s="245">
        <v>2478</v>
      </c>
      <c r="F341" s="246">
        <v>2369</v>
      </c>
      <c r="G341" s="247">
        <v>1776</v>
      </c>
      <c r="H341" s="248">
        <v>2082</v>
      </c>
      <c r="I341" s="249">
        <v>1624</v>
      </c>
      <c r="J341" s="122" t="b">
        <f>IF(ISBLANK(CertifiedCrop[[#This Row],[1. Identifiant interne d’exploitation agricole*]]),"",IF(ISERROR(MATCH(CertifiedCrop[[#This Row],[1. Identifiant interne d’exploitation agricole*]],GroupMember[1. Identifiant interne d’exploitation agricole*],0)),FALSE,TRUE))</f>
        <v>1</v>
      </c>
      <c r="K341" s="122" t="b">
        <f t="array" ref="K341">IF(ISBLANK(CertifiedCrop[[#This Row],[2. Produit agricole certifié*]]),"",IF(ISERROR(MATCH(1,(#REF!=CertifiedCrop[[#This Row],[2. Produit agricole certifié*]])*(#REF!=CertifiedCrop[[#This Row],[3. Variété**]]),0)),FALSE,TRUE))</f>
        <v>0</v>
      </c>
      <c r="L341" s="20" t="str">
        <f t="shared" si="25"/>
        <v/>
      </c>
      <c r="M341" s="54" t="str">
        <f t="shared" si="26"/>
        <v>!</v>
      </c>
      <c r="N341" s="54" t="str">
        <f t="shared" si="27"/>
        <v/>
      </c>
      <c r="O341" s="55">
        <f t="shared" si="28"/>
        <v>591.40811455847245</v>
      </c>
      <c r="P341" s="55">
        <f t="shared" si="29"/>
        <v>565.39379474940324</v>
      </c>
      <c r="Q341" s="9" t="str">
        <f ca="1">IFERROR((VLOOKUP(A341,GM_Table,8,FALSE)-SUMIFS(D:D,A:A,A341,B:B,B341,C:C,C341)),"")</f>
        <v/>
      </c>
      <c r="R341" s="9" t="str">
        <f ca="1">IFERROR(CONCATENATE(VLOOKUP(A341,GM_Table,12,FALSE)," ",(VLOOKUP(A341,GM_Table,13,FALSE))),"")</f>
        <v/>
      </c>
    </row>
    <row r="342" spans="1:18" ht="15" x14ac:dyDescent="0.2">
      <c r="A342" s="150" t="s">
        <v>1712</v>
      </c>
      <c r="B342" s="9" t="s">
        <v>3290</v>
      </c>
      <c r="C342" s="9" t="s">
        <v>3291</v>
      </c>
      <c r="D342" s="252">
        <v>2</v>
      </c>
      <c r="E342" s="245">
        <v>1259</v>
      </c>
      <c r="F342" s="246">
        <v>1175</v>
      </c>
      <c r="G342" s="247">
        <v>729</v>
      </c>
      <c r="H342" s="248">
        <v>1016</v>
      </c>
      <c r="I342" s="249">
        <v>984</v>
      </c>
      <c r="J342" s="122" t="b">
        <f>IF(ISBLANK(CertifiedCrop[[#This Row],[1. Identifiant interne d’exploitation agricole*]]),"",IF(ISERROR(MATCH(CertifiedCrop[[#This Row],[1. Identifiant interne d’exploitation agricole*]],GroupMember[1. Identifiant interne d’exploitation agricole*],0)),FALSE,TRUE))</f>
        <v>1</v>
      </c>
      <c r="K342" s="122" t="b">
        <f t="array" ref="K342">IF(ISBLANK(CertifiedCrop[[#This Row],[2. Produit agricole certifié*]]),"",IF(ISERROR(MATCH(1,(#REF!=CertifiedCrop[[#This Row],[2. Produit agricole certifié*]])*(#REF!=CertifiedCrop[[#This Row],[3. Variété**]]),0)),FALSE,TRUE))</f>
        <v>0</v>
      </c>
      <c r="L342" s="20" t="str">
        <f t="shared" si="25"/>
        <v/>
      </c>
      <c r="M342" s="54" t="str">
        <f t="shared" si="26"/>
        <v>!</v>
      </c>
      <c r="N342" s="54" t="str">
        <f t="shared" si="27"/>
        <v>!</v>
      </c>
      <c r="O342" s="55">
        <f t="shared" si="28"/>
        <v>629.5</v>
      </c>
      <c r="P342" s="55">
        <f t="shared" si="29"/>
        <v>587.5</v>
      </c>
      <c r="Q342" s="9" t="str">
        <f ca="1">IFERROR((VLOOKUP(A342,GM_Table,8,FALSE)-SUMIFS(D:D,A:A,A342,B:B,B342,C:C,C342)),"")</f>
        <v/>
      </c>
      <c r="R342" s="9" t="str">
        <f ca="1">IFERROR(CONCATENATE(VLOOKUP(A342,GM_Table,12,FALSE)," ",(VLOOKUP(A342,GM_Table,13,FALSE))),"")</f>
        <v/>
      </c>
    </row>
    <row r="343" spans="1:18" ht="15" x14ac:dyDescent="0.2">
      <c r="A343" s="150" t="s">
        <v>1715</v>
      </c>
      <c r="B343" s="9" t="s">
        <v>3290</v>
      </c>
      <c r="C343" s="9" t="s">
        <v>3291</v>
      </c>
      <c r="D343" s="252">
        <v>0.91</v>
      </c>
      <c r="E343" s="221">
        <v>491</v>
      </c>
      <c r="F343" s="246">
        <v>451</v>
      </c>
      <c r="G343" s="247">
        <v>326</v>
      </c>
      <c r="H343" s="248">
        <v>219</v>
      </c>
      <c r="I343" s="249">
        <v>489</v>
      </c>
      <c r="J343" s="122" t="b">
        <f>IF(ISBLANK(CertifiedCrop[[#This Row],[1. Identifiant interne d’exploitation agricole*]]),"",IF(ISERROR(MATCH(CertifiedCrop[[#This Row],[1. Identifiant interne d’exploitation agricole*]],GroupMember[1. Identifiant interne d’exploitation agricole*],0)),FALSE,TRUE))</f>
        <v>1</v>
      </c>
      <c r="K343" s="122" t="b">
        <f t="array" ref="K343">IF(ISBLANK(CertifiedCrop[[#This Row],[2. Produit agricole certifié*]]),"",IF(ISERROR(MATCH(1,(#REF!=CertifiedCrop[[#This Row],[2. Produit agricole certifié*]])*(#REF!=CertifiedCrop[[#This Row],[3. Variété**]]),0)),FALSE,TRUE))</f>
        <v>0</v>
      </c>
      <c r="L343" s="20" t="str">
        <f t="shared" si="25"/>
        <v/>
      </c>
      <c r="M343" s="54" t="str">
        <f t="shared" si="26"/>
        <v>!</v>
      </c>
      <c r="N343" s="54" t="str">
        <f t="shared" si="27"/>
        <v>!</v>
      </c>
      <c r="O343" s="55">
        <f t="shared" si="28"/>
        <v>539.56043956043959</v>
      </c>
      <c r="P343" s="55">
        <f t="shared" si="29"/>
        <v>495.60439560439556</v>
      </c>
      <c r="Q343" s="9" t="str">
        <f ca="1">IFERROR((VLOOKUP(A343,GM_Table,8,FALSE)-SUMIFS(D:D,A:A,A343,B:B,B343,C:C,C343)),"")</f>
        <v/>
      </c>
      <c r="R343" s="9" t="str">
        <f ca="1">IFERROR(CONCATENATE(VLOOKUP(A343,GM_Table,12,FALSE)," ",(VLOOKUP(A343,GM_Table,13,FALSE))),"")</f>
        <v/>
      </c>
    </row>
    <row r="344" spans="1:18" ht="15" x14ac:dyDescent="0.2">
      <c r="A344" s="190" t="s">
        <v>1719</v>
      </c>
      <c r="B344" s="9" t="s">
        <v>3290</v>
      </c>
      <c r="C344" s="9" t="s">
        <v>3291</v>
      </c>
      <c r="D344" s="252">
        <v>15.77</v>
      </c>
      <c r="E344" s="245">
        <v>9327</v>
      </c>
      <c r="F344" s="246">
        <v>8968</v>
      </c>
      <c r="G344" s="247">
        <v>7566</v>
      </c>
      <c r="H344" s="248">
        <v>7356</v>
      </c>
      <c r="I344" s="249">
        <v>3895</v>
      </c>
      <c r="J344" s="122" t="b">
        <f>IF(ISBLANK(CertifiedCrop[[#This Row],[1. Identifiant interne d’exploitation agricole*]]),"",IF(ISERROR(MATCH(CertifiedCrop[[#This Row],[1. Identifiant interne d’exploitation agricole*]],GroupMember[1. Identifiant interne d’exploitation agricole*],0)),FALSE,TRUE))</f>
        <v>1</v>
      </c>
      <c r="K344" s="122" t="b">
        <f t="array" ref="K344">IF(ISBLANK(CertifiedCrop[[#This Row],[2. Produit agricole certifié*]]),"",IF(ISERROR(MATCH(1,(#REF!=CertifiedCrop[[#This Row],[2. Produit agricole certifié*]])*(#REF!=CertifiedCrop[[#This Row],[3. Variété**]]),0)),FALSE,TRUE))</f>
        <v>0</v>
      </c>
      <c r="L344" s="20" t="str">
        <f t="shared" si="25"/>
        <v/>
      </c>
      <c r="M344" s="54" t="str">
        <f t="shared" si="26"/>
        <v/>
      </c>
      <c r="N344" s="54" t="str">
        <f t="shared" si="27"/>
        <v/>
      </c>
      <c r="O344" s="55">
        <f t="shared" si="28"/>
        <v>591.43944197844007</v>
      </c>
      <c r="P344" s="55">
        <f t="shared" si="29"/>
        <v>568.67469879518069</v>
      </c>
      <c r="Q344" s="9" t="str">
        <f ca="1">IFERROR((VLOOKUP(A344,GM_Table,8,FALSE)-SUMIFS(D:D,A:A,A344,B:B,B344,C:C,C344)),"")</f>
        <v/>
      </c>
      <c r="R344" s="9" t="str">
        <f ca="1">IFERROR(CONCATENATE(VLOOKUP(A344,GM_Table,12,FALSE)," ",(VLOOKUP(A344,GM_Table,13,FALSE))),"")</f>
        <v/>
      </c>
    </row>
    <row r="345" spans="1:18" ht="15" x14ac:dyDescent="0.2">
      <c r="A345" s="190" t="s">
        <v>1723</v>
      </c>
      <c r="B345" s="9" t="s">
        <v>3290</v>
      </c>
      <c r="C345" s="9" t="s">
        <v>3291</v>
      </c>
      <c r="D345" s="252">
        <v>2.5899000000000001</v>
      </c>
      <c r="E345" s="245">
        <v>1537</v>
      </c>
      <c r="F345" s="246">
        <v>1496</v>
      </c>
      <c r="G345" s="247">
        <v>1209</v>
      </c>
      <c r="H345" s="248">
        <v>1438</v>
      </c>
      <c r="I345" s="249">
        <v>965</v>
      </c>
      <c r="J345" s="122" t="b">
        <f>IF(ISBLANK(CertifiedCrop[[#This Row],[1. Identifiant interne d’exploitation agricole*]]),"",IF(ISERROR(MATCH(CertifiedCrop[[#This Row],[1. Identifiant interne d’exploitation agricole*]],GroupMember[1. Identifiant interne d’exploitation agricole*],0)),FALSE,TRUE))</f>
        <v>1</v>
      </c>
      <c r="K345" s="122" t="b">
        <f t="array" ref="K345">IF(ISBLANK(CertifiedCrop[[#This Row],[2. Produit agricole certifié*]]),"",IF(ISERROR(MATCH(1,(#REF!=CertifiedCrop[[#This Row],[2. Produit agricole certifié*]])*(#REF!=CertifiedCrop[[#This Row],[3. Variété**]]),0)),FALSE,TRUE))</f>
        <v>0</v>
      </c>
      <c r="L345" s="20" t="str">
        <f t="shared" si="25"/>
        <v/>
      </c>
      <c r="M345" s="54" t="str">
        <f t="shared" si="26"/>
        <v/>
      </c>
      <c r="N345" s="54" t="str">
        <f t="shared" si="27"/>
        <v/>
      </c>
      <c r="O345" s="55">
        <f t="shared" si="28"/>
        <v>593.45920691918604</v>
      </c>
      <c r="P345" s="55">
        <f t="shared" si="29"/>
        <v>577.62847986408735</v>
      </c>
      <c r="Q345" s="9" t="str">
        <f ca="1">IFERROR((VLOOKUP(A345,GM_Table,8,FALSE)-SUMIFS(D:D,A:A,A345,B:B,B345,C:C,C345)),"")</f>
        <v/>
      </c>
      <c r="R345" s="9" t="str">
        <f ca="1">IFERROR(CONCATENATE(VLOOKUP(A345,GM_Table,12,FALSE)," ",(VLOOKUP(A345,GM_Table,13,FALSE))),"")</f>
        <v/>
      </c>
    </row>
    <row r="346" spans="1:18" ht="15" x14ac:dyDescent="0.2">
      <c r="A346" s="190" t="s">
        <v>1726</v>
      </c>
      <c r="B346" s="9" t="s">
        <v>3290</v>
      </c>
      <c r="C346" s="9" t="s">
        <v>3291</v>
      </c>
      <c r="D346" s="252">
        <v>0.93</v>
      </c>
      <c r="E346" s="221">
        <v>510</v>
      </c>
      <c r="F346" s="246">
        <v>500</v>
      </c>
      <c r="G346" s="247">
        <v>412</v>
      </c>
      <c r="H346" s="248">
        <v>236</v>
      </c>
      <c r="I346" s="249">
        <v>504</v>
      </c>
      <c r="J346" s="122" t="b">
        <f>IF(ISBLANK(CertifiedCrop[[#This Row],[1. Identifiant interne d’exploitation agricole*]]),"",IF(ISERROR(MATCH(CertifiedCrop[[#This Row],[1. Identifiant interne d’exploitation agricole*]],GroupMember[1. Identifiant interne d’exploitation agricole*],0)),FALSE,TRUE))</f>
        <v>1</v>
      </c>
      <c r="K346" s="122" t="b">
        <f t="array" ref="K346">IF(ISBLANK(CertifiedCrop[[#This Row],[2. Produit agricole certifié*]]),"",IF(ISERROR(MATCH(1,(#REF!=CertifiedCrop[[#This Row],[2. Produit agricole certifié*]])*(#REF!=CertifiedCrop[[#This Row],[3. Variété**]]),0)),FALSE,TRUE))</f>
        <v>0</v>
      </c>
      <c r="L346" s="20" t="str">
        <f t="shared" si="25"/>
        <v/>
      </c>
      <c r="M346" s="54" t="str">
        <f t="shared" si="26"/>
        <v/>
      </c>
      <c r="N346" s="54" t="str">
        <f t="shared" si="27"/>
        <v>!</v>
      </c>
      <c r="O346" s="55">
        <f t="shared" si="28"/>
        <v>548.38709677419354</v>
      </c>
      <c r="P346" s="55">
        <f t="shared" si="29"/>
        <v>537.63440860215053</v>
      </c>
      <c r="Q346" s="9" t="str">
        <f ca="1">IFERROR((VLOOKUP(A346,GM_Table,8,FALSE)-SUMIFS(D:D,A:A,A346,B:B,B346,C:C,C346)),"")</f>
        <v/>
      </c>
      <c r="R346" s="9" t="str">
        <f ca="1">IFERROR(CONCATENATE(VLOOKUP(A346,GM_Table,12,FALSE)," ",(VLOOKUP(A346,GM_Table,13,FALSE))),"")</f>
        <v/>
      </c>
    </row>
    <row r="347" spans="1:18" ht="15" x14ac:dyDescent="0.2">
      <c r="A347" s="190" t="s">
        <v>1729</v>
      </c>
      <c r="B347" s="9" t="s">
        <v>3290</v>
      </c>
      <c r="C347" s="9" t="s">
        <v>3291</v>
      </c>
      <c r="D347" s="252">
        <v>1.6180000000000001</v>
      </c>
      <c r="E347" s="221">
        <v>992</v>
      </c>
      <c r="F347" s="246">
        <v>956</v>
      </c>
      <c r="G347" s="247">
        <v>763</v>
      </c>
      <c r="H347" s="248">
        <v>704</v>
      </c>
      <c r="I347" s="249">
        <v>895</v>
      </c>
      <c r="J347" s="122" t="b">
        <f>IF(ISBLANK(CertifiedCrop[[#This Row],[1. Identifiant interne d’exploitation agricole*]]),"",IF(ISERROR(MATCH(CertifiedCrop[[#This Row],[1. Identifiant interne d’exploitation agricole*]],GroupMember[1. Identifiant interne d’exploitation agricole*],0)),FALSE,TRUE))</f>
        <v>1</v>
      </c>
      <c r="K347" s="122" t="b">
        <f t="array" ref="K347">IF(ISBLANK(CertifiedCrop[[#This Row],[2. Produit agricole certifié*]]),"",IF(ISERROR(MATCH(1,(#REF!=CertifiedCrop[[#This Row],[2. Produit agricole certifié*]])*(#REF!=CertifiedCrop[[#This Row],[3. Variété**]]),0)),FALSE,TRUE))</f>
        <v>0</v>
      </c>
      <c r="L347" s="20" t="str">
        <f t="shared" si="25"/>
        <v/>
      </c>
      <c r="M347" s="54" t="str">
        <f t="shared" si="26"/>
        <v>!</v>
      </c>
      <c r="N347" s="54" t="str">
        <f t="shared" si="27"/>
        <v/>
      </c>
      <c r="O347" s="55">
        <f t="shared" si="28"/>
        <v>613.10259579728051</v>
      </c>
      <c r="P347" s="55">
        <f t="shared" si="29"/>
        <v>590.8529048207663</v>
      </c>
      <c r="Q347" s="9" t="str">
        <f ca="1">IFERROR((VLOOKUP(A347,GM_Table,8,FALSE)-SUMIFS(D:D,A:A,A347,B:B,B347,C:C,C347)),"")</f>
        <v/>
      </c>
      <c r="R347" s="9" t="str">
        <f ca="1">IFERROR(CONCATENATE(VLOOKUP(A347,GM_Table,12,FALSE)," ",(VLOOKUP(A347,GM_Table,13,FALSE))),"")</f>
        <v/>
      </c>
    </row>
    <row r="348" spans="1:18" ht="15" x14ac:dyDescent="0.2">
      <c r="A348" s="190" t="s">
        <v>1731</v>
      </c>
      <c r="B348" s="9" t="s">
        <v>3290</v>
      </c>
      <c r="C348" s="9" t="s">
        <v>3291</v>
      </c>
      <c r="D348" s="252">
        <v>1.44</v>
      </c>
      <c r="E348" s="221">
        <v>845</v>
      </c>
      <c r="F348" s="246">
        <v>818</v>
      </c>
      <c r="G348" s="247">
        <v>544</v>
      </c>
      <c r="H348" s="248">
        <v>462</v>
      </c>
      <c r="I348" s="249">
        <v>1121</v>
      </c>
      <c r="J348" s="122" t="b">
        <f>IF(ISBLANK(CertifiedCrop[[#This Row],[1. Identifiant interne d’exploitation agricole*]]),"",IF(ISERROR(MATCH(CertifiedCrop[[#This Row],[1. Identifiant interne d’exploitation agricole*]],GroupMember[1. Identifiant interne d’exploitation agricole*],0)),FALSE,TRUE))</f>
        <v>1</v>
      </c>
      <c r="K348" s="122" t="b">
        <f t="array" ref="K348">IF(ISBLANK(CertifiedCrop[[#This Row],[2. Produit agricole certifié*]]),"",IF(ISERROR(MATCH(1,(#REF!=CertifiedCrop[[#This Row],[2. Produit agricole certifié*]])*(#REF!=CertifiedCrop[[#This Row],[3. Variété**]]),0)),FALSE,TRUE))</f>
        <v>0</v>
      </c>
      <c r="L348" s="20" t="str">
        <f t="shared" si="25"/>
        <v/>
      </c>
      <c r="M348" s="54" t="str">
        <f t="shared" si="26"/>
        <v>!</v>
      </c>
      <c r="N348" s="54" t="str">
        <f t="shared" si="27"/>
        <v/>
      </c>
      <c r="O348" s="55">
        <f t="shared" si="28"/>
        <v>586.80555555555554</v>
      </c>
      <c r="P348" s="55">
        <f t="shared" si="29"/>
        <v>568.05555555555554</v>
      </c>
      <c r="Q348" s="9" t="str">
        <f ca="1">IFERROR((VLOOKUP(A348,GM_Table,8,FALSE)-SUMIFS(D:D,A:A,A348,B:B,B348,C:C,C348)),"")</f>
        <v/>
      </c>
      <c r="R348" s="9" t="str">
        <f ca="1">IFERROR(CONCATENATE(VLOOKUP(A348,GM_Table,12,FALSE)," ",(VLOOKUP(A348,GM_Table,13,FALSE))),"")</f>
        <v/>
      </c>
    </row>
    <row r="349" spans="1:18" ht="15" x14ac:dyDescent="0.2">
      <c r="A349" s="190" t="s">
        <v>1734</v>
      </c>
      <c r="B349" s="9" t="s">
        <v>3290</v>
      </c>
      <c r="C349" s="9" t="s">
        <v>3291</v>
      </c>
      <c r="D349" s="252">
        <v>4.51</v>
      </c>
      <c r="E349" s="245">
        <v>2830</v>
      </c>
      <c r="F349" s="246">
        <v>2745</v>
      </c>
      <c r="G349" s="247">
        <v>2409</v>
      </c>
      <c r="H349" s="248">
        <v>1856</v>
      </c>
      <c r="I349" s="249">
        <v>2499</v>
      </c>
      <c r="J349" s="122" t="b">
        <f>IF(ISBLANK(CertifiedCrop[[#This Row],[1. Identifiant interne d’exploitation agricole*]]),"",IF(ISERROR(MATCH(CertifiedCrop[[#This Row],[1. Identifiant interne d’exploitation agricole*]],GroupMember[1. Identifiant interne d’exploitation agricole*],0)),FALSE,TRUE))</f>
        <v>1</v>
      </c>
      <c r="K349" s="122" t="b">
        <f t="array" ref="K349">IF(ISBLANK(CertifiedCrop[[#This Row],[2. Produit agricole certifié*]]),"",IF(ISERROR(MATCH(1,(#REF!=CertifiedCrop[[#This Row],[2. Produit agricole certifié*]])*(#REF!=CertifiedCrop[[#This Row],[3. Variété**]]),0)),FALSE,TRUE))</f>
        <v>0</v>
      </c>
      <c r="L349" s="20" t="str">
        <f t="shared" si="25"/>
        <v/>
      </c>
      <c r="M349" s="54" t="str">
        <f t="shared" si="26"/>
        <v/>
      </c>
      <c r="N349" s="54" t="str">
        <f t="shared" si="27"/>
        <v>!</v>
      </c>
      <c r="O349" s="55">
        <f t="shared" si="28"/>
        <v>627.49445676274945</v>
      </c>
      <c r="P349" s="55">
        <f t="shared" si="29"/>
        <v>608.64745011086472</v>
      </c>
      <c r="Q349" s="9" t="str">
        <f ca="1">IFERROR((VLOOKUP(A349,GM_Table,8,FALSE)-SUMIFS(D:D,A:A,A349,B:B,B349,C:C,C349)),"")</f>
        <v/>
      </c>
      <c r="R349" s="9" t="str">
        <f ca="1">IFERROR(CONCATENATE(VLOOKUP(A349,GM_Table,12,FALSE)," ",(VLOOKUP(A349,GM_Table,13,FALSE))),"")</f>
        <v/>
      </c>
    </row>
    <row r="350" spans="1:18" ht="15" x14ac:dyDescent="0.2">
      <c r="A350" s="190" t="s">
        <v>1738</v>
      </c>
      <c r="B350" s="9" t="s">
        <v>3290</v>
      </c>
      <c r="C350" s="9" t="s">
        <v>3291</v>
      </c>
      <c r="D350" s="252">
        <v>4.8414999999999999</v>
      </c>
      <c r="E350" s="245">
        <v>3058</v>
      </c>
      <c r="F350" s="246">
        <v>2879</v>
      </c>
      <c r="G350" s="247">
        <v>1780</v>
      </c>
      <c r="H350" s="248">
        <v>2521</v>
      </c>
      <c r="I350" s="249">
        <v>1845</v>
      </c>
      <c r="J350" s="122" t="b">
        <f>IF(ISBLANK(CertifiedCrop[[#This Row],[1. Identifiant interne d’exploitation agricole*]]),"",IF(ISERROR(MATCH(CertifiedCrop[[#This Row],[1. Identifiant interne d’exploitation agricole*]],GroupMember[1. Identifiant interne d’exploitation agricole*],0)),FALSE,TRUE))</f>
        <v>1</v>
      </c>
      <c r="K350" s="122" t="b">
        <f t="array" ref="K350">IF(ISBLANK(CertifiedCrop[[#This Row],[2. Produit agricole certifié*]]),"",IF(ISERROR(MATCH(1,(#REF!=CertifiedCrop[[#This Row],[2. Produit agricole certifié*]])*(#REF!=CertifiedCrop[[#This Row],[3. Variété**]]),0)),FALSE,TRUE))</f>
        <v>0</v>
      </c>
      <c r="L350" s="20" t="str">
        <f t="shared" si="25"/>
        <v/>
      </c>
      <c r="M350" s="54" t="str">
        <f t="shared" si="26"/>
        <v>!</v>
      </c>
      <c r="N350" s="54" t="str">
        <f t="shared" si="27"/>
        <v>!</v>
      </c>
      <c r="O350" s="55">
        <f t="shared" si="28"/>
        <v>631.62243106475262</v>
      </c>
      <c r="P350" s="55">
        <f t="shared" si="29"/>
        <v>594.65041825880405</v>
      </c>
      <c r="Q350" s="9" t="str">
        <f ca="1">IFERROR((VLOOKUP(A350,GM_Table,8,FALSE)-SUMIFS(D:D,A:A,A350,B:B,B350,C:C,C350)),"")</f>
        <v/>
      </c>
      <c r="R350" s="9" t="str">
        <f ca="1">IFERROR(CONCATENATE(VLOOKUP(A350,GM_Table,12,FALSE)," ",(VLOOKUP(A350,GM_Table,13,FALSE))),"")</f>
        <v/>
      </c>
    </row>
    <row r="351" spans="1:18" ht="15" x14ac:dyDescent="0.2">
      <c r="A351" s="190" t="s">
        <v>1742</v>
      </c>
      <c r="B351" s="9" t="s">
        <v>3290</v>
      </c>
      <c r="C351" s="9" t="s">
        <v>3291</v>
      </c>
      <c r="D351" s="252">
        <v>2.2555999999999998</v>
      </c>
      <c r="E351" s="245">
        <v>1436</v>
      </c>
      <c r="F351" s="246">
        <v>1369</v>
      </c>
      <c r="G351" s="247">
        <v>858</v>
      </c>
      <c r="H351" s="248">
        <v>1126</v>
      </c>
      <c r="I351" s="249">
        <v>1165</v>
      </c>
      <c r="J351" s="122" t="b">
        <f>IF(ISBLANK(CertifiedCrop[[#This Row],[1. Identifiant interne d’exploitation agricole*]]),"",IF(ISERROR(MATCH(CertifiedCrop[[#This Row],[1. Identifiant interne d’exploitation agricole*]],GroupMember[1. Identifiant interne d’exploitation agricole*],0)),FALSE,TRUE))</f>
        <v>1</v>
      </c>
      <c r="K351" s="122" t="b">
        <f t="array" ref="K351">IF(ISBLANK(CertifiedCrop[[#This Row],[2. Produit agricole certifié*]]),"",IF(ISERROR(MATCH(1,(#REF!=CertifiedCrop[[#This Row],[2. Produit agricole certifié*]])*(#REF!=CertifiedCrop[[#This Row],[3. Variété**]]),0)),FALSE,TRUE))</f>
        <v>0</v>
      </c>
      <c r="L351" s="20" t="str">
        <f t="shared" si="25"/>
        <v/>
      </c>
      <c r="M351" s="54" t="str">
        <f t="shared" si="26"/>
        <v>!</v>
      </c>
      <c r="N351" s="54" t="str">
        <f t="shared" si="27"/>
        <v/>
      </c>
      <c r="O351" s="55">
        <f t="shared" si="28"/>
        <v>636.63770172016325</v>
      </c>
      <c r="P351" s="55">
        <f t="shared" si="29"/>
        <v>606.93385352012774</v>
      </c>
      <c r="Q351" s="9" t="str">
        <f ca="1">IFERROR((VLOOKUP(A351,GM_Table,8,FALSE)-SUMIFS(D:D,A:A,A351,B:B,B351,C:C,C351)),"")</f>
        <v/>
      </c>
      <c r="R351" s="9" t="str">
        <f ca="1">IFERROR(CONCATENATE(VLOOKUP(A351,GM_Table,12,FALSE)," ",(VLOOKUP(A351,GM_Table,13,FALSE))),"")</f>
        <v/>
      </c>
    </row>
    <row r="352" spans="1:18" ht="15" x14ac:dyDescent="0.2">
      <c r="A352" s="190" t="s">
        <v>1745</v>
      </c>
      <c r="B352" s="9" t="s">
        <v>3290</v>
      </c>
      <c r="C352" s="9" t="s">
        <v>3291</v>
      </c>
      <c r="D352" s="252">
        <v>2.1238000000000001</v>
      </c>
      <c r="E352" s="245">
        <v>1228</v>
      </c>
      <c r="F352" s="246">
        <v>1187</v>
      </c>
      <c r="G352" s="247">
        <v>563</v>
      </c>
      <c r="H352" s="248">
        <v>867</v>
      </c>
      <c r="I352" s="249">
        <v>817</v>
      </c>
      <c r="J352" s="122" t="b">
        <f>IF(ISBLANK(CertifiedCrop[[#This Row],[1. Identifiant interne d’exploitation agricole*]]),"",IF(ISERROR(MATCH(CertifiedCrop[[#This Row],[1. Identifiant interne d’exploitation agricole*]],GroupMember[1. Identifiant interne d’exploitation agricole*],0)),FALSE,TRUE))</f>
        <v>1</v>
      </c>
      <c r="K352" s="122" t="b">
        <f t="array" ref="K352">IF(ISBLANK(CertifiedCrop[[#This Row],[2. Produit agricole certifié*]]),"",IF(ISERROR(MATCH(1,(#REF!=CertifiedCrop[[#This Row],[2. Produit agricole certifié*]])*(#REF!=CertifiedCrop[[#This Row],[3. Variété**]]),0)),FALSE,TRUE))</f>
        <v>0</v>
      </c>
      <c r="L352" s="20" t="str">
        <f t="shared" si="25"/>
        <v/>
      </c>
      <c r="M352" s="54" t="str">
        <f t="shared" si="26"/>
        <v>!</v>
      </c>
      <c r="N352" s="54" t="str">
        <f t="shared" si="27"/>
        <v>!</v>
      </c>
      <c r="O352" s="55">
        <f t="shared" si="28"/>
        <v>578.20887089179769</v>
      </c>
      <c r="P352" s="55">
        <f t="shared" si="29"/>
        <v>558.90385158677839</v>
      </c>
      <c r="Q352" s="9" t="str">
        <f ca="1">IFERROR((VLOOKUP(A352,GM_Table,8,FALSE)-SUMIFS(D:D,A:A,A352,B:B,B352,C:C,C352)),"")</f>
        <v/>
      </c>
      <c r="R352" s="9" t="str">
        <f ca="1">IFERROR(CONCATENATE(VLOOKUP(A352,GM_Table,12,FALSE)," ",(VLOOKUP(A352,GM_Table,13,FALSE))),"")</f>
        <v/>
      </c>
    </row>
    <row r="353" spans="1:18" ht="15" x14ac:dyDescent="0.2">
      <c r="A353" s="190" t="s">
        <v>1746</v>
      </c>
      <c r="B353" s="9" t="s">
        <v>3290</v>
      </c>
      <c r="C353" s="9" t="s">
        <v>3291</v>
      </c>
      <c r="D353" s="252">
        <v>2.5398999999999998</v>
      </c>
      <c r="E353" s="245">
        <v>1500</v>
      </c>
      <c r="F353" s="246">
        <v>1463</v>
      </c>
      <c r="G353" s="247">
        <v>1091</v>
      </c>
      <c r="H353" s="248">
        <v>915</v>
      </c>
      <c r="I353" s="249">
        <v>967</v>
      </c>
      <c r="J353" s="122" t="b">
        <f>IF(ISBLANK(CertifiedCrop[[#This Row],[1. Identifiant interne d’exploitation agricole*]]),"",IF(ISERROR(MATCH(CertifiedCrop[[#This Row],[1. Identifiant interne d’exploitation agricole*]],GroupMember[1. Identifiant interne d’exploitation agricole*],0)),FALSE,TRUE))</f>
        <v>1</v>
      </c>
      <c r="K353" s="122" t="b">
        <f t="array" ref="K353">IF(ISBLANK(CertifiedCrop[[#This Row],[2. Produit agricole certifié*]]),"",IF(ISERROR(MATCH(1,(#REF!=CertifiedCrop[[#This Row],[2. Produit agricole certifié*]])*(#REF!=CertifiedCrop[[#This Row],[3. Variété**]]),0)),FALSE,TRUE))</f>
        <v>0</v>
      </c>
      <c r="L353" s="20" t="str">
        <f t="shared" si="25"/>
        <v/>
      </c>
      <c r="M353" s="54" t="str">
        <f t="shared" si="26"/>
        <v>!</v>
      </c>
      <c r="N353" s="54" t="str">
        <f t="shared" si="27"/>
        <v/>
      </c>
      <c r="O353" s="55">
        <f t="shared" si="28"/>
        <v>590.57443206425455</v>
      </c>
      <c r="P353" s="55">
        <f t="shared" si="29"/>
        <v>576.00692940666954</v>
      </c>
      <c r="Q353" s="9" t="str">
        <f ca="1">IFERROR((VLOOKUP(A353,GM_Table,8,FALSE)-SUMIFS(D:D,A:A,A353,B:B,B353,C:C,C353)),"")</f>
        <v/>
      </c>
      <c r="R353" s="9" t="str">
        <f ca="1">IFERROR(CONCATENATE(VLOOKUP(A353,GM_Table,12,FALSE)," ",(VLOOKUP(A353,GM_Table,13,FALSE))),"")</f>
        <v/>
      </c>
    </row>
    <row r="354" spans="1:18" ht="15" x14ac:dyDescent="0.2">
      <c r="A354" s="190" t="s">
        <v>1750</v>
      </c>
      <c r="B354" s="9" t="s">
        <v>3290</v>
      </c>
      <c r="C354" s="9" t="s">
        <v>3291</v>
      </c>
      <c r="D354" s="252">
        <v>1.1100000000000001</v>
      </c>
      <c r="E354" s="221">
        <v>658</v>
      </c>
      <c r="F354" s="246">
        <v>615</v>
      </c>
      <c r="G354" s="247">
        <v>564</v>
      </c>
      <c r="H354" s="248">
        <v>478</v>
      </c>
      <c r="I354" s="249">
        <v>623</v>
      </c>
      <c r="J354" s="122" t="b">
        <f>IF(ISBLANK(CertifiedCrop[[#This Row],[1. Identifiant interne d’exploitation agricole*]]),"",IF(ISERROR(MATCH(CertifiedCrop[[#This Row],[1. Identifiant interne d’exploitation agricole*]],GroupMember[1. Identifiant interne d’exploitation agricole*],0)),FALSE,TRUE))</f>
        <v>1</v>
      </c>
      <c r="K354" s="122" t="b">
        <f t="array" ref="K354">IF(ISBLANK(CertifiedCrop[[#This Row],[2. Produit agricole certifié*]]),"",IF(ISERROR(MATCH(1,(#REF!=CertifiedCrop[[#This Row],[2. Produit agricole certifié*]])*(#REF!=CertifiedCrop[[#This Row],[3. Variété**]]),0)),FALSE,TRUE))</f>
        <v>0</v>
      </c>
      <c r="L354" s="20" t="str">
        <f t="shared" si="25"/>
        <v/>
      </c>
      <c r="M354" s="54" t="str">
        <f t="shared" si="26"/>
        <v/>
      </c>
      <c r="N354" s="54" t="str">
        <f t="shared" si="27"/>
        <v/>
      </c>
      <c r="O354" s="55">
        <f t="shared" si="28"/>
        <v>592.79279279279274</v>
      </c>
      <c r="P354" s="55">
        <f t="shared" si="29"/>
        <v>554.05405405405395</v>
      </c>
      <c r="Q354" s="9" t="str">
        <f ca="1">IFERROR((VLOOKUP(A354,GM_Table,8,FALSE)-SUMIFS(D:D,A:A,A354,B:B,B354,C:C,C354)),"")</f>
        <v/>
      </c>
      <c r="R354" s="9" t="str">
        <f ca="1">IFERROR(CONCATENATE(VLOOKUP(A354,GM_Table,12,FALSE)," ",(VLOOKUP(A354,GM_Table,13,FALSE))),"")</f>
        <v/>
      </c>
    </row>
    <row r="355" spans="1:18" ht="15" x14ac:dyDescent="0.2">
      <c r="A355" s="190" t="s">
        <v>1753</v>
      </c>
      <c r="B355" s="9" t="s">
        <v>3290</v>
      </c>
      <c r="C355" s="9" t="s">
        <v>3291</v>
      </c>
      <c r="D355" s="252">
        <v>1.06</v>
      </c>
      <c r="E355" s="221">
        <v>639</v>
      </c>
      <c r="F355" s="246">
        <v>617</v>
      </c>
      <c r="G355" s="247">
        <v>216</v>
      </c>
      <c r="H355" s="248">
        <v>449</v>
      </c>
      <c r="I355" s="249">
        <v>563</v>
      </c>
      <c r="J355" s="122" t="b">
        <f>IF(ISBLANK(CertifiedCrop[[#This Row],[1. Identifiant interne d’exploitation agricole*]]),"",IF(ISERROR(MATCH(CertifiedCrop[[#This Row],[1. Identifiant interne d’exploitation agricole*]],GroupMember[1. Identifiant interne d’exploitation agricole*],0)),FALSE,TRUE))</f>
        <v>1</v>
      </c>
      <c r="K355" s="122" t="b">
        <f t="array" ref="K355">IF(ISBLANK(CertifiedCrop[[#This Row],[2. Produit agricole certifié*]]),"",IF(ISERROR(MATCH(1,(#REF!=CertifiedCrop[[#This Row],[2. Produit agricole certifié*]])*(#REF!=CertifiedCrop[[#This Row],[3. Variété**]]),0)),FALSE,TRUE))</f>
        <v>0</v>
      </c>
      <c r="L355" s="20" t="str">
        <f t="shared" si="25"/>
        <v/>
      </c>
      <c r="M355" s="54" t="str">
        <f t="shared" si="26"/>
        <v>!</v>
      </c>
      <c r="N355" s="54" t="str">
        <f t="shared" si="27"/>
        <v>!</v>
      </c>
      <c r="O355" s="55">
        <f t="shared" si="28"/>
        <v>602.83018867924523</v>
      </c>
      <c r="P355" s="55">
        <f t="shared" si="29"/>
        <v>582.07547169811323</v>
      </c>
      <c r="Q355" s="9" t="str">
        <f ca="1">IFERROR((VLOOKUP(A355,GM_Table,8,FALSE)-SUMIFS(D:D,A:A,A355,B:B,B355,C:C,C355)),"")</f>
        <v/>
      </c>
      <c r="R355" s="9" t="str">
        <f ca="1">IFERROR(CONCATENATE(VLOOKUP(A355,GM_Table,12,FALSE)," ",(VLOOKUP(A355,GM_Table,13,FALSE))),"")</f>
        <v/>
      </c>
    </row>
    <row r="356" spans="1:18" ht="15" x14ac:dyDescent="0.2">
      <c r="A356" s="190" t="s">
        <v>1756</v>
      </c>
      <c r="B356" s="9" t="s">
        <v>3290</v>
      </c>
      <c r="C356" s="9" t="s">
        <v>3291</v>
      </c>
      <c r="D356" s="252">
        <v>1.79</v>
      </c>
      <c r="E356" s="245">
        <v>1022</v>
      </c>
      <c r="F356" s="246">
        <v>1008</v>
      </c>
      <c r="G356" s="247">
        <v>1008</v>
      </c>
      <c r="H356" s="248">
        <v>915</v>
      </c>
      <c r="I356" s="249">
        <v>989</v>
      </c>
      <c r="J356" s="122" t="b">
        <f>IF(ISBLANK(CertifiedCrop[[#This Row],[1. Identifiant interne d’exploitation agricole*]]),"",IF(ISERROR(MATCH(CertifiedCrop[[#This Row],[1. Identifiant interne d’exploitation agricole*]],GroupMember[1. Identifiant interne d’exploitation agricole*],0)),FALSE,TRUE))</f>
        <v>1</v>
      </c>
      <c r="K356" s="122" t="b">
        <f t="array" ref="K356">IF(ISBLANK(CertifiedCrop[[#This Row],[2. Produit agricole certifié*]]),"",IF(ISERROR(MATCH(1,(#REF!=CertifiedCrop[[#This Row],[2. Produit agricole certifié*]])*(#REF!=CertifiedCrop[[#This Row],[3. Variété**]]),0)),FALSE,TRUE))</f>
        <v>0</v>
      </c>
      <c r="L356" s="20" t="str">
        <f t="shared" si="25"/>
        <v/>
      </c>
      <c r="M356" s="54" t="str">
        <f t="shared" si="26"/>
        <v/>
      </c>
      <c r="N356" s="54" t="str">
        <f t="shared" si="27"/>
        <v/>
      </c>
      <c r="O356" s="55">
        <f t="shared" si="28"/>
        <v>570.949720670391</v>
      </c>
      <c r="P356" s="55">
        <f t="shared" si="29"/>
        <v>563.12849162011173</v>
      </c>
      <c r="Q356" s="9" t="str">
        <f ca="1">IFERROR((VLOOKUP(A356,GM_Table,8,FALSE)-SUMIFS(D:D,A:A,A356,B:B,B356,C:C,C356)),"")</f>
        <v/>
      </c>
      <c r="R356" s="9" t="str">
        <f ca="1">IFERROR(CONCATENATE(VLOOKUP(A356,GM_Table,12,FALSE)," ",(VLOOKUP(A356,GM_Table,13,FALSE))),"")</f>
        <v/>
      </c>
    </row>
    <row r="357" spans="1:18" ht="15" x14ac:dyDescent="0.2">
      <c r="A357" s="190" t="s">
        <v>1759</v>
      </c>
      <c r="B357" s="9" t="s">
        <v>3290</v>
      </c>
      <c r="C357" s="9" t="s">
        <v>3291</v>
      </c>
      <c r="D357" s="252">
        <v>2.5226000000000002</v>
      </c>
      <c r="E357" s="245">
        <v>1375</v>
      </c>
      <c r="F357" s="246">
        <v>1269</v>
      </c>
      <c r="G357" s="247">
        <v>1269</v>
      </c>
      <c r="H357" s="248">
        <v>1162</v>
      </c>
      <c r="I357" s="249">
        <v>2656</v>
      </c>
      <c r="J357" s="122" t="b">
        <f>IF(ISBLANK(CertifiedCrop[[#This Row],[1. Identifiant interne d’exploitation agricole*]]),"",IF(ISERROR(MATCH(CertifiedCrop[[#This Row],[1. Identifiant interne d’exploitation agricole*]],GroupMember[1. Identifiant interne d’exploitation agricole*],0)),FALSE,TRUE))</f>
        <v>1</v>
      </c>
      <c r="K357" s="122" t="b">
        <f t="array" ref="K357">IF(ISBLANK(CertifiedCrop[[#This Row],[2. Produit agricole certifié*]]),"",IF(ISERROR(MATCH(1,(#REF!=CertifiedCrop[[#This Row],[2. Produit agricole certifié*]])*(#REF!=CertifiedCrop[[#This Row],[3. Variété**]]),0)),FALSE,TRUE))</f>
        <v>0</v>
      </c>
      <c r="L357" s="20" t="str">
        <f t="shared" si="25"/>
        <v/>
      </c>
      <c r="M357" s="54" t="str">
        <f t="shared" si="26"/>
        <v/>
      </c>
      <c r="N357" s="54" t="str">
        <f t="shared" si="27"/>
        <v/>
      </c>
      <c r="O357" s="55">
        <f t="shared" si="28"/>
        <v>545.07254420042807</v>
      </c>
      <c r="P357" s="55">
        <f t="shared" si="29"/>
        <v>503.05240624752236</v>
      </c>
      <c r="Q357" s="9" t="str">
        <f ca="1">IFERROR((VLOOKUP(A357,GM_Table,8,FALSE)-SUMIFS(D:D,A:A,A357,B:B,B357,C:C,C357)),"")</f>
        <v/>
      </c>
      <c r="R357" s="9" t="str">
        <f ca="1">IFERROR(CONCATENATE(VLOOKUP(A357,GM_Table,12,FALSE)," ",(VLOOKUP(A357,GM_Table,13,FALSE))),"")</f>
        <v/>
      </c>
    </row>
    <row r="358" spans="1:18" ht="15" x14ac:dyDescent="0.2">
      <c r="A358" s="190" t="s">
        <v>1762</v>
      </c>
      <c r="B358" s="9" t="s">
        <v>3290</v>
      </c>
      <c r="C358" s="9" t="s">
        <v>3291</v>
      </c>
      <c r="D358" s="252">
        <v>0.86</v>
      </c>
      <c r="E358" s="221">
        <v>538</v>
      </c>
      <c r="F358" s="246">
        <v>506</v>
      </c>
      <c r="G358" s="247">
        <v>313</v>
      </c>
      <c r="H358" s="248">
        <v>321</v>
      </c>
      <c r="I358" s="249">
        <v>485</v>
      </c>
      <c r="J358" s="122" t="b">
        <f>IF(ISBLANK(CertifiedCrop[[#This Row],[1. Identifiant interne d’exploitation agricole*]]),"",IF(ISERROR(MATCH(CertifiedCrop[[#This Row],[1. Identifiant interne d’exploitation agricole*]],GroupMember[1. Identifiant interne d’exploitation agricole*],0)),FALSE,TRUE))</f>
        <v>1</v>
      </c>
      <c r="K358" s="122" t="b">
        <f t="array" ref="K358">IF(ISBLANK(CertifiedCrop[[#This Row],[2. Produit agricole certifié*]]),"",IF(ISERROR(MATCH(1,(#REF!=CertifiedCrop[[#This Row],[2. Produit agricole certifié*]])*(#REF!=CertifiedCrop[[#This Row],[3. Variété**]]),0)),FALSE,TRUE))</f>
        <v>0</v>
      </c>
      <c r="L358" s="20" t="str">
        <f t="shared" si="25"/>
        <v/>
      </c>
      <c r="M358" s="54" t="str">
        <f t="shared" si="26"/>
        <v>!</v>
      </c>
      <c r="N358" s="54" t="str">
        <f t="shared" si="27"/>
        <v/>
      </c>
      <c r="O358" s="55">
        <f t="shared" si="28"/>
        <v>625.58139534883719</v>
      </c>
      <c r="P358" s="55">
        <f t="shared" si="29"/>
        <v>588.37209302325584</v>
      </c>
      <c r="Q358" s="9" t="str">
        <f ca="1">IFERROR((VLOOKUP(A358,GM_Table,8,FALSE)-SUMIFS(D:D,A:A,A358,B:B,B358,C:C,C358)),"")</f>
        <v/>
      </c>
      <c r="R358" s="9" t="str">
        <f ca="1">IFERROR(CONCATENATE(VLOOKUP(A358,GM_Table,12,FALSE)," ",(VLOOKUP(A358,GM_Table,13,FALSE))),"")</f>
        <v/>
      </c>
    </row>
    <row r="359" spans="1:18" ht="15" x14ac:dyDescent="0.2">
      <c r="A359" s="190" t="s">
        <v>1764</v>
      </c>
      <c r="B359" s="9" t="s">
        <v>3290</v>
      </c>
      <c r="C359" s="9" t="s">
        <v>3291</v>
      </c>
      <c r="D359" s="252">
        <v>3.49</v>
      </c>
      <c r="E359" s="245">
        <v>2019</v>
      </c>
      <c r="F359" s="246">
        <v>1893</v>
      </c>
      <c r="G359" s="247">
        <v>1666</v>
      </c>
      <c r="H359" s="248">
        <v>1685</v>
      </c>
      <c r="I359" s="249">
        <v>1811</v>
      </c>
      <c r="J359" s="122" t="b">
        <f>IF(ISBLANK(CertifiedCrop[[#This Row],[1. Identifiant interne d’exploitation agricole*]]),"",IF(ISERROR(MATCH(CertifiedCrop[[#This Row],[1. Identifiant interne d’exploitation agricole*]],GroupMember[1. Identifiant interne d’exploitation agricole*],0)),FALSE,TRUE))</f>
        <v>1</v>
      </c>
      <c r="K359" s="122" t="b">
        <f t="array" ref="K359">IF(ISBLANK(CertifiedCrop[[#This Row],[2. Produit agricole certifié*]]),"",IF(ISERROR(MATCH(1,(#REF!=CertifiedCrop[[#This Row],[2. Produit agricole certifié*]])*(#REF!=CertifiedCrop[[#This Row],[3. Variété**]]),0)),FALSE,TRUE))</f>
        <v>0</v>
      </c>
      <c r="L359" s="20" t="str">
        <f t="shared" si="25"/>
        <v/>
      </c>
      <c r="M359" s="54" t="str">
        <f t="shared" si="26"/>
        <v/>
      </c>
      <c r="N359" s="54" t="str">
        <f t="shared" si="27"/>
        <v/>
      </c>
      <c r="O359" s="55">
        <f t="shared" si="28"/>
        <v>578.51002865329508</v>
      </c>
      <c r="P359" s="55">
        <f t="shared" si="29"/>
        <v>542.40687679083089</v>
      </c>
      <c r="Q359" s="9" t="str">
        <f ca="1">IFERROR((VLOOKUP(A359,GM_Table,8,FALSE)-SUMIFS(D:D,A:A,A359,B:B,B359,C:C,C359)),"")</f>
        <v/>
      </c>
      <c r="R359" s="9" t="str">
        <f ca="1">IFERROR(CONCATENATE(VLOOKUP(A359,GM_Table,12,FALSE)," ",(VLOOKUP(A359,GM_Table,13,FALSE))),"")</f>
        <v/>
      </c>
    </row>
    <row r="360" spans="1:18" ht="15" x14ac:dyDescent="0.2">
      <c r="A360" s="190" t="s">
        <v>1768</v>
      </c>
      <c r="B360" s="9" t="s">
        <v>3290</v>
      </c>
      <c r="C360" s="9" t="s">
        <v>3291</v>
      </c>
      <c r="D360" s="252">
        <v>1.2617</v>
      </c>
      <c r="E360" s="221">
        <v>724</v>
      </c>
      <c r="F360" s="246">
        <v>715</v>
      </c>
      <c r="G360" s="247">
        <v>715</v>
      </c>
      <c r="H360" s="248">
        <v>651</v>
      </c>
      <c r="I360" s="249">
        <v>1154</v>
      </c>
      <c r="J360" s="122" t="b">
        <f>IF(ISBLANK(CertifiedCrop[[#This Row],[1. Identifiant interne d’exploitation agricole*]]),"",IF(ISERROR(MATCH(CertifiedCrop[[#This Row],[1. Identifiant interne d’exploitation agricole*]],GroupMember[1. Identifiant interne d’exploitation agricole*],0)),FALSE,TRUE))</f>
        <v>1</v>
      </c>
      <c r="K360" s="122" t="b">
        <f t="array" ref="K360">IF(ISBLANK(CertifiedCrop[[#This Row],[2. Produit agricole certifié*]]),"",IF(ISERROR(MATCH(1,(#REF!=CertifiedCrop[[#This Row],[2. Produit agricole certifié*]])*(#REF!=CertifiedCrop[[#This Row],[3. Variété**]]),0)),FALSE,TRUE))</f>
        <v>0</v>
      </c>
      <c r="L360" s="20" t="str">
        <f t="shared" si="25"/>
        <v/>
      </c>
      <c r="M360" s="54" t="str">
        <f t="shared" si="26"/>
        <v/>
      </c>
      <c r="N360" s="54" t="str">
        <f t="shared" si="27"/>
        <v/>
      </c>
      <c r="O360" s="55">
        <f t="shared" si="28"/>
        <v>573.82896092573515</v>
      </c>
      <c r="P360" s="55">
        <f t="shared" si="29"/>
        <v>566.69572798605054</v>
      </c>
      <c r="Q360" s="9" t="str">
        <f ca="1">IFERROR((VLOOKUP(A360,GM_Table,8,FALSE)-SUMIFS(D:D,A:A,A360,B:B,B360,C:C,C360)),"")</f>
        <v/>
      </c>
      <c r="R360" s="9" t="str">
        <f ca="1">IFERROR(CONCATENATE(VLOOKUP(A360,GM_Table,12,FALSE)," ",(VLOOKUP(A360,GM_Table,13,FALSE))),"")</f>
        <v/>
      </c>
    </row>
    <row r="361" spans="1:18" ht="15" x14ac:dyDescent="0.2">
      <c r="A361" s="190" t="s">
        <v>1770</v>
      </c>
      <c r="B361" s="9" t="s">
        <v>3290</v>
      </c>
      <c r="C361" s="9" t="s">
        <v>3291</v>
      </c>
      <c r="D361" s="252">
        <v>3.35</v>
      </c>
      <c r="E361" s="245">
        <v>2102</v>
      </c>
      <c r="F361" s="246">
        <v>2087</v>
      </c>
      <c r="G361" s="247">
        <v>454</v>
      </c>
      <c r="H361" s="248">
        <v>1990</v>
      </c>
      <c r="I361" s="249">
        <v>1247</v>
      </c>
      <c r="J361" s="122" t="b">
        <f>IF(ISBLANK(CertifiedCrop[[#This Row],[1. Identifiant interne d’exploitation agricole*]]),"",IF(ISERROR(MATCH(CertifiedCrop[[#This Row],[1. Identifiant interne d’exploitation agricole*]],GroupMember[1. Identifiant interne d’exploitation agricole*],0)),FALSE,TRUE))</f>
        <v>1</v>
      </c>
      <c r="K361" s="122" t="b">
        <f t="array" ref="K361">IF(ISBLANK(CertifiedCrop[[#This Row],[2. Produit agricole certifié*]]),"",IF(ISERROR(MATCH(1,(#REF!=CertifiedCrop[[#This Row],[2. Produit agricole certifié*]])*(#REF!=CertifiedCrop[[#This Row],[3. Variété**]]),0)),FALSE,TRUE))</f>
        <v>0</v>
      </c>
      <c r="L361" s="20" t="str">
        <f t="shared" si="25"/>
        <v/>
      </c>
      <c r="M361" s="54" t="str">
        <f t="shared" si="26"/>
        <v>!</v>
      </c>
      <c r="N361" s="54" t="str">
        <f t="shared" si="27"/>
        <v>!</v>
      </c>
      <c r="O361" s="55">
        <f t="shared" si="28"/>
        <v>627.46268656716416</v>
      </c>
      <c r="P361" s="55">
        <f t="shared" si="29"/>
        <v>622.98507462686564</v>
      </c>
      <c r="Q361" s="9" t="str">
        <f ca="1">IFERROR((VLOOKUP(A361,GM_Table,8,FALSE)-SUMIFS(D:D,A:A,A361,B:B,B361,C:C,C361)),"")</f>
        <v/>
      </c>
      <c r="R361" s="9" t="str">
        <f ca="1">IFERROR(CONCATENATE(VLOOKUP(A361,GM_Table,12,FALSE)," ",(VLOOKUP(A361,GM_Table,13,FALSE))),"")</f>
        <v/>
      </c>
    </row>
    <row r="362" spans="1:18" ht="15" x14ac:dyDescent="0.2">
      <c r="A362" s="190" t="s">
        <v>1772</v>
      </c>
      <c r="B362" s="9" t="s">
        <v>3290</v>
      </c>
      <c r="C362" s="9" t="s">
        <v>3291</v>
      </c>
      <c r="D362" s="252">
        <v>1.05</v>
      </c>
      <c r="E362" s="221">
        <v>579</v>
      </c>
      <c r="F362" s="246">
        <v>557</v>
      </c>
      <c r="G362" s="247">
        <v>359</v>
      </c>
      <c r="H362" s="248">
        <v>515</v>
      </c>
      <c r="I362" s="249">
        <v>1358</v>
      </c>
      <c r="J362" s="122" t="b">
        <f>IF(ISBLANK(CertifiedCrop[[#This Row],[1. Identifiant interne d’exploitation agricole*]]),"",IF(ISERROR(MATCH(CertifiedCrop[[#This Row],[1. Identifiant interne d’exploitation agricole*]],GroupMember[1. Identifiant interne d’exploitation agricole*],0)),FALSE,TRUE))</f>
        <v>1</v>
      </c>
      <c r="K362" s="122" t="b">
        <f t="array" ref="K362">IF(ISBLANK(CertifiedCrop[[#This Row],[2. Produit agricole certifié*]]),"",IF(ISERROR(MATCH(1,(#REF!=CertifiedCrop[[#This Row],[2. Produit agricole certifié*]])*(#REF!=CertifiedCrop[[#This Row],[3. Variété**]]),0)),FALSE,TRUE))</f>
        <v>0</v>
      </c>
      <c r="L362" s="20" t="str">
        <f t="shared" si="25"/>
        <v/>
      </c>
      <c r="M362" s="54" t="str">
        <f t="shared" si="26"/>
        <v>!</v>
      </c>
      <c r="N362" s="54" t="str">
        <f t="shared" si="27"/>
        <v>!</v>
      </c>
      <c r="O362" s="55">
        <f t="shared" si="28"/>
        <v>551.42857142857144</v>
      </c>
      <c r="P362" s="55">
        <f t="shared" si="29"/>
        <v>530.47619047619048</v>
      </c>
      <c r="Q362" s="9" t="str">
        <f ca="1">IFERROR((VLOOKUP(A362,GM_Table,8,FALSE)-SUMIFS(D:D,A:A,A362,B:B,B362,C:C,C362)),"")</f>
        <v/>
      </c>
      <c r="R362" s="9" t="str">
        <f ca="1">IFERROR(CONCATENATE(VLOOKUP(A362,GM_Table,12,FALSE)," ",(VLOOKUP(A362,GM_Table,13,FALSE))),"")</f>
        <v/>
      </c>
    </row>
    <row r="363" spans="1:18" ht="15" x14ac:dyDescent="0.2">
      <c r="A363" s="190" t="s">
        <v>1776</v>
      </c>
      <c r="B363" s="9" t="s">
        <v>3290</v>
      </c>
      <c r="C363" s="9" t="s">
        <v>3291</v>
      </c>
      <c r="D363" s="252">
        <v>3.58</v>
      </c>
      <c r="E363" s="245">
        <v>2149</v>
      </c>
      <c r="F363" s="246">
        <v>2066</v>
      </c>
      <c r="G363" s="247">
        <v>1833</v>
      </c>
      <c r="H363" s="248">
        <v>1909</v>
      </c>
      <c r="I363" s="249">
        <v>1456</v>
      </c>
      <c r="J363" s="122" t="b">
        <f>IF(ISBLANK(CertifiedCrop[[#This Row],[1. Identifiant interne d’exploitation agricole*]]),"",IF(ISERROR(MATCH(CertifiedCrop[[#This Row],[1. Identifiant interne d’exploitation agricole*]],GroupMember[1. Identifiant interne d’exploitation agricole*],0)),FALSE,TRUE))</f>
        <v>1</v>
      </c>
      <c r="K363" s="122" t="b">
        <f t="array" ref="K363">IF(ISBLANK(CertifiedCrop[[#This Row],[2. Produit agricole certifié*]]),"",IF(ISERROR(MATCH(1,(#REF!=CertifiedCrop[[#This Row],[2. Produit agricole certifié*]])*(#REF!=CertifiedCrop[[#This Row],[3. Variété**]]),0)),FALSE,TRUE))</f>
        <v>0</v>
      </c>
      <c r="L363" s="20" t="str">
        <f t="shared" si="25"/>
        <v/>
      </c>
      <c r="M363" s="54" t="str">
        <f t="shared" si="26"/>
        <v/>
      </c>
      <c r="N363" s="54" t="str">
        <f t="shared" si="27"/>
        <v/>
      </c>
      <c r="O363" s="55">
        <f t="shared" si="28"/>
        <v>600.2793296089385</v>
      </c>
      <c r="P363" s="55">
        <f t="shared" si="29"/>
        <v>577.09497206703907</v>
      </c>
      <c r="Q363" s="9" t="str">
        <f ca="1">IFERROR((VLOOKUP(A363,GM_Table,8,FALSE)-SUMIFS(D:D,A:A,A363,B:B,B363,C:C,C363)),"")</f>
        <v/>
      </c>
      <c r="R363" s="9" t="str">
        <f ca="1">IFERROR(CONCATENATE(VLOOKUP(A363,GM_Table,12,FALSE)," ",(VLOOKUP(A363,GM_Table,13,FALSE))),"")</f>
        <v/>
      </c>
    </row>
    <row r="364" spans="1:18" ht="15" x14ac:dyDescent="0.2">
      <c r="A364" s="190" t="s">
        <v>1779</v>
      </c>
      <c r="B364" s="9" t="s">
        <v>3290</v>
      </c>
      <c r="C364" s="9" t="s">
        <v>3291</v>
      </c>
      <c r="D364" s="252">
        <v>5</v>
      </c>
      <c r="E364" s="245">
        <v>2887</v>
      </c>
      <c r="F364" s="246">
        <v>2693</v>
      </c>
      <c r="G364" s="247">
        <v>2427</v>
      </c>
      <c r="H364" s="248">
        <v>2607</v>
      </c>
      <c r="I364" s="249">
        <v>1925</v>
      </c>
      <c r="J364" s="122" t="b">
        <f>IF(ISBLANK(CertifiedCrop[[#This Row],[1. Identifiant interne d’exploitation agricole*]]),"",IF(ISERROR(MATCH(CertifiedCrop[[#This Row],[1. Identifiant interne d’exploitation agricole*]],GroupMember[1. Identifiant interne d’exploitation agricole*],0)),FALSE,TRUE))</f>
        <v>1</v>
      </c>
      <c r="K364" s="122" t="b">
        <f t="array" ref="K364">IF(ISBLANK(CertifiedCrop[[#This Row],[2. Produit agricole certifié*]]),"",IF(ISERROR(MATCH(1,(#REF!=CertifiedCrop[[#This Row],[2. Produit agricole certifié*]])*(#REF!=CertifiedCrop[[#This Row],[3. Variété**]]),0)),FALSE,TRUE))</f>
        <v>0</v>
      </c>
      <c r="L364" s="20" t="str">
        <f t="shared" si="25"/>
        <v/>
      </c>
      <c r="M364" s="54" t="str">
        <f t="shared" si="26"/>
        <v/>
      </c>
      <c r="N364" s="54" t="str">
        <f t="shared" si="27"/>
        <v/>
      </c>
      <c r="O364" s="55">
        <f t="shared" si="28"/>
        <v>577.4</v>
      </c>
      <c r="P364" s="55">
        <f t="shared" si="29"/>
        <v>538.6</v>
      </c>
      <c r="Q364" s="9" t="str">
        <f ca="1">IFERROR((VLOOKUP(A364,GM_Table,8,FALSE)-SUMIFS(D:D,A:A,A364,B:B,B364,C:C,C364)),"")</f>
        <v/>
      </c>
      <c r="R364" s="9" t="str">
        <f ca="1">IFERROR(CONCATENATE(VLOOKUP(A364,GM_Table,12,FALSE)," ",(VLOOKUP(A364,GM_Table,13,FALSE))),"")</f>
        <v/>
      </c>
    </row>
    <row r="365" spans="1:18" ht="15" x14ac:dyDescent="0.2">
      <c r="A365" s="190" t="s">
        <v>1780</v>
      </c>
      <c r="B365" s="9" t="s">
        <v>3290</v>
      </c>
      <c r="C365" s="9" t="s">
        <v>3291</v>
      </c>
      <c r="D365" s="252">
        <v>2.59</v>
      </c>
      <c r="E365" s="245">
        <v>1641</v>
      </c>
      <c r="F365" s="246">
        <v>1565</v>
      </c>
      <c r="G365" s="247">
        <v>1466</v>
      </c>
      <c r="H365" s="248">
        <v>1443</v>
      </c>
      <c r="I365" s="249">
        <v>965</v>
      </c>
      <c r="J365" s="122" t="b">
        <f>IF(ISBLANK(CertifiedCrop[[#This Row],[1. Identifiant interne d’exploitation agricole*]]),"",IF(ISERROR(MATCH(CertifiedCrop[[#This Row],[1. Identifiant interne d’exploitation agricole*]],GroupMember[1. Identifiant interne d’exploitation agricole*],0)),FALSE,TRUE))</f>
        <v>1</v>
      </c>
      <c r="K365" s="122" t="b">
        <f t="array" ref="K365">IF(ISBLANK(CertifiedCrop[[#This Row],[2. Produit agricole certifié*]]),"",IF(ISERROR(MATCH(1,(#REF!=CertifiedCrop[[#This Row],[2. Produit agricole certifié*]])*(#REF!=CertifiedCrop[[#This Row],[3. Variété**]]),0)),FALSE,TRUE))</f>
        <v>0</v>
      </c>
      <c r="L365" s="20" t="str">
        <f t="shared" si="25"/>
        <v/>
      </c>
      <c r="M365" s="54" t="str">
        <f t="shared" si="26"/>
        <v/>
      </c>
      <c r="N365" s="54" t="str">
        <f t="shared" si="27"/>
        <v/>
      </c>
      <c r="O365" s="55">
        <f t="shared" si="28"/>
        <v>633.59073359073363</v>
      </c>
      <c r="P365" s="55">
        <f t="shared" si="29"/>
        <v>604.24710424710429</v>
      </c>
      <c r="Q365" s="9" t="str">
        <f ca="1">IFERROR((VLOOKUP(A365,GM_Table,8,FALSE)-SUMIFS(D:D,A:A,A365,B:B,B365,C:C,C365)),"")</f>
        <v/>
      </c>
      <c r="R365" s="9" t="str">
        <f ca="1">IFERROR(CONCATENATE(VLOOKUP(A365,GM_Table,12,FALSE)," ",(VLOOKUP(A365,GM_Table,13,FALSE))),"")</f>
        <v/>
      </c>
    </row>
    <row r="366" spans="1:18" ht="15" x14ac:dyDescent="0.2">
      <c r="A366" s="190" t="s">
        <v>1784</v>
      </c>
      <c r="B366" s="9" t="s">
        <v>3290</v>
      </c>
      <c r="C366" s="9" t="s">
        <v>3291</v>
      </c>
      <c r="D366" s="252">
        <v>4.71</v>
      </c>
      <c r="E366" s="245">
        <v>2678</v>
      </c>
      <c r="F366" s="246">
        <v>2546</v>
      </c>
      <c r="G366" s="247">
        <v>2255</v>
      </c>
      <c r="H366" s="248">
        <v>2417</v>
      </c>
      <c r="I366" s="249">
        <v>1745</v>
      </c>
      <c r="J366" s="122" t="b">
        <f>IF(ISBLANK(CertifiedCrop[[#This Row],[1. Identifiant interne d’exploitation agricole*]]),"",IF(ISERROR(MATCH(CertifiedCrop[[#This Row],[1. Identifiant interne d’exploitation agricole*]],GroupMember[1. Identifiant interne d’exploitation agricole*],0)),FALSE,TRUE))</f>
        <v>1</v>
      </c>
      <c r="K366" s="122" t="b">
        <f t="array" ref="K366">IF(ISBLANK(CertifiedCrop[[#This Row],[2. Produit agricole certifié*]]),"",IF(ISERROR(MATCH(1,(#REF!=CertifiedCrop[[#This Row],[2. Produit agricole certifié*]])*(#REF!=CertifiedCrop[[#This Row],[3. Variété**]]),0)),FALSE,TRUE))</f>
        <v>0</v>
      </c>
      <c r="L366" s="20" t="str">
        <f t="shared" si="25"/>
        <v/>
      </c>
      <c r="M366" s="54" t="str">
        <f t="shared" si="26"/>
        <v/>
      </c>
      <c r="N366" s="54" t="str">
        <f t="shared" si="27"/>
        <v/>
      </c>
      <c r="O366" s="55">
        <f t="shared" si="28"/>
        <v>568.57749469214434</v>
      </c>
      <c r="P366" s="55">
        <f t="shared" si="29"/>
        <v>540.55201698513804</v>
      </c>
      <c r="Q366" s="9" t="str">
        <f ca="1">IFERROR((VLOOKUP(A366,GM_Table,8,FALSE)-SUMIFS(D:D,A:A,A366,B:B,B366,C:C,C366)),"")</f>
        <v/>
      </c>
      <c r="R366" s="9" t="str">
        <f ca="1">IFERROR(CONCATENATE(VLOOKUP(A366,GM_Table,12,FALSE)," ",(VLOOKUP(A366,GM_Table,13,FALSE))),"")</f>
        <v/>
      </c>
    </row>
    <row r="367" spans="1:18" ht="15" x14ac:dyDescent="0.2">
      <c r="A367" s="190" t="s">
        <v>1786</v>
      </c>
      <c r="B367" s="9" t="s">
        <v>3290</v>
      </c>
      <c r="C367" s="9" t="s">
        <v>3291</v>
      </c>
      <c r="D367" s="252">
        <v>5.21</v>
      </c>
      <c r="E367" s="245">
        <v>3087</v>
      </c>
      <c r="F367" s="246">
        <v>2895</v>
      </c>
      <c r="G367" s="247">
        <v>2472</v>
      </c>
      <c r="H367" s="248">
        <v>2871</v>
      </c>
      <c r="I367" s="249">
        <v>1958</v>
      </c>
      <c r="J367" s="122" t="b">
        <f>IF(ISBLANK(CertifiedCrop[[#This Row],[1. Identifiant interne d’exploitation agricole*]]),"",IF(ISERROR(MATCH(CertifiedCrop[[#This Row],[1. Identifiant interne d’exploitation agricole*]],GroupMember[1. Identifiant interne d’exploitation agricole*],0)),FALSE,TRUE))</f>
        <v>1</v>
      </c>
      <c r="K367" s="122" t="b">
        <f t="array" ref="K367">IF(ISBLANK(CertifiedCrop[[#This Row],[2. Produit agricole certifié*]]),"",IF(ISERROR(MATCH(1,(#REF!=CertifiedCrop[[#This Row],[2. Produit agricole certifié*]])*(#REF!=CertifiedCrop[[#This Row],[3. Variété**]]),0)),FALSE,TRUE))</f>
        <v>0</v>
      </c>
      <c r="L367" s="20" t="str">
        <f t="shared" si="25"/>
        <v/>
      </c>
      <c r="M367" s="54" t="str">
        <f t="shared" si="26"/>
        <v/>
      </c>
      <c r="N367" s="54" t="str">
        <f t="shared" si="27"/>
        <v/>
      </c>
      <c r="O367" s="55">
        <f t="shared" si="28"/>
        <v>592.51439539347405</v>
      </c>
      <c r="P367" s="55">
        <f t="shared" si="29"/>
        <v>555.66218809980808</v>
      </c>
      <c r="Q367" s="9" t="str">
        <f ca="1">IFERROR((VLOOKUP(A367,GM_Table,8,FALSE)-SUMIFS(D:D,A:A,A367,B:B,B367,C:C,C367)),"")</f>
        <v/>
      </c>
      <c r="R367" s="9" t="str">
        <f ca="1">IFERROR(CONCATENATE(VLOOKUP(A367,GM_Table,12,FALSE)," ",(VLOOKUP(A367,GM_Table,13,FALSE))),"")</f>
        <v/>
      </c>
    </row>
    <row r="368" spans="1:18" ht="15" x14ac:dyDescent="0.2">
      <c r="A368" s="190" t="s">
        <v>1788</v>
      </c>
      <c r="B368" s="9" t="s">
        <v>3290</v>
      </c>
      <c r="C368" s="9" t="s">
        <v>3291</v>
      </c>
      <c r="D368" s="252">
        <v>1.7443</v>
      </c>
      <c r="E368" s="221">
        <v>988</v>
      </c>
      <c r="F368" s="246">
        <v>956</v>
      </c>
      <c r="G368" s="247">
        <v>706</v>
      </c>
      <c r="H368" s="248">
        <v>825</v>
      </c>
      <c r="I368" s="249">
        <v>1147</v>
      </c>
      <c r="J368" s="122" t="b">
        <f>IF(ISBLANK(CertifiedCrop[[#This Row],[1. Identifiant interne d’exploitation agricole*]]),"",IF(ISERROR(MATCH(CertifiedCrop[[#This Row],[1. Identifiant interne d’exploitation agricole*]],GroupMember[1. Identifiant interne d’exploitation agricole*],0)),FALSE,TRUE))</f>
        <v>1</v>
      </c>
      <c r="K368" s="122" t="b">
        <f t="array" ref="K368">IF(ISBLANK(CertifiedCrop[[#This Row],[2. Produit agricole certifié*]]),"",IF(ISERROR(MATCH(1,(#REF!=CertifiedCrop[[#This Row],[2. Produit agricole certifié*]])*(#REF!=CertifiedCrop[[#This Row],[3. Variété**]]),0)),FALSE,TRUE))</f>
        <v>0</v>
      </c>
      <c r="L368" s="20" t="str">
        <f t="shared" si="25"/>
        <v/>
      </c>
      <c r="M368" s="54" t="str">
        <f t="shared" si="26"/>
        <v>!</v>
      </c>
      <c r="N368" s="54" t="str">
        <f t="shared" si="27"/>
        <v/>
      </c>
      <c r="O368" s="55">
        <f t="shared" si="28"/>
        <v>566.41632746660548</v>
      </c>
      <c r="P368" s="55">
        <f t="shared" si="29"/>
        <v>548.07085937052113</v>
      </c>
      <c r="Q368" s="9" t="str">
        <f ca="1">IFERROR((VLOOKUP(A368,GM_Table,8,FALSE)-SUMIFS(D:D,A:A,A368,B:B,B368,C:C,C368)),"")</f>
        <v/>
      </c>
      <c r="R368" s="9" t="str">
        <f ca="1">IFERROR(CONCATENATE(VLOOKUP(A368,GM_Table,12,FALSE)," ",(VLOOKUP(A368,GM_Table,13,FALSE))),"")</f>
        <v/>
      </c>
    </row>
    <row r="369" spans="1:18" ht="15" x14ac:dyDescent="0.2">
      <c r="A369" s="190" t="s">
        <v>1792</v>
      </c>
      <c r="B369" s="9" t="s">
        <v>3290</v>
      </c>
      <c r="C369" s="9" t="s">
        <v>3291</v>
      </c>
      <c r="D369" s="252">
        <v>1.24</v>
      </c>
      <c r="E369" s="221">
        <v>747</v>
      </c>
      <c r="F369" s="246">
        <v>719</v>
      </c>
      <c r="G369" s="247">
        <v>426</v>
      </c>
      <c r="H369" s="248">
        <v>530</v>
      </c>
      <c r="I369" s="249">
        <v>695</v>
      </c>
      <c r="J369" s="122" t="b">
        <f>IF(ISBLANK(CertifiedCrop[[#This Row],[1. Identifiant interne d’exploitation agricole*]]),"",IF(ISERROR(MATCH(CertifiedCrop[[#This Row],[1. Identifiant interne d’exploitation agricole*]],GroupMember[1. Identifiant interne d’exploitation agricole*],0)),FALSE,TRUE))</f>
        <v>1</v>
      </c>
      <c r="K369" s="122" t="b">
        <f t="array" ref="K369">IF(ISBLANK(CertifiedCrop[[#This Row],[2. Produit agricole certifié*]]),"",IF(ISERROR(MATCH(1,(#REF!=CertifiedCrop[[#This Row],[2. Produit agricole certifié*]])*(#REF!=CertifiedCrop[[#This Row],[3. Variété**]]),0)),FALSE,TRUE))</f>
        <v>0</v>
      </c>
      <c r="L369" s="20" t="str">
        <f t="shared" si="25"/>
        <v/>
      </c>
      <c r="M369" s="54" t="str">
        <f t="shared" si="26"/>
        <v>!</v>
      </c>
      <c r="N369" s="54" t="str">
        <f t="shared" si="27"/>
        <v/>
      </c>
      <c r="O369" s="55">
        <f t="shared" si="28"/>
        <v>602.41935483870964</v>
      </c>
      <c r="P369" s="55">
        <f t="shared" si="29"/>
        <v>579.83870967741939</v>
      </c>
      <c r="Q369" s="9" t="str">
        <f ca="1">IFERROR((VLOOKUP(A369,GM_Table,8,FALSE)-SUMIFS(D:D,A:A,A369,B:B,B369,C:C,C369)),"")</f>
        <v/>
      </c>
      <c r="R369" s="9" t="str">
        <f ca="1">IFERROR(CONCATENATE(VLOOKUP(A369,GM_Table,12,FALSE)," ",(VLOOKUP(A369,GM_Table,13,FALSE))),"")</f>
        <v/>
      </c>
    </row>
    <row r="370" spans="1:18" ht="15" x14ac:dyDescent="0.2">
      <c r="A370" s="190" t="s">
        <v>1796</v>
      </c>
      <c r="B370" s="9" t="s">
        <v>3290</v>
      </c>
      <c r="C370" s="9" t="s">
        <v>3291</v>
      </c>
      <c r="D370" s="252">
        <v>1.65</v>
      </c>
      <c r="E370" s="245">
        <v>1044</v>
      </c>
      <c r="F370" s="246">
        <v>1063</v>
      </c>
      <c r="G370" s="247">
        <v>937</v>
      </c>
      <c r="H370" s="248">
        <v>870</v>
      </c>
      <c r="I370" s="249">
        <v>889</v>
      </c>
      <c r="J370" s="122" t="b">
        <f>IF(ISBLANK(CertifiedCrop[[#This Row],[1. Identifiant interne d’exploitation agricole*]]),"",IF(ISERROR(MATCH(CertifiedCrop[[#This Row],[1. Identifiant interne d’exploitation agricole*]],GroupMember[1. Identifiant interne d’exploitation agricole*],0)),FALSE,TRUE))</f>
        <v>1</v>
      </c>
      <c r="K370" s="122" t="b">
        <f t="array" ref="K370">IF(ISBLANK(CertifiedCrop[[#This Row],[2. Produit agricole certifié*]]),"",IF(ISERROR(MATCH(1,(#REF!=CertifiedCrop[[#This Row],[2. Produit agricole certifié*]])*(#REF!=CertifiedCrop[[#This Row],[3. Variété**]]),0)),FALSE,TRUE))</f>
        <v>0</v>
      </c>
      <c r="L370" s="20" t="str">
        <f t="shared" si="25"/>
        <v/>
      </c>
      <c r="M370" s="54" t="str">
        <f t="shared" si="26"/>
        <v/>
      </c>
      <c r="N370" s="54" t="str">
        <f t="shared" si="27"/>
        <v/>
      </c>
      <c r="O370" s="55">
        <f t="shared" si="28"/>
        <v>632.72727272727275</v>
      </c>
      <c r="P370" s="55">
        <f t="shared" si="29"/>
        <v>644.24242424242425</v>
      </c>
      <c r="Q370" s="9" t="str">
        <f ca="1">IFERROR((VLOOKUP(A370,GM_Table,8,FALSE)-SUMIFS(D:D,A:A,A370,B:B,B370,C:C,C370)),"")</f>
        <v/>
      </c>
      <c r="R370" s="9" t="str">
        <f ca="1">IFERROR(CONCATENATE(VLOOKUP(A370,GM_Table,12,FALSE)," ",(VLOOKUP(A370,GM_Table,13,FALSE))),"")</f>
        <v/>
      </c>
    </row>
    <row r="371" spans="1:18" ht="15" x14ac:dyDescent="0.2">
      <c r="A371" s="190" t="s">
        <v>1799</v>
      </c>
      <c r="B371" s="9" t="s">
        <v>3290</v>
      </c>
      <c r="C371" s="9" t="s">
        <v>3291</v>
      </c>
      <c r="D371" s="252">
        <v>2.95</v>
      </c>
      <c r="E371" s="245">
        <v>1849</v>
      </c>
      <c r="F371" s="246">
        <v>1744</v>
      </c>
      <c r="G371" s="247">
        <v>1644</v>
      </c>
      <c r="H371" s="248">
        <v>1750</v>
      </c>
      <c r="I371" s="249">
        <v>1036</v>
      </c>
      <c r="J371" s="122" t="b">
        <f>IF(ISBLANK(CertifiedCrop[[#This Row],[1. Identifiant interne d’exploitation agricole*]]),"",IF(ISERROR(MATCH(CertifiedCrop[[#This Row],[1. Identifiant interne d’exploitation agricole*]],GroupMember[1. Identifiant interne d’exploitation agricole*],0)),FALSE,TRUE))</f>
        <v>1</v>
      </c>
      <c r="K371" s="122" t="b">
        <f t="array" ref="K371">IF(ISBLANK(CertifiedCrop[[#This Row],[2. Produit agricole certifié*]]),"",IF(ISERROR(MATCH(1,(#REF!=CertifiedCrop[[#This Row],[2. Produit agricole certifié*]])*(#REF!=CertifiedCrop[[#This Row],[3. Variété**]]),0)),FALSE,TRUE))</f>
        <v>0</v>
      </c>
      <c r="L371" s="20" t="str">
        <f t="shared" ref="L371:L434" si="30">IF((F371-G371)&lt;0,"!","")</f>
        <v/>
      </c>
      <c r="M371" s="54" t="str">
        <f t="shared" ref="M371:M434" si="31">IFERROR(IF((F371-G371)/G371&gt;25%,"!",IF((F371-G371)/G371&lt;-25%,"!","")),"")</f>
        <v/>
      </c>
      <c r="N371" s="54" t="str">
        <f t="shared" ref="N371:N434" si="32">IFERROR(IF((G371-H371)/H371&gt;25%,"!",IF((G371-H371)/H371&lt;-25%,"!","")),"")</f>
        <v/>
      </c>
      <c r="O371" s="55">
        <f t="shared" ref="O371:O434" si="33">IFERROR(E371/D371,"")</f>
        <v>626.77966101694915</v>
      </c>
      <c r="P371" s="55">
        <f t="shared" ref="P371:P434" si="34">IFERROR(F371/D371,"")</f>
        <v>591.18644067796606</v>
      </c>
      <c r="Q371" s="9" t="str">
        <f ca="1">IFERROR((VLOOKUP(A371,GM_Table,8,FALSE)-SUMIFS(D:D,A:A,A371,B:B,B371,C:C,C371)),"")</f>
        <v/>
      </c>
      <c r="R371" s="9" t="str">
        <f ca="1">IFERROR(CONCATENATE(VLOOKUP(A371,GM_Table,12,FALSE)," ",(VLOOKUP(A371,GM_Table,13,FALSE))),"")</f>
        <v/>
      </c>
    </row>
    <row r="372" spans="1:18" ht="15" x14ac:dyDescent="0.2">
      <c r="A372" s="190" t="s">
        <v>1802</v>
      </c>
      <c r="B372" s="9" t="s">
        <v>3290</v>
      </c>
      <c r="C372" s="9" t="s">
        <v>3291</v>
      </c>
      <c r="D372" s="252">
        <v>1.51</v>
      </c>
      <c r="E372" s="221">
        <v>893</v>
      </c>
      <c r="F372" s="246">
        <v>856</v>
      </c>
      <c r="G372" s="247">
        <v>658</v>
      </c>
      <c r="H372" s="248">
        <v>656</v>
      </c>
      <c r="I372" s="249">
        <v>878</v>
      </c>
      <c r="J372" s="122" t="b">
        <f>IF(ISBLANK(CertifiedCrop[[#This Row],[1. Identifiant interne d’exploitation agricole*]]),"",IF(ISERROR(MATCH(CertifiedCrop[[#This Row],[1. Identifiant interne d’exploitation agricole*]],GroupMember[1. Identifiant interne d’exploitation agricole*],0)),FALSE,TRUE))</f>
        <v>1</v>
      </c>
      <c r="K372" s="122" t="b">
        <f t="array" ref="K372">IF(ISBLANK(CertifiedCrop[[#This Row],[2. Produit agricole certifié*]]),"",IF(ISERROR(MATCH(1,(#REF!=CertifiedCrop[[#This Row],[2. Produit agricole certifié*]])*(#REF!=CertifiedCrop[[#This Row],[3. Variété**]]),0)),FALSE,TRUE))</f>
        <v>0</v>
      </c>
      <c r="L372" s="20" t="str">
        <f t="shared" si="30"/>
        <v/>
      </c>
      <c r="M372" s="54" t="str">
        <f t="shared" si="31"/>
        <v>!</v>
      </c>
      <c r="N372" s="54" t="str">
        <f t="shared" si="32"/>
        <v/>
      </c>
      <c r="O372" s="55">
        <f t="shared" si="33"/>
        <v>591.39072847682121</v>
      </c>
      <c r="P372" s="55">
        <f t="shared" si="34"/>
        <v>566.88741721854308</v>
      </c>
      <c r="Q372" s="9" t="str">
        <f ca="1">IFERROR((VLOOKUP(A372,GM_Table,8,FALSE)-SUMIFS(D:D,A:A,A372,B:B,B372,C:C,C372)),"")</f>
        <v/>
      </c>
      <c r="R372" s="9" t="str">
        <f ca="1">IFERROR(CONCATENATE(VLOOKUP(A372,GM_Table,12,FALSE)," ",(VLOOKUP(A372,GM_Table,13,FALSE))),"")</f>
        <v/>
      </c>
    </row>
    <row r="373" spans="1:18" ht="15" x14ac:dyDescent="0.2">
      <c r="A373" s="190" t="s">
        <v>1804</v>
      </c>
      <c r="B373" s="9" t="s">
        <v>3290</v>
      </c>
      <c r="C373" s="9" t="s">
        <v>3291</v>
      </c>
      <c r="D373" s="252">
        <v>2.0699999999999998</v>
      </c>
      <c r="E373" s="245">
        <v>1243</v>
      </c>
      <c r="F373" s="246">
        <v>1219</v>
      </c>
      <c r="G373" s="247">
        <v>1219</v>
      </c>
      <c r="H373" s="248">
        <v>1128</v>
      </c>
      <c r="I373" s="249">
        <v>1058</v>
      </c>
      <c r="J373" s="122" t="b">
        <f>IF(ISBLANK(CertifiedCrop[[#This Row],[1. Identifiant interne d’exploitation agricole*]]),"",IF(ISERROR(MATCH(CertifiedCrop[[#This Row],[1. Identifiant interne d’exploitation agricole*]],GroupMember[1. Identifiant interne d’exploitation agricole*],0)),FALSE,TRUE))</f>
        <v>1</v>
      </c>
      <c r="K373" s="122" t="b">
        <f t="array" ref="K373">IF(ISBLANK(CertifiedCrop[[#This Row],[2. Produit agricole certifié*]]),"",IF(ISERROR(MATCH(1,(#REF!=CertifiedCrop[[#This Row],[2. Produit agricole certifié*]])*(#REF!=CertifiedCrop[[#This Row],[3. Variété**]]),0)),FALSE,TRUE))</f>
        <v>0</v>
      </c>
      <c r="L373" s="20" t="str">
        <f t="shared" si="30"/>
        <v/>
      </c>
      <c r="M373" s="54" t="str">
        <f t="shared" si="31"/>
        <v/>
      </c>
      <c r="N373" s="54" t="str">
        <f t="shared" si="32"/>
        <v/>
      </c>
      <c r="O373" s="55">
        <f t="shared" si="33"/>
        <v>600.48309178743966</v>
      </c>
      <c r="P373" s="55">
        <f t="shared" si="34"/>
        <v>588.88888888888891</v>
      </c>
      <c r="Q373" s="9" t="str">
        <f ca="1">IFERROR((VLOOKUP(A373,GM_Table,8,FALSE)-SUMIFS(D:D,A:A,A373,B:B,B373,C:C,C373)),"")</f>
        <v/>
      </c>
      <c r="R373" s="9" t="str">
        <f ca="1">IFERROR(CONCATENATE(VLOOKUP(A373,GM_Table,12,FALSE)," ",(VLOOKUP(A373,GM_Table,13,FALSE))),"")</f>
        <v/>
      </c>
    </row>
    <row r="374" spans="1:18" ht="15" x14ac:dyDescent="0.2">
      <c r="A374" s="190" t="s">
        <v>1807</v>
      </c>
      <c r="B374" s="9" t="s">
        <v>3290</v>
      </c>
      <c r="C374" s="9" t="s">
        <v>3291</v>
      </c>
      <c r="D374" s="252">
        <v>1.41</v>
      </c>
      <c r="E374" s="221">
        <v>776</v>
      </c>
      <c r="F374" s="246">
        <v>726</v>
      </c>
      <c r="G374" s="247">
        <v>703</v>
      </c>
      <c r="H374" s="248">
        <v>753</v>
      </c>
      <c r="I374" s="249">
        <v>768</v>
      </c>
      <c r="J374" s="122" t="b">
        <f>IF(ISBLANK(CertifiedCrop[[#This Row],[1. Identifiant interne d’exploitation agricole*]]),"",IF(ISERROR(MATCH(CertifiedCrop[[#This Row],[1. Identifiant interne d’exploitation agricole*]],GroupMember[1. Identifiant interne d’exploitation agricole*],0)),FALSE,TRUE))</f>
        <v>1</v>
      </c>
      <c r="K374" s="122" t="b">
        <f t="array" ref="K374">IF(ISBLANK(CertifiedCrop[[#This Row],[2. Produit agricole certifié*]]),"",IF(ISERROR(MATCH(1,(#REF!=CertifiedCrop[[#This Row],[2. Produit agricole certifié*]])*(#REF!=CertifiedCrop[[#This Row],[3. Variété**]]),0)),FALSE,TRUE))</f>
        <v>0</v>
      </c>
      <c r="L374" s="20" t="str">
        <f t="shared" si="30"/>
        <v/>
      </c>
      <c r="M374" s="54" t="str">
        <f t="shared" si="31"/>
        <v/>
      </c>
      <c r="N374" s="54" t="str">
        <f t="shared" si="32"/>
        <v/>
      </c>
      <c r="O374" s="55">
        <f t="shared" si="33"/>
        <v>550.35460992907804</v>
      </c>
      <c r="P374" s="55">
        <f t="shared" si="34"/>
        <v>514.89361702127667</v>
      </c>
      <c r="Q374" s="9" t="str">
        <f ca="1">IFERROR((VLOOKUP(A374,GM_Table,8,FALSE)-SUMIFS(D:D,A:A,A374,B:B,B374,C:C,C374)),"")</f>
        <v/>
      </c>
      <c r="R374" s="9" t="str">
        <f ca="1">IFERROR(CONCATENATE(VLOOKUP(A374,GM_Table,12,FALSE)," ",(VLOOKUP(A374,GM_Table,13,FALSE))),"")</f>
        <v/>
      </c>
    </row>
    <row r="375" spans="1:18" ht="15" x14ac:dyDescent="0.2">
      <c r="A375" s="190" t="s">
        <v>1809</v>
      </c>
      <c r="B375" s="9" t="s">
        <v>3290</v>
      </c>
      <c r="C375" s="9" t="s">
        <v>3291</v>
      </c>
      <c r="D375" s="252">
        <v>6.79</v>
      </c>
      <c r="E375" s="245">
        <v>4323</v>
      </c>
      <c r="F375" s="246">
        <v>4232</v>
      </c>
      <c r="G375" s="247">
        <v>1742</v>
      </c>
      <c r="H375" s="248">
        <v>3942</v>
      </c>
      <c r="I375" s="249">
        <v>2417</v>
      </c>
      <c r="J375" s="122" t="b">
        <f>IF(ISBLANK(CertifiedCrop[[#This Row],[1. Identifiant interne d’exploitation agricole*]]),"",IF(ISERROR(MATCH(CertifiedCrop[[#This Row],[1. Identifiant interne d’exploitation agricole*]],GroupMember[1. Identifiant interne d’exploitation agricole*],0)),FALSE,TRUE))</f>
        <v>1</v>
      </c>
      <c r="K375" s="122" t="b">
        <f t="array" ref="K375">IF(ISBLANK(CertifiedCrop[[#This Row],[2. Produit agricole certifié*]]),"",IF(ISERROR(MATCH(1,(#REF!=CertifiedCrop[[#This Row],[2. Produit agricole certifié*]])*(#REF!=CertifiedCrop[[#This Row],[3. Variété**]]),0)),FALSE,TRUE))</f>
        <v>0</v>
      </c>
      <c r="L375" s="20" t="str">
        <f t="shared" si="30"/>
        <v/>
      </c>
      <c r="M375" s="54" t="str">
        <f t="shared" si="31"/>
        <v>!</v>
      </c>
      <c r="N375" s="54" t="str">
        <f t="shared" si="32"/>
        <v>!</v>
      </c>
      <c r="O375" s="55">
        <f t="shared" si="33"/>
        <v>636.67157584683355</v>
      </c>
      <c r="P375" s="55">
        <f t="shared" si="34"/>
        <v>623.26951399116342</v>
      </c>
      <c r="Q375" s="9" t="str">
        <f ca="1">IFERROR((VLOOKUP(A375,GM_Table,8,FALSE)-SUMIFS(D:D,A:A,A375,B:B,B375,C:C,C375)),"")</f>
        <v/>
      </c>
      <c r="R375" s="9" t="str">
        <f ca="1">IFERROR(CONCATENATE(VLOOKUP(A375,GM_Table,12,FALSE)," ",(VLOOKUP(A375,GM_Table,13,FALSE))),"")</f>
        <v/>
      </c>
    </row>
    <row r="376" spans="1:18" ht="15" x14ac:dyDescent="0.2">
      <c r="A376" s="190" t="s">
        <v>1813</v>
      </c>
      <c r="B376" s="9" t="s">
        <v>3290</v>
      </c>
      <c r="C376" s="9" t="s">
        <v>3291</v>
      </c>
      <c r="D376" s="252">
        <v>3.49</v>
      </c>
      <c r="E376" s="245">
        <v>2071</v>
      </c>
      <c r="F376" s="246">
        <v>1908</v>
      </c>
      <c r="G376" s="247">
        <v>1777</v>
      </c>
      <c r="H376" s="248">
        <v>1877</v>
      </c>
      <c r="I376" s="249">
        <v>1268</v>
      </c>
      <c r="J376" s="122" t="b">
        <f>IF(ISBLANK(CertifiedCrop[[#This Row],[1. Identifiant interne d’exploitation agricole*]]),"",IF(ISERROR(MATCH(CertifiedCrop[[#This Row],[1. Identifiant interne d’exploitation agricole*]],GroupMember[1. Identifiant interne d’exploitation agricole*],0)),FALSE,TRUE))</f>
        <v>1</v>
      </c>
      <c r="K376" s="122" t="b">
        <f t="array" ref="K376">IF(ISBLANK(CertifiedCrop[[#This Row],[2. Produit agricole certifié*]]),"",IF(ISERROR(MATCH(1,(#REF!=CertifiedCrop[[#This Row],[2. Produit agricole certifié*]])*(#REF!=CertifiedCrop[[#This Row],[3. Variété**]]),0)),FALSE,TRUE))</f>
        <v>0</v>
      </c>
      <c r="L376" s="20" t="str">
        <f t="shared" si="30"/>
        <v/>
      </c>
      <c r="M376" s="54" t="str">
        <f t="shared" si="31"/>
        <v/>
      </c>
      <c r="N376" s="54" t="str">
        <f t="shared" si="32"/>
        <v/>
      </c>
      <c r="O376" s="55">
        <f t="shared" si="33"/>
        <v>593.40974212034382</v>
      </c>
      <c r="P376" s="55">
        <f t="shared" si="34"/>
        <v>546.70487106017185</v>
      </c>
      <c r="Q376" s="9" t="str">
        <f ca="1">IFERROR((VLOOKUP(A376,GM_Table,8,FALSE)-SUMIFS(D:D,A:A,A376,B:B,B376,C:C,C376)),"")</f>
        <v/>
      </c>
      <c r="R376" s="9" t="str">
        <f ca="1">IFERROR(CONCATENATE(VLOOKUP(A376,GM_Table,12,FALSE)," ",(VLOOKUP(A376,GM_Table,13,FALSE))),"")</f>
        <v/>
      </c>
    </row>
    <row r="377" spans="1:18" ht="15" x14ac:dyDescent="0.2">
      <c r="A377" s="190" t="s">
        <v>1815</v>
      </c>
      <c r="B377" s="9" t="s">
        <v>3290</v>
      </c>
      <c r="C377" s="9" t="s">
        <v>3291</v>
      </c>
      <c r="D377" s="252">
        <v>1.07</v>
      </c>
      <c r="E377" s="221">
        <v>672</v>
      </c>
      <c r="F377" s="246">
        <v>658</v>
      </c>
      <c r="G377" s="247">
        <v>516</v>
      </c>
      <c r="H377" s="248">
        <v>516</v>
      </c>
      <c r="I377" s="249">
        <v>603</v>
      </c>
      <c r="J377" s="122" t="b">
        <f>IF(ISBLANK(CertifiedCrop[[#This Row],[1. Identifiant interne d’exploitation agricole*]]),"",IF(ISERROR(MATCH(CertifiedCrop[[#This Row],[1. Identifiant interne d’exploitation agricole*]],GroupMember[1. Identifiant interne d’exploitation agricole*],0)),FALSE,TRUE))</f>
        <v>1</v>
      </c>
      <c r="K377" s="122" t="b">
        <f t="array" ref="K377">IF(ISBLANK(CertifiedCrop[[#This Row],[2. Produit agricole certifié*]]),"",IF(ISERROR(MATCH(1,(#REF!=CertifiedCrop[[#This Row],[2. Produit agricole certifié*]])*(#REF!=CertifiedCrop[[#This Row],[3. Variété**]]),0)),FALSE,TRUE))</f>
        <v>0</v>
      </c>
      <c r="L377" s="20" t="str">
        <f t="shared" si="30"/>
        <v/>
      </c>
      <c r="M377" s="54" t="str">
        <f t="shared" si="31"/>
        <v>!</v>
      </c>
      <c r="N377" s="54" t="str">
        <f t="shared" si="32"/>
        <v/>
      </c>
      <c r="O377" s="55">
        <f t="shared" si="33"/>
        <v>628.03738317757006</v>
      </c>
      <c r="P377" s="55">
        <f t="shared" si="34"/>
        <v>614.95327102803731</v>
      </c>
      <c r="Q377" s="9" t="str">
        <f ca="1">IFERROR((VLOOKUP(A377,GM_Table,8,FALSE)-SUMIFS(D:D,A:A,A377,B:B,B377,C:C,C377)),"")</f>
        <v/>
      </c>
      <c r="R377" s="9" t="str">
        <f ca="1">IFERROR(CONCATENATE(VLOOKUP(A377,GM_Table,12,FALSE)," ",(VLOOKUP(A377,GM_Table,13,FALSE))),"")</f>
        <v/>
      </c>
    </row>
    <row r="378" spans="1:18" ht="15" x14ac:dyDescent="0.2">
      <c r="A378" s="190" t="s">
        <v>1817</v>
      </c>
      <c r="B378" s="9" t="s">
        <v>3290</v>
      </c>
      <c r="C378" s="9" t="s">
        <v>3291</v>
      </c>
      <c r="D378" s="252">
        <v>1.1399999999999999</v>
      </c>
      <c r="E378" s="221">
        <v>677</v>
      </c>
      <c r="F378" s="246">
        <v>654</v>
      </c>
      <c r="G378" s="247">
        <v>430</v>
      </c>
      <c r="H378" s="248">
        <v>429</v>
      </c>
      <c r="I378" s="249">
        <v>625</v>
      </c>
      <c r="J378" s="122" t="b">
        <f>IF(ISBLANK(CertifiedCrop[[#This Row],[1. Identifiant interne d’exploitation agricole*]]),"",IF(ISERROR(MATCH(CertifiedCrop[[#This Row],[1. Identifiant interne d’exploitation agricole*]],GroupMember[1. Identifiant interne d’exploitation agricole*],0)),FALSE,TRUE))</f>
        <v>1</v>
      </c>
      <c r="K378" s="122" t="b">
        <f t="array" ref="K378">IF(ISBLANK(CertifiedCrop[[#This Row],[2. Produit agricole certifié*]]),"",IF(ISERROR(MATCH(1,(#REF!=CertifiedCrop[[#This Row],[2. Produit agricole certifié*]])*(#REF!=CertifiedCrop[[#This Row],[3. Variété**]]),0)),FALSE,TRUE))</f>
        <v>0</v>
      </c>
      <c r="L378" s="20" t="str">
        <f t="shared" si="30"/>
        <v/>
      </c>
      <c r="M378" s="54" t="str">
        <f t="shared" si="31"/>
        <v>!</v>
      </c>
      <c r="N378" s="54" t="str">
        <f t="shared" si="32"/>
        <v/>
      </c>
      <c r="O378" s="55">
        <f t="shared" si="33"/>
        <v>593.85964912280701</v>
      </c>
      <c r="P378" s="55">
        <f t="shared" si="34"/>
        <v>573.68421052631584</v>
      </c>
      <c r="Q378" s="9" t="str">
        <f ca="1">IFERROR((VLOOKUP(A378,GM_Table,8,FALSE)-SUMIFS(D:D,A:A,A378,B:B,B378,C:C,C378)),"")</f>
        <v/>
      </c>
      <c r="R378" s="9" t="str">
        <f ca="1">IFERROR(CONCATENATE(VLOOKUP(A378,GM_Table,12,FALSE)," ",(VLOOKUP(A378,GM_Table,13,FALSE))),"")</f>
        <v/>
      </c>
    </row>
    <row r="379" spans="1:18" ht="15" x14ac:dyDescent="0.2">
      <c r="A379" s="190" t="s">
        <v>1821</v>
      </c>
      <c r="B379" s="9" t="s">
        <v>3290</v>
      </c>
      <c r="C379" s="9" t="s">
        <v>3291</v>
      </c>
      <c r="D379" s="252">
        <v>2.86</v>
      </c>
      <c r="E379" s="245">
        <v>1666</v>
      </c>
      <c r="F379" s="246">
        <v>1569</v>
      </c>
      <c r="G379" s="247">
        <v>1469</v>
      </c>
      <c r="H379" s="248">
        <v>1532</v>
      </c>
      <c r="I379" s="249">
        <v>1095</v>
      </c>
      <c r="J379" s="122" t="b">
        <f>IF(ISBLANK(CertifiedCrop[[#This Row],[1. Identifiant interne d’exploitation agricole*]]),"",IF(ISERROR(MATCH(CertifiedCrop[[#This Row],[1. Identifiant interne d’exploitation agricole*]],GroupMember[1. Identifiant interne d’exploitation agricole*],0)),FALSE,TRUE))</f>
        <v>1</v>
      </c>
      <c r="K379" s="122" t="b">
        <f t="array" ref="K379">IF(ISBLANK(CertifiedCrop[[#This Row],[2. Produit agricole certifié*]]),"",IF(ISERROR(MATCH(1,(#REF!=CertifiedCrop[[#This Row],[2. Produit agricole certifié*]])*(#REF!=CertifiedCrop[[#This Row],[3. Variété**]]),0)),FALSE,TRUE))</f>
        <v>0</v>
      </c>
      <c r="L379" s="20" t="str">
        <f t="shared" si="30"/>
        <v/>
      </c>
      <c r="M379" s="54" t="str">
        <f t="shared" si="31"/>
        <v/>
      </c>
      <c r="N379" s="54" t="str">
        <f t="shared" si="32"/>
        <v/>
      </c>
      <c r="O379" s="55">
        <f t="shared" si="33"/>
        <v>582.51748251748256</v>
      </c>
      <c r="P379" s="55">
        <f t="shared" si="34"/>
        <v>548.60139860139861</v>
      </c>
      <c r="Q379" s="9" t="str">
        <f ca="1">IFERROR((VLOOKUP(A379,GM_Table,8,FALSE)-SUMIFS(D:D,A:A,A379,B:B,B379,C:C,C379)),"")</f>
        <v/>
      </c>
      <c r="R379" s="9" t="str">
        <f ca="1">IFERROR(CONCATENATE(VLOOKUP(A379,GM_Table,12,FALSE)," ",(VLOOKUP(A379,GM_Table,13,FALSE))),"")</f>
        <v/>
      </c>
    </row>
    <row r="380" spans="1:18" ht="15" x14ac:dyDescent="0.2">
      <c r="A380" s="190" t="s">
        <v>1824</v>
      </c>
      <c r="B380" s="9" t="s">
        <v>3290</v>
      </c>
      <c r="C380" s="9" t="s">
        <v>3291</v>
      </c>
      <c r="D380" s="252">
        <v>1.21</v>
      </c>
      <c r="E380" s="221">
        <v>660</v>
      </c>
      <c r="F380" s="246">
        <v>657</v>
      </c>
      <c r="G380" s="247">
        <v>541</v>
      </c>
      <c r="H380" s="248">
        <v>533</v>
      </c>
      <c r="I380" s="249">
        <v>702</v>
      </c>
      <c r="J380" s="122" t="b">
        <f>IF(ISBLANK(CertifiedCrop[[#This Row],[1. Identifiant interne d’exploitation agricole*]]),"",IF(ISERROR(MATCH(CertifiedCrop[[#This Row],[1. Identifiant interne d’exploitation agricole*]],GroupMember[1. Identifiant interne d’exploitation agricole*],0)),FALSE,TRUE))</f>
        <v>1</v>
      </c>
      <c r="K380" s="122" t="b">
        <f t="array" ref="K380">IF(ISBLANK(CertifiedCrop[[#This Row],[2. Produit agricole certifié*]]),"",IF(ISERROR(MATCH(1,(#REF!=CertifiedCrop[[#This Row],[2. Produit agricole certifié*]])*(#REF!=CertifiedCrop[[#This Row],[3. Variété**]]),0)),FALSE,TRUE))</f>
        <v>0</v>
      </c>
      <c r="L380" s="20" t="str">
        <f t="shared" si="30"/>
        <v/>
      </c>
      <c r="M380" s="54" t="str">
        <f t="shared" si="31"/>
        <v/>
      </c>
      <c r="N380" s="54" t="str">
        <f t="shared" si="32"/>
        <v/>
      </c>
      <c r="O380" s="55">
        <f t="shared" si="33"/>
        <v>545.4545454545455</v>
      </c>
      <c r="P380" s="55">
        <f t="shared" si="34"/>
        <v>542.97520661157023</v>
      </c>
      <c r="Q380" s="9" t="str">
        <f ca="1">IFERROR((VLOOKUP(A380,GM_Table,8,FALSE)-SUMIFS(D:D,A:A,A380,B:B,B380,C:C,C380)),"")</f>
        <v/>
      </c>
      <c r="R380" s="9" t="str">
        <f ca="1">IFERROR(CONCATENATE(VLOOKUP(A380,GM_Table,12,FALSE)," ",(VLOOKUP(A380,GM_Table,13,FALSE))),"")</f>
        <v/>
      </c>
    </row>
    <row r="381" spans="1:18" ht="15" x14ac:dyDescent="0.2">
      <c r="A381" s="190" t="s">
        <v>1827</v>
      </c>
      <c r="B381" s="9" t="s">
        <v>3290</v>
      </c>
      <c r="C381" s="9" t="s">
        <v>3291</v>
      </c>
      <c r="D381" s="252">
        <v>1.53</v>
      </c>
      <c r="E381" s="221">
        <v>974</v>
      </c>
      <c r="F381" s="246">
        <v>967</v>
      </c>
      <c r="G381" s="247">
        <v>547</v>
      </c>
      <c r="H381" s="248">
        <v>847</v>
      </c>
      <c r="I381" s="249">
        <v>896</v>
      </c>
      <c r="J381" s="122" t="b">
        <f>IF(ISBLANK(CertifiedCrop[[#This Row],[1. Identifiant interne d’exploitation agricole*]]),"",IF(ISERROR(MATCH(CertifiedCrop[[#This Row],[1. Identifiant interne d’exploitation agricole*]],GroupMember[1. Identifiant interne d’exploitation agricole*],0)),FALSE,TRUE))</f>
        <v>1</v>
      </c>
      <c r="K381" s="122" t="b">
        <f t="array" ref="K381">IF(ISBLANK(CertifiedCrop[[#This Row],[2. Produit agricole certifié*]]),"",IF(ISERROR(MATCH(1,(#REF!=CertifiedCrop[[#This Row],[2. Produit agricole certifié*]])*(#REF!=CertifiedCrop[[#This Row],[3. Variété**]]),0)),FALSE,TRUE))</f>
        <v>0</v>
      </c>
      <c r="L381" s="20" t="str">
        <f t="shared" si="30"/>
        <v/>
      </c>
      <c r="M381" s="54" t="str">
        <f t="shared" si="31"/>
        <v>!</v>
      </c>
      <c r="N381" s="54" t="str">
        <f t="shared" si="32"/>
        <v>!</v>
      </c>
      <c r="O381" s="55">
        <f t="shared" si="33"/>
        <v>636.60130718954247</v>
      </c>
      <c r="P381" s="55">
        <f t="shared" si="34"/>
        <v>632.02614379084969</v>
      </c>
      <c r="Q381" s="9" t="str">
        <f ca="1">IFERROR((VLOOKUP(A381,GM_Table,8,FALSE)-SUMIFS(D:D,A:A,A381,B:B,B381,C:C,C381)),"")</f>
        <v/>
      </c>
      <c r="R381" s="9" t="str">
        <f ca="1">IFERROR(CONCATENATE(VLOOKUP(A381,GM_Table,12,FALSE)," ",(VLOOKUP(A381,GM_Table,13,FALSE))),"")</f>
        <v/>
      </c>
    </row>
    <row r="382" spans="1:18" ht="15" x14ac:dyDescent="0.2">
      <c r="A382" s="190" t="s">
        <v>1830</v>
      </c>
      <c r="B382" s="9" t="s">
        <v>3290</v>
      </c>
      <c r="C382" s="9" t="s">
        <v>3291</v>
      </c>
      <c r="D382" s="252">
        <v>15.93</v>
      </c>
      <c r="E382" s="245">
        <v>8911</v>
      </c>
      <c r="F382" s="246">
        <v>8130</v>
      </c>
      <c r="G382" s="247">
        <v>8130</v>
      </c>
      <c r="H382" s="248">
        <v>7774</v>
      </c>
      <c r="I382" s="249">
        <v>5812</v>
      </c>
      <c r="J382" s="122" t="b">
        <f>IF(ISBLANK(CertifiedCrop[[#This Row],[1. Identifiant interne d’exploitation agricole*]]),"",IF(ISERROR(MATCH(CertifiedCrop[[#This Row],[1. Identifiant interne d’exploitation agricole*]],GroupMember[1. Identifiant interne d’exploitation agricole*],0)),FALSE,TRUE))</f>
        <v>1</v>
      </c>
      <c r="K382" s="122" t="b">
        <f t="array" ref="K382">IF(ISBLANK(CertifiedCrop[[#This Row],[2. Produit agricole certifié*]]),"",IF(ISERROR(MATCH(1,(#REF!=CertifiedCrop[[#This Row],[2. Produit agricole certifié*]])*(#REF!=CertifiedCrop[[#This Row],[3. Variété**]]),0)),FALSE,TRUE))</f>
        <v>0</v>
      </c>
      <c r="L382" s="20" t="str">
        <f t="shared" si="30"/>
        <v/>
      </c>
      <c r="M382" s="54" t="str">
        <f t="shared" si="31"/>
        <v/>
      </c>
      <c r="N382" s="54" t="str">
        <f t="shared" si="32"/>
        <v/>
      </c>
      <c r="O382" s="55">
        <f t="shared" si="33"/>
        <v>559.38480853735086</v>
      </c>
      <c r="P382" s="55">
        <f t="shared" si="34"/>
        <v>510.35781544256122</v>
      </c>
      <c r="Q382" s="9" t="str">
        <f ca="1">IFERROR((VLOOKUP(A382,GM_Table,8,FALSE)-SUMIFS(D:D,A:A,A382,B:B,B382,C:C,C382)),"")</f>
        <v/>
      </c>
      <c r="R382" s="9" t="str">
        <f ca="1">IFERROR(CONCATENATE(VLOOKUP(A382,GM_Table,12,FALSE)," ",(VLOOKUP(A382,GM_Table,13,FALSE))),"")</f>
        <v/>
      </c>
    </row>
    <row r="383" spans="1:18" ht="15" x14ac:dyDescent="0.2">
      <c r="A383" s="190" t="s">
        <v>1832</v>
      </c>
      <c r="B383" s="9" t="s">
        <v>3290</v>
      </c>
      <c r="C383" s="9" t="s">
        <v>3291</v>
      </c>
      <c r="D383" s="252">
        <v>5.59</v>
      </c>
      <c r="E383" s="245">
        <v>3356</v>
      </c>
      <c r="F383" s="246">
        <v>3265</v>
      </c>
      <c r="G383" s="247">
        <v>2646</v>
      </c>
      <c r="H383" s="248">
        <v>3182</v>
      </c>
      <c r="I383" s="249">
        <v>2800</v>
      </c>
      <c r="J383" s="122" t="b">
        <f>IF(ISBLANK(CertifiedCrop[[#This Row],[1. Identifiant interne d’exploitation agricole*]]),"",IF(ISERROR(MATCH(CertifiedCrop[[#This Row],[1. Identifiant interne d’exploitation agricole*]],GroupMember[1. Identifiant interne d’exploitation agricole*],0)),FALSE,TRUE))</f>
        <v>1</v>
      </c>
      <c r="K383" s="122" t="b">
        <f t="array" ref="K383">IF(ISBLANK(CertifiedCrop[[#This Row],[2. Produit agricole certifié*]]),"",IF(ISERROR(MATCH(1,(#REF!=CertifiedCrop[[#This Row],[2. Produit agricole certifié*]])*(#REF!=CertifiedCrop[[#This Row],[3. Variété**]]),0)),FALSE,TRUE))</f>
        <v>0</v>
      </c>
      <c r="L383" s="20" t="str">
        <f t="shared" si="30"/>
        <v/>
      </c>
      <c r="M383" s="54" t="str">
        <f t="shared" si="31"/>
        <v/>
      </c>
      <c r="N383" s="54" t="str">
        <f t="shared" si="32"/>
        <v/>
      </c>
      <c r="O383" s="55">
        <f t="shared" si="33"/>
        <v>600.35778175313055</v>
      </c>
      <c r="P383" s="55">
        <f t="shared" si="34"/>
        <v>584.07871198568876</v>
      </c>
      <c r="Q383" s="9" t="str">
        <f ca="1">IFERROR((VLOOKUP(A383,GM_Table,8,FALSE)-SUMIFS(D:D,A:A,A383,B:B,B383,C:C,C383)),"")</f>
        <v/>
      </c>
      <c r="R383" s="9" t="str">
        <f ca="1">IFERROR(CONCATENATE(VLOOKUP(A383,GM_Table,12,FALSE)," ",(VLOOKUP(A383,GM_Table,13,FALSE))),"")</f>
        <v/>
      </c>
    </row>
    <row r="384" spans="1:18" ht="15" x14ac:dyDescent="0.2">
      <c r="A384" s="190" t="s">
        <v>1835</v>
      </c>
      <c r="B384" s="9" t="s">
        <v>3290</v>
      </c>
      <c r="C384" s="9" t="s">
        <v>3291</v>
      </c>
      <c r="D384" s="252">
        <v>3.49</v>
      </c>
      <c r="E384" s="245">
        <v>2064</v>
      </c>
      <c r="F384" s="246">
        <v>1895</v>
      </c>
      <c r="G384" s="247">
        <v>1636</v>
      </c>
      <c r="H384" s="248">
        <v>1966</v>
      </c>
      <c r="I384" s="249">
        <v>1734</v>
      </c>
      <c r="J384" s="122" t="b">
        <f>IF(ISBLANK(CertifiedCrop[[#This Row],[1. Identifiant interne d’exploitation agricole*]]),"",IF(ISERROR(MATCH(CertifiedCrop[[#This Row],[1. Identifiant interne d’exploitation agricole*]],GroupMember[1. Identifiant interne d’exploitation agricole*],0)),FALSE,TRUE))</f>
        <v>1</v>
      </c>
      <c r="K384" s="122" t="b">
        <f t="array" ref="K384">IF(ISBLANK(CertifiedCrop[[#This Row],[2. Produit agricole certifié*]]),"",IF(ISERROR(MATCH(1,(#REF!=CertifiedCrop[[#This Row],[2. Produit agricole certifié*]])*(#REF!=CertifiedCrop[[#This Row],[3. Variété**]]),0)),FALSE,TRUE))</f>
        <v>0</v>
      </c>
      <c r="L384" s="20" t="str">
        <f t="shared" si="30"/>
        <v/>
      </c>
      <c r="M384" s="54" t="str">
        <f t="shared" si="31"/>
        <v/>
      </c>
      <c r="N384" s="54" t="str">
        <f t="shared" si="32"/>
        <v/>
      </c>
      <c r="O384" s="55">
        <f t="shared" si="33"/>
        <v>591.40401146131796</v>
      </c>
      <c r="P384" s="55">
        <f t="shared" si="34"/>
        <v>542.97994269340973</v>
      </c>
      <c r="Q384" s="9" t="str">
        <f ca="1">IFERROR((VLOOKUP(A384,GM_Table,8,FALSE)-SUMIFS(D:D,A:A,A384,B:B,B384,C:C,C384)),"")</f>
        <v/>
      </c>
      <c r="R384" s="9" t="str">
        <f ca="1">IFERROR(CONCATENATE(VLOOKUP(A384,GM_Table,12,FALSE)," ",(VLOOKUP(A384,GM_Table,13,FALSE))),"")</f>
        <v/>
      </c>
    </row>
    <row r="385" spans="1:18" ht="15" x14ac:dyDescent="0.2">
      <c r="A385" s="190" t="s">
        <v>1839</v>
      </c>
      <c r="B385" s="9" t="s">
        <v>3290</v>
      </c>
      <c r="C385" s="9" t="s">
        <v>3291</v>
      </c>
      <c r="D385" s="252">
        <v>1.53</v>
      </c>
      <c r="E385" s="221">
        <v>884</v>
      </c>
      <c r="F385" s="246">
        <v>972</v>
      </c>
      <c r="G385" s="247">
        <v>972</v>
      </c>
      <c r="H385" s="248">
        <v>766</v>
      </c>
      <c r="I385" s="249">
        <v>847</v>
      </c>
      <c r="J385" s="122" t="b">
        <f>IF(ISBLANK(CertifiedCrop[[#This Row],[1. Identifiant interne d’exploitation agricole*]]),"",IF(ISERROR(MATCH(CertifiedCrop[[#This Row],[1. Identifiant interne d’exploitation agricole*]],GroupMember[1. Identifiant interne d’exploitation agricole*],0)),FALSE,TRUE))</f>
        <v>1</v>
      </c>
      <c r="K385" s="122" t="b">
        <f t="array" ref="K385">IF(ISBLANK(CertifiedCrop[[#This Row],[2. Produit agricole certifié*]]),"",IF(ISERROR(MATCH(1,(#REF!=CertifiedCrop[[#This Row],[2. Produit agricole certifié*]])*(#REF!=CertifiedCrop[[#This Row],[3. Variété**]]),0)),FALSE,TRUE))</f>
        <v>0</v>
      </c>
      <c r="L385" s="20" t="str">
        <f t="shared" si="30"/>
        <v/>
      </c>
      <c r="M385" s="54" t="str">
        <f t="shared" si="31"/>
        <v/>
      </c>
      <c r="N385" s="54" t="str">
        <f t="shared" si="32"/>
        <v>!</v>
      </c>
      <c r="O385" s="55">
        <f t="shared" si="33"/>
        <v>577.77777777777771</v>
      </c>
      <c r="P385" s="55">
        <f t="shared" si="34"/>
        <v>635.29411764705878</v>
      </c>
      <c r="Q385" s="9" t="str">
        <f ca="1">IFERROR((VLOOKUP(A385,GM_Table,8,FALSE)-SUMIFS(D:D,A:A,A385,B:B,B385,C:C,C385)),"")</f>
        <v/>
      </c>
      <c r="R385" s="9" t="str">
        <f ca="1">IFERROR(CONCATENATE(VLOOKUP(A385,GM_Table,12,FALSE)," ",(VLOOKUP(A385,GM_Table,13,FALSE))),"")</f>
        <v/>
      </c>
    </row>
    <row r="386" spans="1:18" ht="15" x14ac:dyDescent="0.2">
      <c r="A386" s="190" t="s">
        <v>1843</v>
      </c>
      <c r="B386" s="9" t="s">
        <v>3290</v>
      </c>
      <c r="C386" s="9" t="s">
        <v>3291</v>
      </c>
      <c r="D386" s="252">
        <v>1.1100000000000001</v>
      </c>
      <c r="E386" s="221">
        <v>680</v>
      </c>
      <c r="F386" s="246">
        <v>636</v>
      </c>
      <c r="G386" s="247">
        <v>538</v>
      </c>
      <c r="H386" s="248">
        <v>617</v>
      </c>
      <c r="I386" s="249">
        <v>631</v>
      </c>
      <c r="J386" s="122" t="b">
        <f>IF(ISBLANK(CertifiedCrop[[#This Row],[1. Identifiant interne d’exploitation agricole*]]),"",IF(ISERROR(MATCH(CertifiedCrop[[#This Row],[1. Identifiant interne d’exploitation agricole*]],GroupMember[1. Identifiant interne d’exploitation agricole*],0)),FALSE,TRUE))</f>
        <v>1</v>
      </c>
      <c r="K386" s="122" t="b">
        <f t="array" ref="K386">IF(ISBLANK(CertifiedCrop[[#This Row],[2. Produit agricole certifié*]]),"",IF(ISERROR(MATCH(1,(#REF!=CertifiedCrop[[#This Row],[2. Produit agricole certifié*]])*(#REF!=CertifiedCrop[[#This Row],[3. Variété**]]),0)),FALSE,TRUE))</f>
        <v>0</v>
      </c>
      <c r="L386" s="20" t="str">
        <f t="shared" si="30"/>
        <v/>
      </c>
      <c r="M386" s="54" t="str">
        <f t="shared" si="31"/>
        <v/>
      </c>
      <c r="N386" s="54" t="str">
        <f t="shared" si="32"/>
        <v/>
      </c>
      <c r="O386" s="55">
        <f t="shared" si="33"/>
        <v>612.61261261261257</v>
      </c>
      <c r="P386" s="55">
        <f t="shared" si="34"/>
        <v>572.97297297297291</v>
      </c>
      <c r="Q386" s="9" t="str">
        <f ca="1">IFERROR((VLOOKUP(A386,GM_Table,8,FALSE)-SUMIFS(D:D,A:A,A386,B:B,B386,C:C,C386)),"")</f>
        <v/>
      </c>
      <c r="R386" s="9" t="str">
        <f ca="1">IFERROR(CONCATENATE(VLOOKUP(A386,GM_Table,12,FALSE)," ",(VLOOKUP(A386,GM_Table,13,FALSE))),"")</f>
        <v/>
      </c>
    </row>
    <row r="387" spans="1:18" ht="15" x14ac:dyDescent="0.2">
      <c r="A387" s="190" t="s">
        <v>1845</v>
      </c>
      <c r="B387" s="9" t="s">
        <v>3290</v>
      </c>
      <c r="C387" s="9" t="s">
        <v>3291</v>
      </c>
      <c r="D387" s="252">
        <v>3.7</v>
      </c>
      <c r="E387" s="245">
        <v>2099</v>
      </c>
      <c r="F387" s="246">
        <v>1979</v>
      </c>
      <c r="G387" s="247">
        <v>1903</v>
      </c>
      <c r="H387" s="248">
        <v>1517</v>
      </c>
      <c r="I387" s="249">
        <v>1502</v>
      </c>
      <c r="J387" s="122" t="b">
        <f>IF(ISBLANK(CertifiedCrop[[#This Row],[1. Identifiant interne d’exploitation agricole*]]),"",IF(ISERROR(MATCH(CertifiedCrop[[#This Row],[1. Identifiant interne d’exploitation agricole*]],GroupMember[1. Identifiant interne d’exploitation agricole*],0)),FALSE,TRUE))</f>
        <v>1</v>
      </c>
      <c r="K387" s="122" t="b">
        <f t="array" ref="K387">IF(ISBLANK(CertifiedCrop[[#This Row],[2. Produit agricole certifié*]]),"",IF(ISERROR(MATCH(1,(#REF!=CertifiedCrop[[#This Row],[2. Produit agricole certifié*]])*(#REF!=CertifiedCrop[[#This Row],[3. Variété**]]),0)),FALSE,TRUE))</f>
        <v>0</v>
      </c>
      <c r="L387" s="20" t="str">
        <f t="shared" si="30"/>
        <v/>
      </c>
      <c r="M387" s="54" t="str">
        <f t="shared" si="31"/>
        <v/>
      </c>
      <c r="N387" s="54" t="str">
        <f t="shared" si="32"/>
        <v>!</v>
      </c>
      <c r="O387" s="55">
        <f t="shared" si="33"/>
        <v>567.29729729729729</v>
      </c>
      <c r="P387" s="55">
        <f t="shared" si="34"/>
        <v>534.86486486486478</v>
      </c>
      <c r="Q387" s="9" t="str">
        <f ca="1">IFERROR((VLOOKUP(A387,GM_Table,8,FALSE)-SUMIFS(D:D,A:A,A387,B:B,B387,C:C,C387)),"")</f>
        <v/>
      </c>
      <c r="R387" s="9" t="str">
        <f ca="1">IFERROR(CONCATENATE(VLOOKUP(A387,GM_Table,12,FALSE)," ",(VLOOKUP(A387,GM_Table,13,FALSE))),"")</f>
        <v/>
      </c>
    </row>
    <row r="388" spans="1:18" ht="15" x14ac:dyDescent="0.2">
      <c r="A388" s="190" t="s">
        <v>1849</v>
      </c>
      <c r="B388" s="9" t="s">
        <v>3290</v>
      </c>
      <c r="C388" s="9" t="s">
        <v>3291</v>
      </c>
      <c r="D388" s="252">
        <v>6.01</v>
      </c>
      <c r="E388" s="245">
        <v>3555</v>
      </c>
      <c r="F388" s="246">
        <v>3367</v>
      </c>
      <c r="G388" s="247">
        <v>547</v>
      </c>
      <c r="H388" s="248">
        <v>3200</v>
      </c>
      <c r="I388" s="249">
        <v>3523</v>
      </c>
      <c r="J388" s="122" t="b">
        <f>IF(ISBLANK(CertifiedCrop[[#This Row],[1. Identifiant interne d’exploitation agricole*]]),"",IF(ISERROR(MATCH(CertifiedCrop[[#This Row],[1. Identifiant interne d’exploitation agricole*]],GroupMember[1. Identifiant interne d’exploitation agricole*],0)),FALSE,TRUE))</f>
        <v>1</v>
      </c>
      <c r="K388" s="122" t="b">
        <f t="array" ref="K388">IF(ISBLANK(CertifiedCrop[[#This Row],[2. Produit agricole certifié*]]),"",IF(ISERROR(MATCH(1,(#REF!=CertifiedCrop[[#This Row],[2. Produit agricole certifié*]])*(#REF!=CertifiedCrop[[#This Row],[3. Variété**]]),0)),FALSE,TRUE))</f>
        <v>0</v>
      </c>
      <c r="L388" s="20" t="str">
        <f t="shared" si="30"/>
        <v/>
      </c>
      <c r="M388" s="54" t="str">
        <f t="shared" si="31"/>
        <v>!</v>
      </c>
      <c r="N388" s="54" t="str">
        <f t="shared" si="32"/>
        <v>!</v>
      </c>
      <c r="O388" s="55">
        <f t="shared" si="33"/>
        <v>591.51414309484198</v>
      </c>
      <c r="P388" s="55">
        <f t="shared" si="34"/>
        <v>560.23294509151413</v>
      </c>
      <c r="Q388" s="9" t="str">
        <f ca="1">IFERROR((VLOOKUP(A388,GM_Table,8,FALSE)-SUMIFS(D:D,A:A,A388,B:B,B388,C:C,C388)),"")</f>
        <v/>
      </c>
      <c r="R388" s="9" t="str">
        <f ca="1">IFERROR(CONCATENATE(VLOOKUP(A388,GM_Table,12,FALSE)," ",(VLOOKUP(A388,GM_Table,13,FALSE))),"")</f>
        <v/>
      </c>
    </row>
    <row r="389" spans="1:18" ht="15" x14ac:dyDescent="0.2">
      <c r="A389" s="190" t="s">
        <v>1852</v>
      </c>
      <c r="B389" s="9" t="s">
        <v>3290</v>
      </c>
      <c r="C389" s="9" t="s">
        <v>3291</v>
      </c>
      <c r="D389" s="252">
        <v>1.02</v>
      </c>
      <c r="E389" s="221">
        <v>616</v>
      </c>
      <c r="F389" s="246">
        <v>604</v>
      </c>
      <c r="G389" s="247">
        <v>406</v>
      </c>
      <c r="H389" s="248">
        <v>454</v>
      </c>
      <c r="I389" s="249">
        <v>547</v>
      </c>
      <c r="J389" s="122" t="b">
        <f>IF(ISBLANK(CertifiedCrop[[#This Row],[1. Identifiant interne d’exploitation agricole*]]),"",IF(ISERROR(MATCH(CertifiedCrop[[#This Row],[1. Identifiant interne d’exploitation agricole*]],GroupMember[1. Identifiant interne d’exploitation agricole*],0)),FALSE,TRUE))</f>
        <v>1</v>
      </c>
      <c r="K389" s="122" t="b">
        <f t="array" ref="K389">IF(ISBLANK(CertifiedCrop[[#This Row],[2. Produit agricole certifié*]]),"",IF(ISERROR(MATCH(1,(#REF!=CertifiedCrop[[#This Row],[2. Produit agricole certifié*]])*(#REF!=CertifiedCrop[[#This Row],[3. Variété**]]),0)),FALSE,TRUE))</f>
        <v>0</v>
      </c>
      <c r="L389" s="20" t="str">
        <f t="shared" si="30"/>
        <v/>
      </c>
      <c r="M389" s="54" t="str">
        <f t="shared" si="31"/>
        <v>!</v>
      </c>
      <c r="N389" s="54" t="str">
        <f t="shared" si="32"/>
        <v/>
      </c>
      <c r="O389" s="55">
        <f t="shared" si="33"/>
        <v>603.92156862745094</v>
      </c>
      <c r="P389" s="55">
        <f t="shared" si="34"/>
        <v>592.15686274509801</v>
      </c>
      <c r="Q389" s="9" t="str">
        <f ca="1">IFERROR((VLOOKUP(A389,GM_Table,8,FALSE)-SUMIFS(D:D,A:A,A389,B:B,B389,C:C,C389)),"")</f>
        <v/>
      </c>
      <c r="R389" s="9" t="str">
        <f ca="1">IFERROR(CONCATENATE(VLOOKUP(A389,GM_Table,12,FALSE)," ",(VLOOKUP(A389,GM_Table,13,FALSE))),"")</f>
        <v/>
      </c>
    </row>
    <row r="390" spans="1:18" ht="15" x14ac:dyDescent="0.2">
      <c r="A390" s="150" t="s">
        <v>1856</v>
      </c>
      <c r="B390" s="9" t="s">
        <v>3290</v>
      </c>
      <c r="C390" s="9" t="s">
        <v>3291</v>
      </c>
      <c r="D390" s="252">
        <v>4</v>
      </c>
      <c r="E390" s="245">
        <v>2270</v>
      </c>
      <c r="F390" s="246">
        <v>2174</v>
      </c>
      <c r="G390" s="247">
        <v>2061</v>
      </c>
      <c r="H390" s="248">
        <v>1848</v>
      </c>
      <c r="I390" s="249">
        <v>1542</v>
      </c>
      <c r="J390" s="122" t="b">
        <f>IF(ISBLANK(CertifiedCrop[[#This Row],[1. Identifiant interne d’exploitation agricole*]]),"",IF(ISERROR(MATCH(CertifiedCrop[[#This Row],[1. Identifiant interne d’exploitation agricole*]],GroupMember[1. Identifiant interne d’exploitation agricole*],0)),FALSE,TRUE))</f>
        <v>1</v>
      </c>
      <c r="K390" s="122" t="b">
        <f t="array" ref="K390">IF(ISBLANK(CertifiedCrop[[#This Row],[2. Produit agricole certifié*]]),"",IF(ISERROR(MATCH(1,(#REF!=CertifiedCrop[[#This Row],[2. Produit agricole certifié*]])*(#REF!=CertifiedCrop[[#This Row],[3. Variété**]]),0)),FALSE,TRUE))</f>
        <v>0</v>
      </c>
      <c r="L390" s="20" t="str">
        <f t="shared" si="30"/>
        <v/>
      </c>
      <c r="M390" s="54" t="str">
        <f t="shared" si="31"/>
        <v/>
      </c>
      <c r="N390" s="54" t="str">
        <f t="shared" si="32"/>
        <v/>
      </c>
      <c r="O390" s="55">
        <f t="shared" si="33"/>
        <v>567.5</v>
      </c>
      <c r="P390" s="55">
        <f t="shared" si="34"/>
        <v>543.5</v>
      </c>
      <c r="Q390" s="9" t="str">
        <f ca="1">IFERROR((VLOOKUP(A390,GM_Table,8,FALSE)-SUMIFS(D:D,A:A,A390,B:B,B390,C:C,C390)),"")</f>
        <v/>
      </c>
      <c r="R390" s="9" t="str">
        <f ca="1">IFERROR(CONCATENATE(VLOOKUP(A390,GM_Table,12,FALSE)," ",(VLOOKUP(A390,GM_Table,13,FALSE))),"")</f>
        <v/>
      </c>
    </row>
    <row r="391" spans="1:18" ht="15" x14ac:dyDescent="0.2">
      <c r="A391" s="150" t="s">
        <v>1858</v>
      </c>
      <c r="B391" s="9" t="s">
        <v>3290</v>
      </c>
      <c r="C391" s="9" t="s">
        <v>3291</v>
      </c>
      <c r="D391" s="252">
        <v>1.41</v>
      </c>
      <c r="E391" s="221">
        <v>849</v>
      </c>
      <c r="F391" s="246">
        <v>812</v>
      </c>
      <c r="G391" s="247">
        <v>698</v>
      </c>
      <c r="H391" s="248">
        <v>589</v>
      </c>
      <c r="I391" s="249">
        <v>773</v>
      </c>
      <c r="J391" s="122" t="b">
        <f>IF(ISBLANK(CertifiedCrop[[#This Row],[1. Identifiant interne d’exploitation agricole*]]),"",IF(ISERROR(MATCH(CertifiedCrop[[#This Row],[1. Identifiant interne d’exploitation agricole*]],GroupMember[1. Identifiant interne d’exploitation agricole*],0)),FALSE,TRUE))</f>
        <v>1</v>
      </c>
      <c r="K391" s="122" t="b">
        <f t="array" ref="K391">IF(ISBLANK(CertifiedCrop[[#This Row],[2. Produit agricole certifié*]]),"",IF(ISERROR(MATCH(1,(#REF!=CertifiedCrop[[#This Row],[2. Produit agricole certifié*]])*(#REF!=CertifiedCrop[[#This Row],[3. Variété**]]),0)),FALSE,TRUE))</f>
        <v>0</v>
      </c>
      <c r="L391" s="20" t="str">
        <f t="shared" si="30"/>
        <v/>
      </c>
      <c r="M391" s="54" t="str">
        <f t="shared" si="31"/>
        <v/>
      </c>
      <c r="N391" s="54" t="str">
        <f t="shared" si="32"/>
        <v/>
      </c>
      <c r="O391" s="55">
        <f t="shared" si="33"/>
        <v>602.12765957446811</v>
      </c>
      <c r="P391" s="55">
        <f t="shared" si="34"/>
        <v>575.88652482269504</v>
      </c>
      <c r="Q391" s="9" t="str">
        <f ca="1">IFERROR((VLOOKUP(A391,GM_Table,8,FALSE)-SUMIFS(D:D,A:A,A391,B:B,B391,C:C,C391)),"")</f>
        <v/>
      </c>
      <c r="R391" s="9" t="str">
        <f ca="1">IFERROR(CONCATENATE(VLOOKUP(A391,GM_Table,12,FALSE)," ",(VLOOKUP(A391,GM_Table,13,FALSE))),"")</f>
        <v/>
      </c>
    </row>
    <row r="392" spans="1:18" ht="15" x14ac:dyDescent="0.2">
      <c r="A392" s="150" t="s">
        <v>1861</v>
      </c>
      <c r="B392" s="9" t="s">
        <v>3290</v>
      </c>
      <c r="C392" s="9" t="s">
        <v>3291</v>
      </c>
      <c r="D392" s="252">
        <v>1.31</v>
      </c>
      <c r="E392" s="221">
        <v>829</v>
      </c>
      <c r="F392" s="246">
        <v>808</v>
      </c>
      <c r="G392" s="247">
        <v>511</v>
      </c>
      <c r="H392" s="248">
        <v>637</v>
      </c>
      <c r="I392" s="249">
        <v>636</v>
      </c>
      <c r="J392" s="122" t="b">
        <f>IF(ISBLANK(CertifiedCrop[[#This Row],[1. Identifiant interne d’exploitation agricole*]]),"",IF(ISERROR(MATCH(CertifiedCrop[[#This Row],[1. Identifiant interne d’exploitation agricole*]],GroupMember[1. Identifiant interne d’exploitation agricole*],0)),FALSE,TRUE))</f>
        <v>1</v>
      </c>
      <c r="K392" s="122" t="b">
        <f t="array" ref="K392">IF(ISBLANK(CertifiedCrop[[#This Row],[2. Produit agricole certifié*]]),"",IF(ISERROR(MATCH(1,(#REF!=CertifiedCrop[[#This Row],[2. Produit agricole certifié*]])*(#REF!=CertifiedCrop[[#This Row],[3. Variété**]]),0)),FALSE,TRUE))</f>
        <v>0</v>
      </c>
      <c r="L392" s="20" t="str">
        <f t="shared" si="30"/>
        <v/>
      </c>
      <c r="M392" s="54" t="str">
        <f t="shared" si="31"/>
        <v>!</v>
      </c>
      <c r="N392" s="54" t="str">
        <f t="shared" si="32"/>
        <v/>
      </c>
      <c r="O392" s="55">
        <f t="shared" si="33"/>
        <v>632.82442748091603</v>
      </c>
      <c r="P392" s="55">
        <f t="shared" si="34"/>
        <v>616.79389312977094</v>
      </c>
      <c r="Q392" s="9" t="str">
        <f ca="1">IFERROR((VLOOKUP(A392,GM_Table,8,FALSE)-SUMIFS(D:D,A:A,A392,B:B,B392,C:C,C392)),"")</f>
        <v/>
      </c>
      <c r="R392" s="9" t="str">
        <f ca="1">IFERROR(CONCATENATE(VLOOKUP(A392,GM_Table,12,FALSE)," ",(VLOOKUP(A392,GM_Table,13,FALSE))),"")</f>
        <v/>
      </c>
    </row>
    <row r="393" spans="1:18" ht="15" x14ac:dyDescent="0.2">
      <c r="A393" s="150" t="s">
        <v>1864</v>
      </c>
      <c r="B393" s="9" t="s">
        <v>3290</v>
      </c>
      <c r="C393" s="9" t="s">
        <v>3291</v>
      </c>
      <c r="D393" s="252">
        <v>1.75</v>
      </c>
      <c r="E393" s="245">
        <v>1099</v>
      </c>
      <c r="F393" s="246">
        <v>1025</v>
      </c>
      <c r="G393" s="247">
        <v>631</v>
      </c>
      <c r="H393" s="248">
        <v>747</v>
      </c>
      <c r="I393" s="249">
        <v>867</v>
      </c>
      <c r="J393" s="122" t="b">
        <f>IF(ISBLANK(CertifiedCrop[[#This Row],[1. Identifiant interne d’exploitation agricole*]]),"",IF(ISERROR(MATCH(CertifiedCrop[[#This Row],[1. Identifiant interne d’exploitation agricole*]],GroupMember[1. Identifiant interne d’exploitation agricole*],0)),FALSE,TRUE))</f>
        <v>1</v>
      </c>
      <c r="K393" s="122" t="b">
        <f t="array" ref="K393">IF(ISBLANK(CertifiedCrop[[#This Row],[2. Produit agricole certifié*]]),"",IF(ISERROR(MATCH(1,(#REF!=CertifiedCrop[[#This Row],[2. Produit agricole certifié*]])*(#REF!=CertifiedCrop[[#This Row],[3. Variété**]]),0)),FALSE,TRUE))</f>
        <v>0</v>
      </c>
      <c r="L393" s="20" t="str">
        <f t="shared" si="30"/>
        <v/>
      </c>
      <c r="M393" s="54" t="str">
        <f t="shared" si="31"/>
        <v>!</v>
      </c>
      <c r="N393" s="54" t="str">
        <f t="shared" si="32"/>
        <v/>
      </c>
      <c r="O393" s="55">
        <f t="shared" si="33"/>
        <v>628</v>
      </c>
      <c r="P393" s="55">
        <f t="shared" si="34"/>
        <v>585.71428571428567</v>
      </c>
      <c r="Q393" s="9" t="str">
        <f ca="1">IFERROR((VLOOKUP(A393,GM_Table,8,FALSE)-SUMIFS(D:D,A:A,A393,B:B,B393,C:C,C393)),"")</f>
        <v/>
      </c>
      <c r="R393" s="9" t="str">
        <f ca="1">IFERROR(CONCATENATE(VLOOKUP(A393,GM_Table,12,FALSE)," ",(VLOOKUP(A393,GM_Table,13,FALSE))),"")</f>
        <v/>
      </c>
    </row>
    <row r="394" spans="1:18" ht="15" x14ac:dyDescent="0.2">
      <c r="A394" s="150" t="s">
        <v>1865</v>
      </c>
      <c r="B394" s="9" t="s">
        <v>3290</v>
      </c>
      <c r="C394" s="9" t="s">
        <v>3291</v>
      </c>
      <c r="D394" s="252">
        <v>2.58</v>
      </c>
      <c r="E394" s="245">
        <v>1444</v>
      </c>
      <c r="F394" s="246">
        <v>1362</v>
      </c>
      <c r="G394" s="247">
        <v>978</v>
      </c>
      <c r="H394" s="248">
        <v>1241</v>
      </c>
      <c r="I394" s="249">
        <v>968</v>
      </c>
      <c r="J394" s="122" t="b">
        <f>IF(ISBLANK(CertifiedCrop[[#This Row],[1. Identifiant interne d’exploitation agricole*]]),"",IF(ISERROR(MATCH(CertifiedCrop[[#This Row],[1. Identifiant interne d’exploitation agricole*]],GroupMember[1. Identifiant interne d’exploitation agricole*],0)),FALSE,TRUE))</f>
        <v>1</v>
      </c>
      <c r="K394" s="122" t="b">
        <f t="array" ref="K394">IF(ISBLANK(CertifiedCrop[[#This Row],[2. Produit agricole certifié*]]),"",IF(ISERROR(MATCH(1,(#REF!=CertifiedCrop[[#This Row],[2. Produit agricole certifié*]])*(#REF!=CertifiedCrop[[#This Row],[3. Variété**]]),0)),FALSE,TRUE))</f>
        <v>0</v>
      </c>
      <c r="L394" s="20" t="str">
        <f t="shared" si="30"/>
        <v/>
      </c>
      <c r="M394" s="54" t="str">
        <f t="shared" si="31"/>
        <v>!</v>
      </c>
      <c r="N394" s="54" t="str">
        <f t="shared" si="32"/>
        <v/>
      </c>
      <c r="O394" s="55">
        <f t="shared" si="33"/>
        <v>559.68992248062011</v>
      </c>
      <c r="P394" s="55">
        <f t="shared" si="34"/>
        <v>527.90697674418607</v>
      </c>
      <c r="Q394" s="9" t="str">
        <f ca="1">IFERROR((VLOOKUP(A394,GM_Table,8,FALSE)-SUMIFS(D:D,A:A,A394,B:B,B394,C:C,C394)),"")</f>
        <v/>
      </c>
      <c r="R394" s="9" t="str">
        <f ca="1">IFERROR(CONCATENATE(VLOOKUP(A394,GM_Table,12,FALSE)," ",(VLOOKUP(A394,GM_Table,13,FALSE))),"")</f>
        <v/>
      </c>
    </row>
    <row r="395" spans="1:18" ht="15" x14ac:dyDescent="0.2">
      <c r="A395" s="150" t="s">
        <v>1867</v>
      </c>
      <c r="B395" s="9" t="s">
        <v>3290</v>
      </c>
      <c r="C395" s="9" t="s">
        <v>3291</v>
      </c>
      <c r="D395" s="252">
        <v>1.73</v>
      </c>
      <c r="E395" s="221">
        <v>957</v>
      </c>
      <c r="F395" s="246">
        <v>907</v>
      </c>
      <c r="G395" s="247">
        <v>499</v>
      </c>
      <c r="H395" s="248">
        <v>514</v>
      </c>
      <c r="I395" s="249">
        <v>931</v>
      </c>
      <c r="J395" s="122" t="b">
        <f>IF(ISBLANK(CertifiedCrop[[#This Row],[1. Identifiant interne d’exploitation agricole*]]),"",IF(ISERROR(MATCH(CertifiedCrop[[#This Row],[1. Identifiant interne d’exploitation agricole*]],GroupMember[1. Identifiant interne d’exploitation agricole*],0)),FALSE,TRUE))</f>
        <v>1</v>
      </c>
      <c r="K395" s="122" t="b">
        <f t="array" ref="K395">IF(ISBLANK(CertifiedCrop[[#This Row],[2. Produit agricole certifié*]]),"",IF(ISERROR(MATCH(1,(#REF!=CertifiedCrop[[#This Row],[2. Produit agricole certifié*]])*(#REF!=CertifiedCrop[[#This Row],[3. Variété**]]),0)),FALSE,TRUE))</f>
        <v>0</v>
      </c>
      <c r="L395" s="20" t="str">
        <f t="shared" si="30"/>
        <v/>
      </c>
      <c r="M395" s="54" t="str">
        <f t="shared" si="31"/>
        <v>!</v>
      </c>
      <c r="N395" s="54" t="str">
        <f t="shared" si="32"/>
        <v/>
      </c>
      <c r="O395" s="55">
        <f t="shared" si="33"/>
        <v>553.17919075144505</v>
      </c>
      <c r="P395" s="55">
        <f t="shared" si="34"/>
        <v>524.27745664739882</v>
      </c>
      <c r="Q395" s="9" t="str">
        <f ca="1">IFERROR((VLOOKUP(A395,GM_Table,8,FALSE)-SUMIFS(D:D,A:A,A395,B:B,B395,C:C,C395)),"")</f>
        <v/>
      </c>
      <c r="R395" s="9" t="str">
        <f ca="1">IFERROR(CONCATENATE(VLOOKUP(A395,GM_Table,12,FALSE)," ",(VLOOKUP(A395,GM_Table,13,FALSE))),"")</f>
        <v/>
      </c>
    </row>
    <row r="396" spans="1:18" ht="15" x14ac:dyDescent="0.2">
      <c r="A396" s="150" t="s">
        <v>1871</v>
      </c>
      <c r="B396" s="9" t="s">
        <v>3290</v>
      </c>
      <c r="C396" s="9" t="s">
        <v>3291</v>
      </c>
      <c r="D396" s="252">
        <v>1.25</v>
      </c>
      <c r="E396" s="221">
        <v>785</v>
      </c>
      <c r="F396" s="246">
        <v>769</v>
      </c>
      <c r="G396" s="247">
        <v>576</v>
      </c>
      <c r="H396" s="248">
        <v>636</v>
      </c>
      <c r="I396" s="249">
        <v>714</v>
      </c>
      <c r="J396" s="122" t="b">
        <f>IF(ISBLANK(CertifiedCrop[[#This Row],[1. Identifiant interne d’exploitation agricole*]]),"",IF(ISERROR(MATCH(CertifiedCrop[[#This Row],[1. Identifiant interne d’exploitation agricole*]],GroupMember[1. Identifiant interne d’exploitation agricole*],0)),FALSE,TRUE))</f>
        <v>1</v>
      </c>
      <c r="K396" s="122" t="b">
        <f t="array" ref="K396">IF(ISBLANK(CertifiedCrop[[#This Row],[2. Produit agricole certifié*]]),"",IF(ISERROR(MATCH(1,(#REF!=CertifiedCrop[[#This Row],[2. Produit agricole certifié*]])*(#REF!=CertifiedCrop[[#This Row],[3. Variété**]]),0)),FALSE,TRUE))</f>
        <v>0</v>
      </c>
      <c r="L396" s="20" t="str">
        <f t="shared" si="30"/>
        <v/>
      </c>
      <c r="M396" s="54" t="str">
        <f t="shared" si="31"/>
        <v>!</v>
      </c>
      <c r="N396" s="54" t="str">
        <f t="shared" si="32"/>
        <v/>
      </c>
      <c r="O396" s="55">
        <f t="shared" si="33"/>
        <v>628</v>
      </c>
      <c r="P396" s="55">
        <f t="shared" si="34"/>
        <v>615.20000000000005</v>
      </c>
      <c r="Q396" s="9" t="str">
        <f ca="1">IFERROR((VLOOKUP(A396,GM_Table,8,FALSE)-SUMIFS(D:D,A:A,A396,B:B,B396,C:C,C396)),"")</f>
        <v/>
      </c>
      <c r="R396" s="9" t="str">
        <f ca="1">IFERROR(CONCATENATE(VLOOKUP(A396,GM_Table,12,FALSE)," ",(VLOOKUP(A396,GM_Table,13,FALSE))),"")</f>
        <v/>
      </c>
    </row>
    <row r="397" spans="1:18" ht="15" x14ac:dyDescent="0.2">
      <c r="A397" s="150" t="s">
        <v>1874</v>
      </c>
      <c r="B397" s="9" t="s">
        <v>3290</v>
      </c>
      <c r="C397" s="9" t="s">
        <v>3291</v>
      </c>
      <c r="D397" s="252">
        <v>1.35</v>
      </c>
      <c r="E397" s="221">
        <v>854</v>
      </c>
      <c r="F397" s="246">
        <v>841</v>
      </c>
      <c r="G397" s="247">
        <v>301</v>
      </c>
      <c r="H397" s="248">
        <v>652</v>
      </c>
      <c r="I397" s="249">
        <v>787</v>
      </c>
      <c r="J397" s="122" t="b">
        <f>IF(ISBLANK(CertifiedCrop[[#This Row],[1. Identifiant interne d’exploitation agricole*]]),"",IF(ISERROR(MATCH(CertifiedCrop[[#This Row],[1. Identifiant interne d’exploitation agricole*]],GroupMember[1. Identifiant interne d’exploitation agricole*],0)),FALSE,TRUE))</f>
        <v>1</v>
      </c>
      <c r="K397" s="122" t="b">
        <f t="array" ref="K397">IF(ISBLANK(CertifiedCrop[[#This Row],[2. Produit agricole certifié*]]),"",IF(ISERROR(MATCH(1,(#REF!=CertifiedCrop[[#This Row],[2. Produit agricole certifié*]])*(#REF!=CertifiedCrop[[#This Row],[3. Variété**]]),0)),FALSE,TRUE))</f>
        <v>0</v>
      </c>
      <c r="L397" s="20" t="str">
        <f t="shared" si="30"/>
        <v/>
      </c>
      <c r="M397" s="54" t="str">
        <f t="shared" si="31"/>
        <v>!</v>
      </c>
      <c r="N397" s="54" t="str">
        <f t="shared" si="32"/>
        <v>!</v>
      </c>
      <c r="O397" s="55">
        <f t="shared" si="33"/>
        <v>632.5925925925925</v>
      </c>
      <c r="P397" s="55">
        <f t="shared" si="34"/>
        <v>622.96296296296293</v>
      </c>
      <c r="Q397" s="9" t="str">
        <f ca="1">IFERROR((VLOOKUP(A397,GM_Table,8,FALSE)-SUMIFS(D:D,A:A,A397,B:B,B397,C:C,C397)),"")</f>
        <v/>
      </c>
      <c r="R397" s="9" t="str">
        <f ca="1">IFERROR(CONCATENATE(VLOOKUP(A397,GM_Table,12,FALSE)," ",(VLOOKUP(A397,GM_Table,13,FALSE))),"")</f>
        <v/>
      </c>
    </row>
    <row r="398" spans="1:18" ht="15" x14ac:dyDescent="0.2">
      <c r="A398" s="150" t="s">
        <v>1875</v>
      </c>
      <c r="B398" s="9" t="s">
        <v>3290</v>
      </c>
      <c r="C398" s="9" t="s">
        <v>3291</v>
      </c>
      <c r="D398" s="252">
        <v>1.49</v>
      </c>
      <c r="E398" s="221">
        <v>897</v>
      </c>
      <c r="F398" s="246">
        <v>872</v>
      </c>
      <c r="G398" s="247">
        <v>593</v>
      </c>
      <c r="H398" s="248">
        <v>726</v>
      </c>
      <c r="I398" s="249">
        <v>826</v>
      </c>
      <c r="J398" s="122" t="b">
        <f>IF(ISBLANK(CertifiedCrop[[#This Row],[1. Identifiant interne d’exploitation agricole*]]),"",IF(ISERROR(MATCH(CertifiedCrop[[#This Row],[1. Identifiant interne d’exploitation agricole*]],GroupMember[1. Identifiant interne d’exploitation agricole*],0)),FALSE,TRUE))</f>
        <v>1</v>
      </c>
      <c r="K398" s="122" t="b">
        <f t="array" ref="K398">IF(ISBLANK(CertifiedCrop[[#This Row],[2. Produit agricole certifié*]]),"",IF(ISERROR(MATCH(1,(#REF!=CertifiedCrop[[#This Row],[2. Produit agricole certifié*]])*(#REF!=CertifiedCrop[[#This Row],[3. Variété**]]),0)),FALSE,TRUE))</f>
        <v>0</v>
      </c>
      <c r="L398" s="20" t="str">
        <f t="shared" si="30"/>
        <v/>
      </c>
      <c r="M398" s="54" t="str">
        <f t="shared" si="31"/>
        <v>!</v>
      </c>
      <c r="N398" s="54" t="str">
        <f t="shared" si="32"/>
        <v/>
      </c>
      <c r="O398" s="55">
        <f t="shared" si="33"/>
        <v>602.01342281879192</v>
      </c>
      <c r="P398" s="55">
        <f t="shared" si="34"/>
        <v>585.23489932885911</v>
      </c>
      <c r="Q398" s="9" t="str">
        <f ca="1">IFERROR((VLOOKUP(A398,GM_Table,8,FALSE)-SUMIFS(D:D,A:A,A398,B:B,B398,C:C,C398)),"")</f>
        <v/>
      </c>
      <c r="R398" s="9" t="str">
        <f ca="1">IFERROR(CONCATENATE(VLOOKUP(A398,GM_Table,12,FALSE)," ",(VLOOKUP(A398,GM_Table,13,FALSE))),"")</f>
        <v/>
      </c>
    </row>
    <row r="399" spans="1:18" ht="15" x14ac:dyDescent="0.2">
      <c r="A399" s="150" t="s">
        <v>1878</v>
      </c>
      <c r="B399" s="9" t="s">
        <v>3290</v>
      </c>
      <c r="C399" s="9" t="s">
        <v>3291</v>
      </c>
      <c r="D399" s="252">
        <v>3.62</v>
      </c>
      <c r="E399" s="245">
        <v>2090</v>
      </c>
      <c r="F399" s="246">
        <v>1969</v>
      </c>
      <c r="G399" s="247">
        <v>1593</v>
      </c>
      <c r="H399" s="248">
        <v>1866</v>
      </c>
      <c r="I399" s="249">
        <v>1359</v>
      </c>
      <c r="J399" s="122" t="b">
        <f>IF(ISBLANK(CertifiedCrop[[#This Row],[1. Identifiant interne d’exploitation agricole*]]),"",IF(ISERROR(MATCH(CertifiedCrop[[#This Row],[1. Identifiant interne d’exploitation agricole*]],GroupMember[1. Identifiant interne d’exploitation agricole*],0)),FALSE,TRUE))</f>
        <v>1</v>
      </c>
      <c r="K399" s="122" t="b">
        <f t="array" ref="K399">IF(ISBLANK(CertifiedCrop[[#This Row],[2. Produit agricole certifié*]]),"",IF(ISERROR(MATCH(1,(#REF!=CertifiedCrop[[#This Row],[2. Produit agricole certifié*]])*(#REF!=CertifiedCrop[[#This Row],[3. Variété**]]),0)),FALSE,TRUE))</f>
        <v>0</v>
      </c>
      <c r="L399" s="20" t="str">
        <f t="shared" si="30"/>
        <v/>
      </c>
      <c r="M399" s="54" t="str">
        <f t="shared" si="31"/>
        <v/>
      </c>
      <c r="N399" s="54" t="str">
        <f t="shared" si="32"/>
        <v/>
      </c>
      <c r="O399" s="55">
        <f t="shared" si="33"/>
        <v>577.34806629834247</v>
      </c>
      <c r="P399" s="55">
        <f t="shared" si="34"/>
        <v>543.92265193370167</v>
      </c>
      <c r="Q399" s="9" t="str">
        <f ca="1">IFERROR((VLOOKUP(A399,GM_Table,8,FALSE)-SUMIFS(D:D,A:A,A399,B:B,B399,C:C,C399)),"")</f>
        <v/>
      </c>
      <c r="R399" s="9" t="str">
        <f ca="1">IFERROR(CONCATENATE(VLOOKUP(A399,GM_Table,12,FALSE)," ",(VLOOKUP(A399,GM_Table,13,FALSE))),"")</f>
        <v/>
      </c>
    </row>
    <row r="400" spans="1:18" ht="15" x14ac:dyDescent="0.2">
      <c r="A400" s="150" t="s">
        <v>1882</v>
      </c>
      <c r="B400" s="9" t="s">
        <v>3290</v>
      </c>
      <c r="C400" s="9" t="s">
        <v>3291</v>
      </c>
      <c r="D400" s="252">
        <v>2.64</v>
      </c>
      <c r="E400" s="245">
        <v>1445</v>
      </c>
      <c r="F400" s="246">
        <v>1405</v>
      </c>
      <c r="G400" s="247">
        <v>867</v>
      </c>
      <c r="H400" s="248">
        <v>1414</v>
      </c>
      <c r="I400" s="249">
        <v>965</v>
      </c>
      <c r="J400" s="122" t="b">
        <f>IF(ISBLANK(CertifiedCrop[[#This Row],[1. Identifiant interne d’exploitation agricole*]]),"",IF(ISERROR(MATCH(CertifiedCrop[[#This Row],[1. Identifiant interne d’exploitation agricole*]],GroupMember[1. Identifiant interne d’exploitation agricole*],0)),FALSE,TRUE))</f>
        <v>1</v>
      </c>
      <c r="K400" s="122" t="b">
        <f t="array" ref="K400">IF(ISBLANK(CertifiedCrop[[#This Row],[2. Produit agricole certifié*]]),"",IF(ISERROR(MATCH(1,(#REF!=CertifiedCrop[[#This Row],[2. Produit agricole certifié*]])*(#REF!=CertifiedCrop[[#This Row],[3. Variété**]]),0)),FALSE,TRUE))</f>
        <v>0</v>
      </c>
      <c r="L400" s="20" t="str">
        <f t="shared" si="30"/>
        <v/>
      </c>
      <c r="M400" s="54" t="str">
        <f t="shared" si="31"/>
        <v>!</v>
      </c>
      <c r="N400" s="54" t="str">
        <f t="shared" si="32"/>
        <v>!</v>
      </c>
      <c r="O400" s="55">
        <f t="shared" si="33"/>
        <v>547.34848484848487</v>
      </c>
      <c r="P400" s="55">
        <f t="shared" si="34"/>
        <v>532.19696969696963</v>
      </c>
      <c r="Q400" s="9" t="str">
        <f ca="1">IFERROR((VLOOKUP(A400,GM_Table,8,FALSE)-SUMIFS(D:D,A:A,A400,B:B,B400,C:C,C400)),"")</f>
        <v/>
      </c>
      <c r="R400" s="9" t="str">
        <f ca="1">IFERROR(CONCATENATE(VLOOKUP(A400,GM_Table,12,FALSE)," ",(VLOOKUP(A400,GM_Table,13,FALSE))),"")</f>
        <v/>
      </c>
    </row>
    <row r="401" spans="1:18" ht="15" x14ac:dyDescent="0.2">
      <c r="A401" s="150" t="s">
        <v>1884</v>
      </c>
      <c r="B401" s="9" t="s">
        <v>3290</v>
      </c>
      <c r="C401" s="9" t="s">
        <v>3291</v>
      </c>
      <c r="D401" s="252">
        <v>2.2599999999999998</v>
      </c>
      <c r="E401" s="245">
        <v>1167</v>
      </c>
      <c r="F401" s="246">
        <v>1132</v>
      </c>
      <c r="G401" s="247">
        <v>625</v>
      </c>
      <c r="H401" s="248">
        <v>985</v>
      </c>
      <c r="I401" s="249">
        <v>902</v>
      </c>
      <c r="J401" s="122" t="b">
        <f>IF(ISBLANK(CertifiedCrop[[#This Row],[1. Identifiant interne d’exploitation agricole*]]),"",IF(ISERROR(MATCH(CertifiedCrop[[#This Row],[1. Identifiant interne d’exploitation agricole*]],GroupMember[1. Identifiant interne d’exploitation agricole*],0)),FALSE,TRUE))</f>
        <v>1</v>
      </c>
      <c r="K401" s="122" t="b">
        <f t="array" ref="K401">IF(ISBLANK(CertifiedCrop[[#This Row],[2. Produit agricole certifié*]]),"",IF(ISERROR(MATCH(1,(#REF!=CertifiedCrop[[#This Row],[2. Produit agricole certifié*]])*(#REF!=CertifiedCrop[[#This Row],[3. Variété**]]),0)),FALSE,TRUE))</f>
        <v>0</v>
      </c>
      <c r="L401" s="20" t="str">
        <f t="shared" si="30"/>
        <v/>
      </c>
      <c r="M401" s="54" t="str">
        <f t="shared" si="31"/>
        <v>!</v>
      </c>
      <c r="N401" s="54" t="str">
        <f t="shared" si="32"/>
        <v>!</v>
      </c>
      <c r="O401" s="55">
        <f t="shared" si="33"/>
        <v>516.37168141592929</v>
      </c>
      <c r="P401" s="55">
        <f t="shared" si="34"/>
        <v>500.88495575221242</v>
      </c>
      <c r="Q401" s="9" t="str">
        <f ca="1">IFERROR((VLOOKUP(A401,GM_Table,8,FALSE)-SUMIFS(D:D,A:A,A401,B:B,B401,C:C,C401)),"")</f>
        <v/>
      </c>
      <c r="R401" s="9" t="str">
        <f ca="1">IFERROR(CONCATENATE(VLOOKUP(A401,GM_Table,12,FALSE)," ",(VLOOKUP(A401,GM_Table,13,FALSE))),"")</f>
        <v/>
      </c>
    </row>
    <row r="402" spans="1:18" ht="15" x14ac:dyDescent="0.2">
      <c r="A402" s="150" t="s">
        <v>1887</v>
      </c>
      <c r="B402" s="9" t="s">
        <v>3290</v>
      </c>
      <c r="C402" s="9" t="s">
        <v>3291</v>
      </c>
      <c r="D402" s="252">
        <v>1.19</v>
      </c>
      <c r="E402" s="221">
        <v>684</v>
      </c>
      <c r="F402" s="246">
        <v>659</v>
      </c>
      <c r="G402" s="247">
        <v>572</v>
      </c>
      <c r="H402" s="248">
        <v>675</v>
      </c>
      <c r="I402" s="249">
        <v>502</v>
      </c>
      <c r="J402" s="122" t="b">
        <f>IF(ISBLANK(CertifiedCrop[[#This Row],[1. Identifiant interne d’exploitation agricole*]]),"",IF(ISERROR(MATCH(CertifiedCrop[[#This Row],[1. Identifiant interne d’exploitation agricole*]],GroupMember[1. Identifiant interne d’exploitation agricole*],0)),FALSE,TRUE))</f>
        <v>1</v>
      </c>
      <c r="K402" s="122" t="b">
        <f t="array" ref="K402">IF(ISBLANK(CertifiedCrop[[#This Row],[2. Produit agricole certifié*]]),"",IF(ISERROR(MATCH(1,(#REF!=CertifiedCrop[[#This Row],[2. Produit agricole certifié*]])*(#REF!=CertifiedCrop[[#This Row],[3. Variété**]]),0)),FALSE,TRUE))</f>
        <v>0</v>
      </c>
      <c r="L402" s="20" t="str">
        <f t="shared" si="30"/>
        <v/>
      </c>
      <c r="M402" s="54" t="str">
        <f t="shared" si="31"/>
        <v/>
      </c>
      <c r="N402" s="54" t="str">
        <f t="shared" si="32"/>
        <v/>
      </c>
      <c r="O402" s="55">
        <f t="shared" si="33"/>
        <v>574.78991596638662</v>
      </c>
      <c r="P402" s="55">
        <f t="shared" si="34"/>
        <v>553.78151260504205</v>
      </c>
      <c r="Q402" s="9" t="str">
        <f ca="1">IFERROR((VLOOKUP(A402,GM_Table,8,FALSE)-SUMIFS(D:D,A:A,A402,B:B,B402,C:C,C402)),"")</f>
        <v/>
      </c>
      <c r="R402" s="9" t="str">
        <f ca="1">IFERROR(CONCATENATE(VLOOKUP(A402,GM_Table,12,FALSE)," ",(VLOOKUP(A402,GM_Table,13,FALSE))),"")</f>
        <v/>
      </c>
    </row>
    <row r="403" spans="1:18" ht="15" x14ac:dyDescent="0.2">
      <c r="A403" s="150" t="s">
        <v>1890</v>
      </c>
      <c r="B403" s="9" t="s">
        <v>3290</v>
      </c>
      <c r="C403" s="9" t="s">
        <v>3291</v>
      </c>
      <c r="D403" s="252">
        <v>0.83</v>
      </c>
      <c r="E403" s="221">
        <v>470</v>
      </c>
      <c r="F403" s="246">
        <v>454</v>
      </c>
      <c r="G403" s="247">
        <v>319</v>
      </c>
      <c r="H403" s="248">
        <v>269</v>
      </c>
      <c r="I403" s="249">
        <v>452</v>
      </c>
      <c r="J403" s="122" t="b">
        <f>IF(ISBLANK(CertifiedCrop[[#This Row],[1. Identifiant interne d’exploitation agricole*]]),"",IF(ISERROR(MATCH(CertifiedCrop[[#This Row],[1. Identifiant interne d’exploitation agricole*]],GroupMember[1. Identifiant interne d’exploitation agricole*],0)),FALSE,TRUE))</f>
        <v>1</v>
      </c>
      <c r="K403" s="122" t="b">
        <f t="array" ref="K403">IF(ISBLANK(CertifiedCrop[[#This Row],[2. Produit agricole certifié*]]),"",IF(ISERROR(MATCH(1,(#REF!=CertifiedCrop[[#This Row],[2. Produit agricole certifié*]])*(#REF!=CertifiedCrop[[#This Row],[3. Variété**]]),0)),FALSE,TRUE))</f>
        <v>0</v>
      </c>
      <c r="L403" s="20" t="str">
        <f t="shared" si="30"/>
        <v/>
      </c>
      <c r="M403" s="54" t="str">
        <f t="shared" si="31"/>
        <v>!</v>
      </c>
      <c r="N403" s="54" t="str">
        <f t="shared" si="32"/>
        <v/>
      </c>
      <c r="O403" s="55">
        <f t="shared" si="33"/>
        <v>566.26506024096386</v>
      </c>
      <c r="P403" s="55">
        <f t="shared" si="34"/>
        <v>546.98795180722891</v>
      </c>
      <c r="Q403" s="9" t="str">
        <f ca="1">IFERROR((VLOOKUP(A403,GM_Table,8,FALSE)-SUMIFS(D:D,A:A,A403,B:B,B403,C:C,C403)),"")</f>
        <v/>
      </c>
      <c r="R403" s="9" t="str">
        <f ca="1">IFERROR(CONCATENATE(VLOOKUP(A403,GM_Table,12,FALSE)," ",(VLOOKUP(A403,GM_Table,13,FALSE))),"")</f>
        <v/>
      </c>
    </row>
    <row r="404" spans="1:18" ht="15" x14ac:dyDescent="0.2">
      <c r="A404" s="150" t="s">
        <v>1892</v>
      </c>
      <c r="B404" s="9" t="s">
        <v>3290</v>
      </c>
      <c r="C404" s="9" t="s">
        <v>3291</v>
      </c>
      <c r="D404" s="252">
        <v>1.37</v>
      </c>
      <c r="E404" s="221">
        <v>746</v>
      </c>
      <c r="F404" s="246">
        <v>712</v>
      </c>
      <c r="G404" s="247">
        <v>510</v>
      </c>
      <c r="H404" s="248">
        <v>597</v>
      </c>
      <c r="I404" s="249">
        <v>523</v>
      </c>
      <c r="J404" s="122" t="b">
        <f>IF(ISBLANK(CertifiedCrop[[#This Row],[1. Identifiant interne d’exploitation agricole*]]),"",IF(ISERROR(MATCH(CertifiedCrop[[#This Row],[1. Identifiant interne d’exploitation agricole*]],GroupMember[1. Identifiant interne d’exploitation agricole*],0)),FALSE,TRUE))</f>
        <v>1</v>
      </c>
      <c r="K404" s="122" t="b">
        <f t="array" ref="K404">IF(ISBLANK(CertifiedCrop[[#This Row],[2. Produit agricole certifié*]]),"",IF(ISERROR(MATCH(1,(#REF!=CertifiedCrop[[#This Row],[2. Produit agricole certifié*]])*(#REF!=CertifiedCrop[[#This Row],[3. Variété**]]),0)),FALSE,TRUE))</f>
        <v>0</v>
      </c>
      <c r="L404" s="20" t="str">
        <f t="shared" si="30"/>
        <v/>
      </c>
      <c r="M404" s="54" t="str">
        <f t="shared" si="31"/>
        <v>!</v>
      </c>
      <c r="N404" s="54" t="str">
        <f t="shared" si="32"/>
        <v/>
      </c>
      <c r="O404" s="55">
        <f t="shared" si="33"/>
        <v>544.52554744525548</v>
      </c>
      <c r="P404" s="55">
        <f t="shared" si="34"/>
        <v>519.70802919708024</v>
      </c>
      <c r="Q404" s="9" t="str">
        <f ca="1">IFERROR((VLOOKUP(A404,GM_Table,8,FALSE)-SUMIFS(D:D,A:A,A404,B:B,B404,C:C,C404)),"")</f>
        <v/>
      </c>
      <c r="R404" s="9" t="str">
        <f ca="1">IFERROR(CONCATENATE(VLOOKUP(A404,GM_Table,12,FALSE)," ",(VLOOKUP(A404,GM_Table,13,FALSE))),"")</f>
        <v/>
      </c>
    </row>
    <row r="405" spans="1:18" ht="15" x14ac:dyDescent="0.2">
      <c r="A405" s="150" t="s">
        <v>1894</v>
      </c>
      <c r="B405" s="9" t="s">
        <v>3290</v>
      </c>
      <c r="C405" s="9" t="s">
        <v>3291</v>
      </c>
      <c r="D405" s="252">
        <v>1.1499999999999999</v>
      </c>
      <c r="E405" s="221">
        <v>694</v>
      </c>
      <c r="F405" s="246">
        <v>652</v>
      </c>
      <c r="G405" s="247">
        <v>512</v>
      </c>
      <c r="H405" s="248">
        <v>618</v>
      </c>
      <c r="I405" s="249">
        <v>587</v>
      </c>
      <c r="J405" s="122" t="b">
        <f>IF(ISBLANK(CertifiedCrop[[#This Row],[1. Identifiant interne d’exploitation agricole*]]),"",IF(ISERROR(MATCH(CertifiedCrop[[#This Row],[1. Identifiant interne d’exploitation agricole*]],GroupMember[1. Identifiant interne d’exploitation agricole*],0)),FALSE,TRUE))</f>
        <v>1</v>
      </c>
      <c r="K405" s="122" t="b">
        <f t="array" ref="K405">IF(ISBLANK(CertifiedCrop[[#This Row],[2. Produit agricole certifié*]]),"",IF(ISERROR(MATCH(1,(#REF!=CertifiedCrop[[#This Row],[2. Produit agricole certifié*]])*(#REF!=CertifiedCrop[[#This Row],[3. Variété**]]),0)),FALSE,TRUE))</f>
        <v>0</v>
      </c>
      <c r="L405" s="20" t="str">
        <f t="shared" si="30"/>
        <v/>
      </c>
      <c r="M405" s="54" t="str">
        <f t="shared" si="31"/>
        <v>!</v>
      </c>
      <c r="N405" s="54" t="str">
        <f t="shared" si="32"/>
        <v/>
      </c>
      <c r="O405" s="55">
        <f t="shared" si="33"/>
        <v>603.47826086956525</v>
      </c>
      <c r="P405" s="55">
        <f t="shared" si="34"/>
        <v>566.95652173913049</v>
      </c>
      <c r="Q405" s="9" t="str">
        <f ca="1">IFERROR((VLOOKUP(A405,GM_Table,8,FALSE)-SUMIFS(D:D,A:A,A405,B:B,B405,C:C,C405)),"")</f>
        <v/>
      </c>
      <c r="R405" s="9" t="str">
        <f ca="1">IFERROR(CONCATENATE(VLOOKUP(A405,GM_Table,12,FALSE)," ",(VLOOKUP(A405,GM_Table,13,FALSE))),"")</f>
        <v/>
      </c>
    </row>
    <row r="406" spans="1:18" ht="15" x14ac:dyDescent="0.2">
      <c r="A406" s="150" t="s">
        <v>1897</v>
      </c>
      <c r="B406" s="9" t="s">
        <v>3290</v>
      </c>
      <c r="C406" s="9" t="s">
        <v>3291</v>
      </c>
      <c r="D406" s="252">
        <v>1.1399999999999999</v>
      </c>
      <c r="E406" s="221">
        <v>628</v>
      </c>
      <c r="F406" s="246">
        <v>577</v>
      </c>
      <c r="G406" s="247">
        <v>577</v>
      </c>
      <c r="H406" s="248">
        <v>453</v>
      </c>
      <c r="I406" s="249">
        <v>574</v>
      </c>
      <c r="J406" s="122" t="b">
        <f>IF(ISBLANK(CertifiedCrop[[#This Row],[1. Identifiant interne d’exploitation agricole*]]),"",IF(ISERROR(MATCH(CertifiedCrop[[#This Row],[1. Identifiant interne d’exploitation agricole*]],GroupMember[1. Identifiant interne d’exploitation agricole*],0)),FALSE,TRUE))</f>
        <v>1</v>
      </c>
      <c r="K406" s="122" t="b">
        <f t="array" ref="K406">IF(ISBLANK(CertifiedCrop[[#This Row],[2. Produit agricole certifié*]]),"",IF(ISERROR(MATCH(1,(#REF!=CertifiedCrop[[#This Row],[2. Produit agricole certifié*]])*(#REF!=CertifiedCrop[[#This Row],[3. Variété**]]),0)),FALSE,TRUE))</f>
        <v>0</v>
      </c>
      <c r="L406" s="20" t="str">
        <f t="shared" si="30"/>
        <v/>
      </c>
      <c r="M406" s="54" t="str">
        <f t="shared" si="31"/>
        <v/>
      </c>
      <c r="N406" s="54" t="str">
        <f t="shared" si="32"/>
        <v>!</v>
      </c>
      <c r="O406" s="55">
        <f t="shared" si="33"/>
        <v>550.87719298245622</v>
      </c>
      <c r="P406" s="55">
        <f t="shared" si="34"/>
        <v>506.14035087719304</v>
      </c>
      <c r="Q406" s="9" t="str">
        <f ca="1">IFERROR((VLOOKUP(A406,GM_Table,8,FALSE)-SUMIFS(D:D,A:A,A406,B:B,B406,C:C,C406)),"")</f>
        <v/>
      </c>
      <c r="R406" s="9" t="str">
        <f ca="1">IFERROR(CONCATENATE(VLOOKUP(A406,GM_Table,12,FALSE)," ",(VLOOKUP(A406,GM_Table,13,FALSE))),"")</f>
        <v/>
      </c>
    </row>
    <row r="407" spans="1:18" ht="15" x14ac:dyDescent="0.2">
      <c r="A407" s="150" t="s">
        <v>1899</v>
      </c>
      <c r="B407" s="9" t="s">
        <v>3290</v>
      </c>
      <c r="C407" s="9" t="s">
        <v>3291</v>
      </c>
      <c r="D407" s="252">
        <v>2</v>
      </c>
      <c r="E407" s="245">
        <v>1107</v>
      </c>
      <c r="F407" s="246">
        <v>1088</v>
      </c>
      <c r="G407" s="247">
        <v>473</v>
      </c>
      <c r="H407" s="248">
        <v>874</v>
      </c>
      <c r="I407" s="249">
        <v>1140</v>
      </c>
      <c r="J407" s="122" t="b">
        <f>IF(ISBLANK(CertifiedCrop[[#This Row],[1. Identifiant interne d’exploitation agricole*]]),"",IF(ISERROR(MATCH(CertifiedCrop[[#This Row],[1. Identifiant interne d’exploitation agricole*]],GroupMember[1. Identifiant interne d’exploitation agricole*],0)),FALSE,TRUE))</f>
        <v>1</v>
      </c>
      <c r="K407" s="122" t="b">
        <f t="array" ref="K407">IF(ISBLANK(CertifiedCrop[[#This Row],[2. Produit agricole certifié*]]),"",IF(ISERROR(MATCH(1,(#REF!=CertifiedCrop[[#This Row],[2. Produit agricole certifié*]])*(#REF!=CertifiedCrop[[#This Row],[3. Variété**]]),0)),FALSE,TRUE))</f>
        <v>0</v>
      </c>
      <c r="L407" s="20" t="str">
        <f t="shared" si="30"/>
        <v/>
      </c>
      <c r="M407" s="54" t="str">
        <f t="shared" si="31"/>
        <v>!</v>
      </c>
      <c r="N407" s="54" t="str">
        <f t="shared" si="32"/>
        <v>!</v>
      </c>
      <c r="O407" s="55">
        <f t="shared" si="33"/>
        <v>553.5</v>
      </c>
      <c r="P407" s="55">
        <f t="shared" si="34"/>
        <v>544</v>
      </c>
      <c r="Q407" s="9" t="str">
        <f ca="1">IFERROR((VLOOKUP(A407,GM_Table,8,FALSE)-SUMIFS(D:D,A:A,A407,B:B,B407,C:C,C407)),"")</f>
        <v/>
      </c>
      <c r="R407" s="9" t="str">
        <f ca="1">IFERROR(CONCATENATE(VLOOKUP(A407,GM_Table,12,FALSE)," ",(VLOOKUP(A407,GM_Table,13,FALSE))),"")</f>
        <v/>
      </c>
    </row>
    <row r="408" spans="1:18" ht="15" x14ac:dyDescent="0.2">
      <c r="A408" s="150" t="s">
        <v>1901</v>
      </c>
      <c r="B408" s="9" t="s">
        <v>3290</v>
      </c>
      <c r="C408" s="9" t="s">
        <v>3291</v>
      </c>
      <c r="D408" s="252">
        <v>1.45</v>
      </c>
      <c r="E408" s="221">
        <v>829</v>
      </c>
      <c r="F408" s="246">
        <v>811</v>
      </c>
      <c r="G408" s="247">
        <v>520</v>
      </c>
      <c r="H408" s="248">
        <v>794</v>
      </c>
      <c r="I408" s="249">
        <v>774</v>
      </c>
      <c r="J408" s="122" t="b">
        <f>IF(ISBLANK(CertifiedCrop[[#This Row],[1. Identifiant interne d’exploitation agricole*]]),"",IF(ISERROR(MATCH(CertifiedCrop[[#This Row],[1. Identifiant interne d’exploitation agricole*]],GroupMember[1. Identifiant interne d’exploitation agricole*],0)),FALSE,TRUE))</f>
        <v>1</v>
      </c>
      <c r="K408" s="122" t="b">
        <f t="array" ref="K408">IF(ISBLANK(CertifiedCrop[[#This Row],[2. Produit agricole certifié*]]),"",IF(ISERROR(MATCH(1,(#REF!=CertifiedCrop[[#This Row],[2. Produit agricole certifié*]])*(#REF!=CertifiedCrop[[#This Row],[3. Variété**]]),0)),FALSE,TRUE))</f>
        <v>0</v>
      </c>
      <c r="L408" s="20" t="str">
        <f t="shared" si="30"/>
        <v/>
      </c>
      <c r="M408" s="54" t="str">
        <f t="shared" si="31"/>
        <v>!</v>
      </c>
      <c r="N408" s="54" t="str">
        <f t="shared" si="32"/>
        <v>!</v>
      </c>
      <c r="O408" s="55">
        <f t="shared" si="33"/>
        <v>571.72413793103453</v>
      </c>
      <c r="P408" s="55">
        <f t="shared" si="34"/>
        <v>559.31034482758628</v>
      </c>
      <c r="Q408" s="9" t="str">
        <f ca="1">IFERROR((VLOOKUP(A408,GM_Table,8,FALSE)-SUMIFS(D:D,A:A,A408,B:B,B408,C:C,C408)),"")</f>
        <v/>
      </c>
      <c r="R408" s="9" t="str">
        <f ca="1">IFERROR(CONCATENATE(VLOOKUP(A408,GM_Table,12,FALSE)," ",(VLOOKUP(A408,GM_Table,13,FALSE))),"")</f>
        <v/>
      </c>
    </row>
    <row r="409" spans="1:18" ht="15" x14ac:dyDescent="0.2">
      <c r="A409" s="150" t="s">
        <v>1903</v>
      </c>
      <c r="B409" s="9" t="s">
        <v>3290</v>
      </c>
      <c r="C409" s="9" t="s">
        <v>3291</v>
      </c>
      <c r="D409" s="252">
        <v>0.98</v>
      </c>
      <c r="E409" s="221">
        <v>615</v>
      </c>
      <c r="F409" s="246">
        <v>606</v>
      </c>
      <c r="G409" s="247">
        <v>478</v>
      </c>
      <c r="H409" s="248">
        <v>479</v>
      </c>
      <c r="I409" s="249">
        <v>569</v>
      </c>
      <c r="J409" s="122" t="b">
        <f>IF(ISBLANK(CertifiedCrop[[#This Row],[1. Identifiant interne d’exploitation agricole*]]),"",IF(ISERROR(MATCH(CertifiedCrop[[#This Row],[1. Identifiant interne d’exploitation agricole*]],GroupMember[1. Identifiant interne d’exploitation agricole*],0)),FALSE,TRUE))</f>
        <v>1</v>
      </c>
      <c r="K409" s="122" t="b">
        <f t="array" ref="K409">IF(ISBLANK(CertifiedCrop[[#This Row],[2. Produit agricole certifié*]]),"",IF(ISERROR(MATCH(1,(#REF!=CertifiedCrop[[#This Row],[2. Produit agricole certifié*]])*(#REF!=CertifiedCrop[[#This Row],[3. Variété**]]),0)),FALSE,TRUE))</f>
        <v>0</v>
      </c>
      <c r="L409" s="20" t="str">
        <f t="shared" si="30"/>
        <v/>
      </c>
      <c r="M409" s="54" t="str">
        <f t="shared" si="31"/>
        <v>!</v>
      </c>
      <c r="N409" s="54" t="str">
        <f t="shared" si="32"/>
        <v/>
      </c>
      <c r="O409" s="55">
        <f t="shared" si="33"/>
        <v>627.55102040816325</v>
      </c>
      <c r="P409" s="55">
        <f t="shared" si="34"/>
        <v>618.36734693877554</v>
      </c>
      <c r="Q409" s="9" t="str">
        <f ca="1">IFERROR((VLOOKUP(A409,GM_Table,8,FALSE)-SUMIFS(D:D,A:A,A409,B:B,B409,C:C,C409)),"")</f>
        <v/>
      </c>
      <c r="R409" s="9" t="str">
        <f ca="1">IFERROR(CONCATENATE(VLOOKUP(A409,GM_Table,12,FALSE)," ",(VLOOKUP(A409,GM_Table,13,FALSE))),"")</f>
        <v/>
      </c>
    </row>
    <row r="410" spans="1:18" ht="15" x14ac:dyDescent="0.2">
      <c r="A410" s="150" t="s">
        <v>1904</v>
      </c>
      <c r="B410" s="9" t="s">
        <v>3290</v>
      </c>
      <c r="C410" s="9" t="s">
        <v>3291</v>
      </c>
      <c r="D410" s="252">
        <v>2.19</v>
      </c>
      <c r="E410" s="245">
        <v>1179</v>
      </c>
      <c r="F410" s="246">
        <v>1145</v>
      </c>
      <c r="G410" s="247">
        <v>915</v>
      </c>
      <c r="H410" s="248">
        <v>1086</v>
      </c>
      <c r="I410" s="249">
        <v>885</v>
      </c>
      <c r="J410" s="122" t="b">
        <f>IF(ISBLANK(CertifiedCrop[[#This Row],[1. Identifiant interne d’exploitation agricole*]]),"",IF(ISERROR(MATCH(CertifiedCrop[[#This Row],[1. Identifiant interne d’exploitation agricole*]],GroupMember[1. Identifiant interne d’exploitation agricole*],0)),FALSE,TRUE))</f>
        <v>1</v>
      </c>
      <c r="K410" s="122" t="b">
        <f t="array" ref="K410">IF(ISBLANK(CertifiedCrop[[#This Row],[2. Produit agricole certifié*]]),"",IF(ISERROR(MATCH(1,(#REF!=CertifiedCrop[[#This Row],[2. Produit agricole certifié*]])*(#REF!=CertifiedCrop[[#This Row],[3. Variété**]]),0)),FALSE,TRUE))</f>
        <v>0</v>
      </c>
      <c r="L410" s="20" t="str">
        <f t="shared" si="30"/>
        <v/>
      </c>
      <c r="M410" s="54" t="str">
        <f t="shared" si="31"/>
        <v>!</v>
      </c>
      <c r="N410" s="54" t="str">
        <f t="shared" si="32"/>
        <v/>
      </c>
      <c r="O410" s="55">
        <f t="shared" si="33"/>
        <v>538.35616438356169</v>
      </c>
      <c r="P410" s="55">
        <f t="shared" si="34"/>
        <v>522.83105022831046</v>
      </c>
      <c r="Q410" s="9" t="str">
        <f ca="1">IFERROR((VLOOKUP(A410,GM_Table,8,FALSE)-SUMIFS(D:D,A:A,A410,B:B,B410,C:C,C410)),"")</f>
        <v/>
      </c>
      <c r="R410" s="9" t="str">
        <f ca="1">IFERROR(CONCATENATE(VLOOKUP(A410,GM_Table,12,FALSE)," ",(VLOOKUP(A410,GM_Table,13,FALSE))),"")</f>
        <v/>
      </c>
    </row>
    <row r="411" spans="1:18" ht="15" x14ac:dyDescent="0.2">
      <c r="A411" s="150" t="s">
        <v>1907</v>
      </c>
      <c r="B411" s="9" t="s">
        <v>3290</v>
      </c>
      <c r="C411" s="9" t="s">
        <v>3291</v>
      </c>
      <c r="D411" s="252">
        <v>1.84</v>
      </c>
      <c r="E411" s="245">
        <v>1089</v>
      </c>
      <c r="F411" s="246">
        <v>1054</v>
      </c>
      <c r="G411" s="247">
        <v>667</v>
      </c>
      <c r="H411" s="248">
        <v>956</v>
      </c>
      <c r="I411" s="249">
        <v>918</v>
      </c>
      <c r="J411" s="122" t="b">
        <f>IF(ISBLANK(CertifiedCrop[[#This Row],[1. Identifiant interne d’exploitation agricole*]]),"",IF(ISERROR(MATCH(CertifiedCrop[[#This Row],[1. Identifiant interne d’exploitation agricole*]],GroupMember[1. Identifiant interne d’exploitation agricole*],0)),FALSE,TRUE))</f>
        <v>1</v>
      </c>
      <c r="K411" s="122" t="b">
        <f t="array" ref="K411">IF(ISBLANK(CertifiedCrop[[#This Row],[2. Produit agricole certifié*]]),"",IF(ISERROR(MATCH(1,(#REF!=CertifiedCrop[[#This Row],[2. Produit agricole certifié*]])*(#REF!=CertifiedCrop[[#This Row],[3. Variété**]]),0)),FALSE,TRUE))</f>
        <v>0</v>
      </c>
      <c r="L411" s="20" t="str">
        <f t="shared" si="30"/>
        <v/>
      </c>
      <c r="M411" s="54" t="str">
        <f t="shared" si="31"/>
        <v>!</v>
      </c>
      <c r="N411" s="54" t="str">
        <f t="shared" si="32"/>
        <v>!</v>
      </c>
      <c r="O411" s="55">
        <f t="shared" si="33"/>
        <v>591.8478260869565</v>
      </c>
      <c r="P411" s="55">
        <f t="shared" si="34"/>
        <v>572.82608695652175</v>
      </c>
      <c r="Q411" s="9" t="str">
        <f ca="1">IFERROR((VLOOKUP(A411,GM_Table,8,FALSE)-SUMIFS(D:D,A:A,A411,B:B,B411,C:C,C411)),"")</f>
        <v/>
      </c>
      <c r="R411" s="9" t="str">
        <f ca="1">IFERROR(CONCATENATE(VLOOKUP(A411,GM_Table,12,FALSE)," ",(VLOOKUP(A411,GM_Table,13,FALSE))),"")</f>
        <v/>
      </c>
    </row>
    <row r="412" spans="1:18" ht="15" x14ac:dyDescent="0.2">
      <c r="A412" s="150" t="s">
        <v>1909</v>
      </c>
      <c r="B412" s="9" t="s">
        <v>3290</v>
      </c>
      <c r="C412" s="9" t="s">
        <v>3291</v>
      </c>
      <c r="D412" s="252">
        <v>1.32</v>
      </c>
      <c r="E412" s="221">
        <v>753</v>
      </c>
      <c r="F412" s="246">
        <v>709</v>
      </c>
      <c r="G412" s="247">
        <v>484</v>
      </c>
      <c r="H412" s="248">
        <v>621</v>
      </c>
      <c r="I412" s="249">
        <v>754</v>
      </c>
      <c r="J412" s="122" t="b">
        <f>IF(ISBLANK(CertifiedCrop[[#This Row],[1. Identifiant interne d’exploitation agricole*]]),"",IF(ISERROR(MATCH(CertifiedCrop[[#This Row],[1. Identifiant interne d’exploitation agricole*]],GroupMember[1. Identifiant interne d’exploitation agricole*],0)),FALSE,TRUE))</f>
        <v>1</v>
      </c>
      <c r="K412" s="122" t="b">
        <f t="array" ref="K412">IF(ISBLANK(CertifiedCrop[[#This Row],[2. Produit agricole certifié*]]),"",IF(ISERROR(MATCH(1,(#REF!=CertifiedCrop[[#This Row],[2. Produit agricole certifié*]])*(#REF!=CertifiedCrop[[#This Row],[3. Variété**]]),0)),FALSE,TRUE))</f>
        <v>0</v>
      </c>
      <c r="L412" s="20" t="str">
        <f t="shared" si="30"/>
        <v/>
      </c>
      <c r="M412" s="54" t="str">
        <f t="shared" si="31"/>
        <v>!</v>
      </c>
      <c r="N412" s="54" t="str">
        <f t="shared" si="32"/>
        <v/>
      </c>
      <c r="O412" s="55">
        <f t="shared" si="33"/>
        <v>570.45454545454538</v>
      </c>
      <c r="P412" s="55">
        <f t="shared" si="34"/>
        <v>537.12121212121212</v>
      </c>
      <c r="Q412" s="9" t="str">
        <f ca="1">IFERROR((VLOOKUP(A412,GM_Table,8,FALSE)-SUMIFS(D:D,A:A,A412,B:B,B412,C:C,C412)),"")</f>
        <v/>
      </c>
      <c r="R412" s="9" t="str">
        <f ca="1">IFERROR(CONCATENATE(VLOOKUP(A412,GM_Table,12,FALSE)," ",(VLOOKUP(A412,GM_Table,13,FALSE))),"")</f>
        <v/>
      </c>
    </row>
    <row r="413" spans="1:18" ht="15" x14ac:dyDescent="0.2">
      <c r="A413" s="150" t="s">
        <v>1911</v>
      </c>
      <c r="B413" s="9" t="s">
        <v>3290</v>
      </c>
      <c r="C413" s="9" t="s">
        <v>3291</v>
      </c>
      <c r="D413" s="252">
        <v>2.5299999999999998</v>
      </c>
      <c r="E413" s="245">
        <v>1502</v>
      </c>
      <c r="F413" s="246">
        <v>1485</v>
      </c>
      <c r="G413" s="247">
        <v>1151</v>
      </c>
      <c r="H413" s="248">
        <v>1194</v>
      </c>
      <c r="I413" s="249">
        <v>1250</v>
      </c>
      <c r="J413" s="122" t="b">
        <f>IF(ISBLANK(CertifiedCrop[[#This Row],[1. Identifiant interne d’exploitation agricole*]]),"",IF(ISERROR(MATCH(CertifiedCrop[[#This Row],[1. Identifiant interne d’exploitation agricole*]],GroupMember[1. Identifiant interne d’exploitation agricole*],0)),FALSE,TRUE))</f>
        <v>1</v>
      </c>
      <c r="K413" s="122" t="b">
        <f t="array" ref="K413">IF(ISBLANK(CertifiedCrop[[#This Row],[2. Produit agricole certifié*]]),"",IF(ISERROR(MATCH(1,(#REF!=CertifiedCrop[[#This Row],[2. Produit agricole certifié*]])*(#REF!=CertifiedCrop[[#This Row],[3. Variété**]]),0)),FALSE,TRUE))</f>
        <v>0</v>
      </c>
      <c r="L413" s="20" t="str">
        <f t="shared" si="30"/>
        <v/>
      </c>
      <c r="M413" s="54" t="str">
        <f t="shared" si="31"/>
        <v>!</v>
      </c>
      <c r="N413" s="54" t="str">
        <f t="shared" si="32"/>
        <v/>
      </c>
      <c r="O413" s="55">
        <f t="shared" si="33"/>
        <v>593.67588932806325</v>
      </c>
      <c r="P413" s="55">
        <f t="shared" si="34"/>
        <v>586.95652173913049</v>
      </c>
      <c r="Q413" s="9" t="str">
        <f ca="1">IFERROR((VLOOKUP(A413,GM_Table,8,FALSE)-SUMIFS(D:D,A:A,A413,B:B,B413,C:C,C413)),"")</f>
        <v/>
      </c>
      <c r="R413" s="9" t="str">
        <f ca="1">IFERROR(CONCATENATE(VLOOKUP(A413,GM_Table,12,FALSE)," ",(VLOOKUP(A413,GM_Table,13,FALSE))),"")</f>
        <v/>
      </c>
    </row>
    <row r="414" spans="1:18" ht="15" x14ac:dyDescent="0.2">
      <c r="A414" s="150" t="s">
        <v>1914</v>
      </c>
      <c r="B414" s="9" t="s">
        <v>3290</v>
      </c>
      <c r="C414" s="9" t="s">
        <v>3291</v>
      </c>
      <c r="D414" s="252">
        <v>3.67</v>
      </c>
      <c r="E414" s="245">
        <v>2256</v>
      </c>
      <c r="F414" s="246">
        <v>2174</v>
      </c>
      <c r="G414" s="247">
        <v>1455</v>
      </c>
      <c r="H414" s="248">
        <v>2017</v>
      </c>
      <c r="I414" s="249">
        <v>2073</v>
      </c>
      <c r="J414" s="122" t="b">
        <f>IF(ISBLANK(CertifiedCrop[[#This Row],[1. Identifiant interne d’exploitation agricole*]]),"",IF(ISERROR(MATCH(CertifiedCrop[[#This Row],[1. Identifiant interne d’exploitation agricole*]],GroupMember[1. Identifiant interne d’exploitation agricole*],0)),FALSE,TRUE))</f>
        <v>1</v>
      </c>
      <c r="K414" s="122" t="b">
        <f t="array" ref="K414">IF(ISBLANK(CertifiedCrop[[#This Row],[2. Produit agricole certifié*]]),"",IF(ISERROR(MATCH(1,(#REF!=CertifiedCrop[[#This Row],[2. Produit agricole certifié*]])*(#REF!=CertifiedCrop[[#This Row],[3. Variété**]]),0)),FALSE,TRUE))</f>
        <v>0</v>
      </c>
      <c r="L414" s="20" t="str">
        <f t="shared" si="30"/>
        <v/>
      </c>
      <c r="M414" s="54" t="str">
        <f t="shared" si="31"/>
        <v>!</v>
      </c>
      <c r="N414" s="54" t="str">
        <f t="shared" si="32"/>
        <v>!</v>
      </c>
      <c r="O414" s="55">
        <f t="shared" si="33"/>
        <v>614.71389645776571</v>
      </c>
      <c r="P414" s="55">
        <f t="shared" si="34"/>
        <v>592.37057220708448</v>
      </c>
      <c r="Q414" s="9" t="str">
        <f ca="1">IFERROR((VLOOKUP(A414,GM_Table,8,FALSE)-SUMIFS(D:D,A:A,A414,B:B,B414,C:C,C414)),"")</f>
        <v/>
      </c>
      <c r="R414" s="9" t="str">
        <f ca="1">IFERROR(CONCATENATE(VLOOKUP(A414,GM_Table,12,FALSE)," ",(VLOOKUP(A414,GM_Table,13,FALSE))),"")</f>
        <v/>
      </c>
    </row>
    <row r="415" spans="1:18" ht="15" x14ac:dyDescent="0.2">
      <c r="A415" s="150" t="s">
        <v>1919</v>
      </c>
      <c r="B415" s="9" t="s">
        <v>3290</v>
      </c>
      <c r="C415" s="9" t="s">
        <v>3291</v>
      </c>
      <c r="D415" s="252">
        <v>1.62</v>
      </c>
      <c r="E415" s="245">
        <v>1030</v>
      </c>
      <c r="F415" s="246">
        <v>969</v>
      </c>
      <c r="G415" s="247">
        <v>843</v>
      </c>
      <c r="H415" s="248">
        <v>879</v>
      </c>
      <c r="I415" s="249">
        <v>875</v>
      </c>
      <c r="J415" s="122" t="b">
        <f>IF(ISBLANK(CertifiedCrop[[#This Row],[1. Identifiant interne d’exploitation agricole*]]),"",IF(ISERROR(MATCH(CertifiedCrop[[#This Row],[1. Identifiant interne d’exploitation agricole*]],GroupMember[1. Identifiant interne d’exploitation agricole*],0)),FALSE,TRUE))</f>
        <v>1</v>
      </c>
      <c r="K415" s="122" t="b">
        <f t="array" ref="K415">IF(ISBLANK(CertifiedCrop[[#This Row],[2. Produit agricole certifié*]]),"",IF(ISERROR(MATCH(1,(#REF!=CertifiedCrop[[#This Row],[2. Produit agricole certifié*]])*(#REF!=CertifiedCrop[[#This Row],[3. Variété**]]),0)),FALSE,TRUE))</f>
        <v>0</v>
      </c>
      <c r="L415" s="20" t="str">
        <f t="shared" si="30"/>
        <v/>
      </c>
      <c r="M415" s="54" t="str">
        <f t="shared" si="31"/>
        <v/>
      </c>
      <c r="N415" s="54" t="str">
        <f t="shared" si="32"/>
        <v/>
      </c>
      <c r="O415" s="55">
        <f t="shared" si="33"/>
        <v>635.80246913580243</v>
      </c>
      <c r="P415" s="55">
        <f t="shared" si="34"/>
        <v>598.14814814814815</v>
      </c>
      <c r="Q415" s="9" t="str">
        <f ca="1">IFERROR((VLOOKUP(A415,GM_Table,8,FALSE)-SUMIFS(D:D,A:A,A415,B:B,B415,C:C,C415)),"")</f>
        <v/>
      </c>
      <c r="R415" s="9" t="str">
        <f ca="1">IFERROR(CONCATENATE(VLOOKUP(A415,GM_Table,12,FALSE)," ",(VLOOKUP(A415,GM_Table,13,FALSE))),"")</f>
        <v/>
      </c>
    </row>
    <row r="416" spans="1:18" ht="15" x14ac:dyDescent="0.2">
      <c r="A416" s="150" t="s">
        <v>1922</v>
      </c>
      <c r="B416" s="9" t="s">
        <v>3290</v>
      </c>
      <c r="C416" s="9" t="s">
        <v>3291</v>
      </c>
      <c r="D416" s="252">
        <v>1.46</v>
      </c>
      <c r="E416" s="221">
        <v>835</v>
      </c>
      <c r="F416" s="246">
        <v>786</v>
      </c>
      <c r="G416" s="247">
        <v>786</v>
      </c>
      <c r="H416" s="248">
        <v>550</v>
      </c>
      <c r="I416" s="249">
        <v>832</v>
      </c>
      <c r="J416" s="122" t="b">
        <f>IF(ISBLANK(CertifiedCrop[[#This Row],[1. Identifiant interne d’exploitation agricole*]]),"",IF(ISERROR(MATCH(CertifiedCrop[[#This Row],[1. Identifiant interne d’exploitation agricole*]],GroupMember[1. Identifiant interne d’exploitation agricole*],0)),FALSE,TRUE))</f>
        <v>1</v>
      </c>
      <c r="K416" s="122" t="b">
        <f t="array" ref="K416">IF(ISBLANK(CertifiedCrop[[#This Row],[2. Produit agricole certifié*]]),"",IF(ISERROR(MATCH(1,(#REF!=CertifiedCrop[[#This Row],[2. Produit agricole certifié*]])*(#REF!=CertifiedCrop[[#This Row],[3. Variété**]]),0)),FALSE,TRUE))</f>
        <v>0</v>
      </c>
      <c r="L416" s="20" t="str">
        <f t="shared" si="30"/>
        <v/>
      </c>
      <c r="M416" s="54" t="str">
        <f t="shared" si="31"/>
        <v/>
      </c>
      <c r="N416" s="54" t="str">
        <f t="shared" si="32"/>
        <v>!</v>
      </c>
      <c r="O416" s="55">
        <f t="shared" si="33"/>
        <v>571.91780821917814</v>
      </c>
      <c r="P416" s="55">
        <f t="shared" si="34"/>
        <v>538.35616438356169</v>
      </c>
      <c r="Q416" s="9" t="str">
        <f ca="1">IFERROR((VLOOKUP(A416,GM_Table,8,FALSE)-SUMIFS(D:D,A:A,A416,B:B,B416,C:C,C416)),"")</f>
        <v/>
      </c>
      <c r="R416" s="9" t="str">
        <f ca="1">IFERROR(CONCATENATE(VLOOKUP(A416,GM_Table,12,FALSE)," ",(VLOOKUP(A416,GM_Table,13,FALSE))),"")</f>
        <v/>
      </c>
    </row>
    <row r="417" spans="1:18" ht="15" x14ac:dyDescent="0.2">
      <c r="A417" s="150" t="s">
        <v>1925</v>
      </c>
      <c r="B417" s="9" t="s">
        <v>3290</v>
      </c>
      <c r="C417" s="9" t="s">
        <v>3291</v>
      </c>
      <c r="D417" s="252">
        <v>1.75</v>
      </c>
      <c r="E417" s="245">
        <v>1099</v>
      </c>
      <c r="F417" s="246">
        <v>1054</v>
      </c>
      <c r="G417" s="247">
        <v>895</v>
      </c>
      <c r="H417" s="248">
        <v>940</v>
      </c>
      <c r="I417" s="249">
        <v>938</v>
      </c>
      <c r="J417" s="122" t="b">
        <f>IF(ISBLANK(CertifiedCrop[[#This Row],[1. Identifiant interne d’exploitation agricole*]]),"",IF(ISERROR(MATCH(CertifiedCrop[[#This Row],[1. Identifiant interne d’exploitation agricole*]],GroupMember[1. Identifiant interne d’exploitation agricole*],0)),FALSE,TRUE))</f>
        <v>1</v>
      </c>
      <c r="K417" s="122" t="b">
        <f t="array" ref="K417">IF(ISBLANK(CertifiedCrop[[#This Row],[2. Produit agricole certifié*]]),"",IF(ISERROR(MATCH(1,(#REF!=CertifiedCrop[[#This Row],[2. Produit agricole certifié*]])*(#REF!=CertifiedCrop[[#This Row],[3. Variété**]]),0)),FALSE,TRUE))</f>
        <v>0</v>
      </c>
      <c r="L417" s="20" t="str">
        <f t="shared" si="30"/>
        <v/>
      </c>
      <c r="M417" s="54" t="str">
        <f t="shared" si="31"/>
        <v/>
      </c>
      <c r="N417" s="54" t="str">
        <f t="shared" si="32"/>
        <v/>
      </c>
      <c r="O417" s="55">
        <f t="shared" si="33"/>
        <v>628</v>
      </c>
      <c r="P417" s="55">
        <f t="shared" si="34"/>
        <v>602.28571428571433</v>
      </c>
      <c r="Q417" s="9" t="str">
        <f ca="1">IFERROR((VLOOKUP(A417,GM_Table,8,FALSE)-SUMIFS(D:D,A:A,A417,B:B,B417,C:C,C417)),"")</f>
        <v/>
      </c>
      <c r="R417" s="9" t="str">
        <f ca="1">IFERROR(CONCATENATE(VLOOKUP(A417,GM_Table,12,FALSE)," ",(VLOOKUP(A417,GM_Table,13,FALSE))),"")</f>
        <v/>
      </c>
    </row>
    <row r="418" spans="1:18" ht="15" x14ac:dyDescent="0.2">
      <c r="A418" s="150" t="s">
        <v>1930</v>
      </c>
      <c r="B418" s="9" t="s">
        <v>3290</v>
      </c>
      <c r="C418" s="9" t="s">
        <v>3291</v>
      </c>
      <c r="D418" s="252">
        <v>2</v>
      </c>
      <c r="E418" s="245">
        <v>1055</v>
      </c>
      <c r="F418" s="246">
        <v>998</v>
      </c>
      <c r="G418" s="247">
        <v>328</v>
      </c>
      <c r="H418" s="248">
        <v>783</v>
      </c>
      <c r="I418" s="249">
        <v>1147</v>
      </c>
      <c r="J418" s="122" t="b">
        <f>IF(ISBLANK(CertifiedCrop[[#This Row],[1. Identifiant interne d’exploitation agricole*]]),"",IF(ISERROR(MATCH(CertifiedCrop[[#This Row],[1. Identifiant interne d’exploitation agricole*]],GroupMember[1. Identifiant interne d’exploitation agricole*],0)),FALSE,TRUE))</f>
        <v>1</v>
      </c>
      <c r="K418" s="122" t="b">
        <f t="array" ref="K418">IF(ISBLANK(CertifiedCrop[[#This Row],[2. Produit agricole certifié*]]),"",IF(ISERROR(MATCH(1,(#REF!=CertifiedCrop[[#This Row],[2. Produit agricole certifié*]])*(#REF!=CertifiedCrop[[#This Row],[3. Variété**]]),0)),FALSE,TRUE))</f>
        <v>0</v>
      </c>
      <c r="L418" s="20" t="str">
        <f t="shared" si="30"/>
        <v/>
      </c>
      <c r="M418" s="54" t="str">
        <f t="shared" si="31"/>
        <v>!</v>
      </c>
      <c r="N418" s="54" t="str">
        <f t="shared" si="32"/>
        <v>!</v>
      </c>
      <c r="O418" s="55">
        <f t="shared" si="33"/>
        <v>527.5</v>
      </c>
      <c r="P418" s="55">
        <f t="shared" si="34"/>
        <v>499</v>
      </c>
      <c r="Q418" s="9" t="str">
        <f ca="1">IFERROR((VLOOKUP(A418,GM_Table,8,FALSE)-SUMIFS(D:D,A:A,A418,B:B,B418,C:C,C418)),"")</f>
        <v/>
      </c>
      <c r="R418" s="9" t="str">
        <f ca="1">IFERROR(CONCATENATE(VLOOKUP(A418,GM_Table,12,FALSE)," ",(VLOOKUP(A418,GM_Table,13,FALSE))),"")</f>
        <v/>
      </c>
    </row>
    <row r="419" spans="1:18" ht="15" x14ac:dyDescent="0.2">
      <c r="A419" s="150" t="s">
        <v>1932</v>
      </c>
      <c r="B419" s="9" t="s">
        <v>3290</v>
      </c>
      <c r="C419" s="9" t="s">
        <v>3291</v>
      </c>
      <c r="D419" s="252">
        <v>1.59</v>
      </c>
      <c r="E419" s="221">
        <v>891</v>
      </c>
      <c r="F419" s="246">
        <v>849</v>
      </c>
      <c r="G419" s="247">
        <v>630</v>
      </c>
      <c r="H419" s="248">
        <v>791</v>
      </c>
      <c r="I419" s="249">
        <v>729</v>
      </c>
      <c r="J419" s="122" t="b">
        <f>IF(ISBLANK(CertifiedCrop[[#This Row],[1. Identifiant interne d’exploitation agricole*]]),"",IF(ISERROR(MATCH(CertifiedCrop[[#This Row],[1. Identifiant interne d’exploitation agricole*]],GroupMember[1. Identifiant interne d’exploitation agricole*],0)),FALSE,TRUE))</f>
        <v>1</v>
      </c>
      <c r="K419" s="122" t="b">
        <f t="array" ref="K419">IF(ISBLANK(CertifiedCrop[[#This Row],[2. Produit agricole certifié*]]),"",IF(ISERROR(MATCH(1,(#REF!=CertifiedCrop[[#This Row],[2. Produit agricole certifié*]])*(#REF!=CertifiedCrop[[#This Row],[3. Variété**]]),0)),FALSE,TRUE))</f>
        <v>0</v>
      </c>
      <c r="L419" s="20" t="str">
        <f t="shared" si="30"/>
        <v/>
      </c>
      <c r="M419" s="54" t="str">
        <f t="shared" si="31"/>
        <v>!</v>
      </c>
      <c r="N419" s="54" t="str">
        <f t="shared" si="32"/>
        <v/>
      </c>
      <c r="O419" s="55">
        <f t="shared" si="33"/>
        <v>560.37735849056605</v>
      </c>
      <c r="P419" s="55">
        <f t="shared" si="34"/>
        <v>533.96226415094338</v>
      </c>
      <c r="Q419" s="9" t="str">
        <f ca="1">IFERROR((VLOOKUP(A419,GM_Table,8,FALSE)-SUMIFS(D:D,A:A,A419,B:B,B419,C:C,C419)),"")</f>
        <v/>
      </c>
      <c r="R419" s="9" t="str">
        <f ca="1">IFERROR(CONCATENATE(VLOOKUP(A419,GM_Table,12,FALSE)," ",(VLOOKUP(A419,GM_Table,13,FALSE))),"")</f>
        <v/>
      </c>
    </row>
    <row r="420" spans="1:18" ht="15" x14ac:dyDescent="0.2">
      <c r="A420" s="150" t="s">
        <v>1935</v>
      </c>
      <c r="B420" s="9" t="s">
        <v>3290</v>
      </c>
      <c r="C420" s="9" t="s">
        <v>3291</v>
      </c>
      <c r="D420" s="252">
        <v>1.75</v>
      </c>
      <c r="E420" s="245">
        <v>1011</v>
      </c>
      <c r="F420" s="246">
        <v>981</v>
      </c>
      <c r="G420" s="247">
        <v>981</v>
      </c>
      <c r="H420" s="248">
        <v>867</v>
      </c>
      <c r="I420" s="249">
        <v>925</v>
      </c>
      <c r="J420" s="122" t="b">
        <f>IF(ISBLANK(CertifiedCrop[[#This Row],[1. Identifiant interne d’exploitation agricole*]]),"",IF(ISERROR(MATCH(CertifiedCrop[[#This Row],[1. Identifiant interne d’exploitation agricole*]],GroupMember[1. Identifiant interne d’exploitation agricole*],0)),FALSE,TRUE))</f>
        <v>1</v>
      </c>
      <c r="K420" s="122" t="b">
        <f t="array" ref="K420">IF(ISBLANK(CertifiedCrop[[#This Row],[2. Produit agricole certifié*]]),"",IF(ISERROR(MATCH(1,(#REF!=CertifiedCrop[[#This Row],[2. Produit agricole certifié*]])*(#REF!=CertifiedCrop[[#This Row],[3. Variété**]]),0)),FALSE,TRUE))</f>
        <v>0</v>
      </c>
      <c r="L420" s="20" t="str">
        <f t="shared" si="30"/>
        <v/>
      </c>
      <c r="M420" s="54" t="str">
        <f t="shared" si="31"/>
        <v/>
      </c>
      <c r="N420" s="54" t="str">
        <f t="shared" si="32"/>
        <v/>
      </c>
      <c r="O420" s="55">
        <f t="shared" si="33"/>
        <v>577.71428571428567</v>
      </c>
      <c r="P420" s="55">
        <f t="shared" si="34"/>
        <v>560.57142857142856</v>
      </c>
      <c r="Q420" s="9" t="str">
        <f ca="1">IFERROR((VLOOKUP(A420,GM_Table,8,FALSE)-SUMIFS(D:D,A:A,A420,B:B,B420,C:C,C420)),"")</f>
        <v/>
      </c>
      <c r="R420" s="9" t="str">
        <f ca="1">IFERROR(CONCATENATE(VLOOKUP(A420,GM_Table,12,FALSE)," ",(VLOOKUP(A420,GM_Table,13,FALSE))),"")</f>
        <v/>
      </c>
    </row>
    <row r="421" spans="1:18" ht="15" x14ac:dyDescent="0.2">
      <c r="A421" s="150" t="s">
        <v>1939</v>
      </c>
      <c r="B421" s="9" t="s">
        <v>3290</v>
      </c>
      <c r="C421" s="9" t="s">
        <v>3291</v>
      </c>
      <c r="D421" s="252">
        <v>2.96</v>
      </c>
      <c r="E421" s="245">
        <v>1724</v>
      </c>
      <c r="F421" s="246">
        <v>1628</v>
      </c>
      <c r="G421" s="247">
        <v>1537</v>
      </c>
      <c r="H421" s="248">
        <v>1557</v>
      </c>
      <c r="I421" s="249">
        <v>1526</v>
      </c>
      <c r="J421" s="122" t="b">
        <f>IF(ISBLANK(CertifiedCrop[[#This Row],[1. Identifiant interne d’exploitation agricole*]]),"",IF(ISERROR(MATCH(CertifiedCrop[[#This Row],[1. Identifiant interne d’exploitation agricole*]],GroupMember[1. Identifiant interne d’exploitation agricole*],0)),FALSE,TRUE))</f>
        <v>1</v>
      </c>
      <c r="K421" s="122" t="b">
        <f t="array" ref="K421">IF(ISBLANK(CertifiedCrop[[#This Row],[2. Produit agricole certifié*]]),"",IF(ISERROR(MATCH(1,(#REF!=CertifiedCrop[[#This Row],[2. Produit agricole certifié*]])*(#REF!=CertifiedCrop[[#This Row],[3. Variété**]]),0)),FALSE,TRUE))</f>
        <v>0</v>
      </c>
      <c r="L421" s="20" t="str">
        <f t="shared" si="30"/>
        <v/>
      </c>
      <c r="M421" s="54" t="str">
        <f t="shared" si="31"/>
        <v/>
      </c>
      <c r="N421" s="54" t="str">
        <f t="shared" si="32"/>
        <v/>
      </c>
      <c r="O421" s="55">
        <f t="shared" si="33"/>
        <v>582.43243243243239</v>
      </c>
      <c r="P421" s="55">
        <f t="shared" si="34"/>
        <v>550</v>
      </c>
      <c r="Q421" s="9" t="str">
        <f ca="1">IFERROR((VLOOKUP(A421,GM_Table,8,FALSE)-SUMIFS(D:D,A:A,A421,B:B,B421,C:C,C421)),"")</f>
        <v/>
      </c>
      <c r="R421" s="9" t="str">
        <f ca="1">IFERROR(CONCATENATE(VLOOKUP(A421,GM_Table,12,FALSE)," ",(VLOOKUP(A421,GM_Table,13,FALSE))),"")</f>
        <v/>
      </c>
    </row>
    <row r="422" spans="1:18" ht="15" x14ac:dyDescent="0.2">
      <c r="A422" s="150" t="s">
        <v>1941</v>
      </c>
      <c r="B422" s="9" t="s">
        <v>3290</v>
      </c>
      <c r="C422" s="9" t="s">
        <v>3291</v>
      </c>
      <c r="D422" s="252">
        <v>2.54</v>
      </c>
      <c r="E422" s="245">
        <v>1442</v>
      </c>
      <c r="F422" s="246">
        <v>1396</v>
      </c>
      <c r="G422" s="247">
        <v>998</v>
      </c>
      <c r="H422" s="248">
        <v>1244</v>
      </c>
      <c r="I422" s="249">
        <v>1435</v>
      </c>
      <c r="J422" s="122" t="b">
        <f>IF(ISBLANK(CertifiedCrop[[#This Row],[1. Identifiant interne d’exploitation agricole*]]),"",IF(ISERROR(MATCH(CertifiedCrop[[#This Row],[1. Identifiant interne d’exploitation agricole*]],GroupMember[1. Identifiant interne d’exploitation agricole*],0)),FALSE,TRUE))</f>
        <v>1</v>
      </c>
      <c r="K422" s="122" t="b">
        <f t="array" ref="K422">IF(ISBLANK(CertifiedCrop[[#This Row],[2. Produit agricole certifié*]]),"",IF(ISERROR(MATCH(1,(#REF!=CertifiedCrop[[#This Row],[2. Produit agricole certifié*]])*(#REF!=CertifiedCrop[[#This Row],[3. Variété**]]),0)),FALSE,TRUE))</f>
        <v>0</v>
      </c>
      <c r="L422" s="20" t="str">
        <f t="shared" si="30"/>
        <v/>
      </c>
      <c r="M422" s="54" t="str">
        <f t="shared" si="31"/>
        <v>!</v>
      </c>
      <c r="N422" s="54" t="str">
        <f t="shared" si="32"/>
        <v/>
      </c>
      <c r="O422" s="55">
        <f t="shared" si="33"/>
        <v>567.71653543307082</v>
      </c>
      <c r="P422" s="55">
        <f t="shared" si="34"/>
        <v>549.6062992125984</v>
      </c>
      <c r="Q422" s="9" t="str">
        <f ca="1">IFERROR((VLOOKUP(A422,GM_Table,8,FALSE)-SUMIFS(D:D,A:A,A422,B:B,B422,C:C,C422)),"")</f>
        <v/>
      </c>
      <c r="R422" s="9" t="str">
        <f ca="1">IFERROR(CONCATENATE(VLOOKUP(A422,GM_Table,12,FALSE)," ",(VLOOKUP(A422,GM_Table,13,FALSE))),"")</f>
        <v/>
      </c>
    </row>
    <row r="423" spans="1:18" ht="15" x14ac:dyDescent="0.2">
      <c r="A423" s="150" t="s">
        <v>1945</v>
      </c>
      <c r="B423" s="9" t="s">
        <v>3290</v>
      </c>
      <c r="C423" s="9" t="s">
        <v>3291</v>
      </c>
      <c r="D423" s="252">
        <v>4.4800000000000004</v>
      </c>
      <c r="E423" s="245">
        <v>2834</v>
      </c>
      <c r="F423" s="246">
        <v>2745</v>
      </c>
      <c r="G423" s="247">
        <v>2272</v>
      </c>
      <c r="H423" s="248">
        <v>2585</v>
      </c>
      <c r="I423" s="249">
        <v>2543</v>
      </c>
      <c r="J423" s="122" t="b">
        <f>IF(ISBLANK(CertifiedCrop[[#This Row],[1. Identifiant interne d’exploitation agricole*]]),"",IF(ISERROR(MATCH(CertifiedCrop[[#This Row],[1. Identifiant interne d’exploitation agricole*]],GroupMember[1. Identifiant interne d’exploitation agricole*],0)),FALSE,TRUE))</f>
        <v>1</v>
      </c>
      <c r="K423" s="122" t="b">
        <f t="array" ref="K423">IF(ISBLANK(CertifiedCrop[[#This Row],[2. Produit agricole certifié*]]),"",IF(ISERROR(MATCH(1,(#REF!=CertifiedCrop[[#This Row],[2. Produit agricole certifié*]])*(#REF!=CertifiedCrop[[#This Row],[3. Variété**]]),0)),FALSE,TRUE))</f>
        <v>0</v>
      </c>
      <c r="L423" s="20" t="str">
        <f t="shared" si="30"/>
        <v/>
      </c>
      <c r="M423" s="54" t="str">
        <f t="shared" si="31"/>
        <v/>
      </c>
      <c r="N423" s="54" t="str">
        <f t="shared" si="32"/>
        <v/>
      </c>
      <c r="O423" s="55">
        <f t="shared" si="33"/>
        <v>632.58928571428567</v>
      </c>
      <c r="P423" s="55">
        <f t="shared" si="34"/>
        <v>612.72321428571422</v>
      </c>
      <c r="Q423" s="9" t="str">
        <f ca="1">IFERROR((VLOOKUP(A423,GM_Table,8,FALSE)-SUMIFS(D:D,A:A,A423,B:B,B423,C:C,C423)),"")</f>
        <v/>
      </c>
      <c r="R423" s="9" t="str">
        <f ca="1">IFERROR(CONCATENATE(VLOOKUP(A423,GM_Table,12,FALSE)," ",(VLOOKUP(A423,GM_Table,13,FALSE))),"")</f>
        <v/>
      </c>
    </row>
    <row r="424" spans="1:18" ht="15" x14ac:dyDescent="0.2">
      <c r="A424" s="150" t="s">
        <v>1948</v>
      </c>
      <c r="B424" s="9" t="s">
        <v>3290</v>
      </c>
      <c r="C424" s="9" t="s">
        <v>3291</v>
      </c>
      <c r="D424" s="252">
        <v>1.05</v>
      </c>
      <c r="E424" s="221">
        <v>579</v>
      </c>
      <c r="F424" s="246">
        <v>548</v>
      </c>
      <c r="G424" s="247">
        <v>362</v>
      </c>
      <c r="H424" s="248">
        <v>369</v>
      </c>
      <c r="I424" s="249">
        <v>536</v>
      </c>
      <c r="J424" s="122" t="b">
        <f>IF(ISBLANK(CertifiedCrop[[#This Row],[1. Identifiant interne d’exploitation agricole*]]),"",IF(ISERROR(MATCH(CertifiedCrop[[#This Row],[1. Identifiant interne d’exploitation agricole*]],GroupMember[1. Identifiant interne d’exploitation agricole*],0)),FALSE,TRUE))</f>
        <v>1</v>
      </c>
      <c r="K424" s="122" t="b">
        <f t="array" ref="K424">IF(ISBLANK(CertifiedCrop[[#This Row],[2. Produit agricole certifié*]]),"",IF(ISERROR(MATCH(1,(#REF!=CertifiedCrop[[#This Row],[2. Produit agricole certifié*]])*(#REF!=CertifiedCrop[[#This Row],[3. Variété**]]),0)),FALSE,TRUE))</f>
        <v>0</v>
      </c>
      <c r="L424" s="20" t="str">
        <f t="shared" si="30"/>
        <v/>
      </c>
      <c r="M424" s="54" t="str">
        <f t="shared" si="31"/>
        <v>!</v>
      </c>
      <c r="N424" s="54" t="str">
        <f t="shared" si="32"/>
        <v/>
      </c>
      <c r="O424" s="55">
        <f t="shared" si="33"/>
        <v>551.42857142857144</v>
      </c>
      <c r="P424" s="55">
        <f t="shared" si="34"/>
        <v>521.90476190476193</v>
      </c>
      <c r="Q424" s="9" t="str">
        <f ca="1">IFERROR((VLOOKUP(A424,GM_Table,8,FALSE)-SUMIFS(D:D,A:A,A424,B:B,B424,C:C,C424)),"")</f>
        <v/>
      </c>
      <c r="R424" s="9" t="str">
        <f ca="1">IFERROR(CONCATENATE(VLOOKUP(A424,GM_Table,12,FALSE)," ",(VLOOKUP(A424,GM_Table,13,FALSE))),"")</f>
        <v/>
      </c>
    </row>
    <row r="425" spans="1:18" ht="15" x14ac:dyDescent="0.2">
      <c r="A425" s="150" t="s">
        <v>1951</v>
      </c>
      <c r="B425" s="9" t="s">
        <v>3290</v>
      </c>
      <c r="C425" s="9" t="s">
        <v>3291</v>
      </c>
      <c r="D425" s="252">
        <v>2.27</v>
      </c>
      <c r="E425" s="245">
        <v>1247</v>
      </c>
      <c r="F425" s="246">
        <v>1263</v>
      </c>
      <c r="G425" s="247">
        <v>918</v>
      </c>
      <c r="H425" s="248">
        <v>1087</v>
      </c>
      <c r="I425" s="249">
        <v>905</v>
      </c>
      <c r="J425" s="122" t="b">
        <f>IF(ISBLANK(CertifiedCrop[[#This Row],[1. Identifiant interne d’exploitation agricole*]]),"",IF(ISERROR(MATCH(CertifiedCrop[[#This Row],[1. Identifiant interne d’exploitation agricole*]],GroupMember[1. Identifiant interne d’exploitation agricole*],0)),FALSE,TRUE))</f>
        <v>1</v>
      </c>
      <c r="K425" s="122" t="b">
        <f t="array" ref="K425">IF(ISBLANK(CertifiedCrop[[#This Row],[2. Produit agricole certifié*]]),"",IF(ISERROR(MATCH(1,(#REF!=CertifiedCrop[[#This Row],[2. Produit agricole certifié*]])*(#REF!=CertifiedCrop[[#This Row],[3. Variété**]]),0)),FALSE,TRUE))</f>
        <v>0</v>
      </c>
      <c r="L425" s="20" t="str">
        <f t="shared" si="30"/>
        <v/>
      </c>
      <c r="M425" s="54" t="str">
        <f t="shared" si="31"/>
        <v>!</v>
      </c>
      <c r="N425" s="54" t="str">
        <f t="shared" si="32"/>
        <v/>
      </c>
      <c r="O425" s="55">
        <f t="shared" si="33"/>
        <v>549.33920704845809</v>
      </c>
      <c r="P425" s="55">
        <f t="shared" si="34"/>
        <v>556.38766519823787</v>
      </c>
      <c r="Q425" s="9" t="str">
        <f ca="1">IFERROR((VLOOKUP(A425,GM_Table,8,FALSE)-SUMIFS(D:D,A:A,A425,B:B,B425,C:C,C425)),"")</f>
        <v/>
      </c>
      <c r="R425" s="9" t="str">
        <f ca="1">IFERROR(CONCATENATE(VLOOKUP(A425,GM_Table,12,FALSE)," ",(VLOOKUP(A425,GM_Table,13,FALSE))),"")</f>
        <v/>
      </c>
    </row>
    <row r="426" spans="1:18" ht="15" x14ac:dyDescent="0.2">
      <c r="A426" s="150" t="s">
        <v>1953</v>
      </c>
      <c r="B426" s="9" t="s">
        <v>3290</v>
      </c>
      <c r="C426" s="9" t="s">
        <v>3291</v>
      </c>
      <c r="D426" s="252">
        <v>3.36</v>
      </c>
      <c r="E426" s="245">
        <v>1927</v>
      </c>
      <c r="F426" s="246">
        <v>1856</v>
      </c>
      <c r="G426" s="247">
        <v>578</v>
      </c>
      <c r="H426" s="248">
        <v>1689</v>
      </c>
      <c r="I426" s="249">
        <v>1489</v>
      </c>
      <c r="J426" s="122" t="b">
        <f>IF(ISBLANK(CertifiedCrop[[#This Row],[1. Identifiant interne d’exploitation agricole*]]),"",IF(ISERROR(MATCH(CertifiedCrop[[#This Row],[1. Identifiant interne d’exploitation agricole*]],GroupMember[1. Identifiant interne d’exploitation agricole*],0)),FALSE,TRUE))</f>
        <v>1</v>
      </c>
      <c r="K426" s="122" t="b">
        <f t="array" ref="K426">IF(ISBLANK(CertifiedCrop[[#This Row],[2. Produit agricole certifié*]]),"",IF(ISERROR(MATCH(1,(#REF!=CertifiedCrop[[#This Row],[2. Produit agricole certifié*]])*(#REF!=CertifiedCrop[[#This Row],[3. Variété**]]),0)),FALSE,TRUE))</f>
        <v>0</v>
      </c>
      <c r="L426" s="20" t="str">
        <f t="shared" si="30"/>
        <v/>
      </c>
      <c r="M426" s="54" t="str">
        <f t="shared" si="31"/>
        <v>!</v>
      </c>
      <c r="N426" s="54" t="str">
        <f t="shared" si="32"/>
        <v>!</v>
      </c>
      <c r="O426" s="55">
        <f t="shared" si="33"/>
        <v>573.51190476190482</v>
      </c>
      <c r="P426" s="55">
        <f t="shared" si="34"/>
        <v>552.38095238095241</v>
      </c>
      <c r="Q426" s="9" t="str">
        <f ca="1">IFERROR((VLOOKUP(A426,GM_Table,8,FALSE)-SUMIFS(D:D,A:A,A426,B:B,B426,C:C,C426)),"")</f>
        <v/>
      </c>
      <c r="R426" s="9" t="str">
        <f ca="1">IFERROR(CONCATENATE(VLOOKUP(A426,GM_Table,12,FALSE)," ",(VLOOKUP(A426,GM_Table,13,FALSE))),"")</f>
        <v/>
      </c>
    </row>
    <row r="427" spans="1:18" ht="15" x14ac:dyDescent="0.2">
      <c r="A427" s="150" t="s">
        <v>1955</v>
      </c>
      <c r="B427" s="9" t="s">
        <v>3290</v>
      </c>
      <c r="C427" s="9" t="s">
        <v>3291</v>
      </c>
      <c r="D427" s="252">
        <v>1.4047000000000001</v>
      </c>
      <c r="E427" s="221">
        <v>834</v>
      </c>
      <c r="F427" s="246">
        <v>813</v>
      </c>
      <c r="G427" s="247">
        <v>469</v>
      </c>
      <c r="H427" s="248">
        <v>476</v>
      </c>
      <c r="I427" s="249">
        <v>795</v>
      </c>
      <c r="J427" s="122" t="b">
        <f>IF(ISBLANK(CertifiedCrop[[#This Row],[1. Identifiant interne d’exploitation agricole*]]),"",IF(ISERROR(MATCH(CertifiedCrop[[#This Row],[1. Identifiant interne d’exploitation agricole*]],GroupMember[1. Identifiant interne d’exploitation agricole*],0)),FALSE,TRUE))</f>
        <v>1</v>
      </c>
      <c r="K427" s="122" t="b">
        <f t="array" ref="K427">IF(ISBLANK(CertifiedCrop[[#This Row],[2. Produit agricole certifié*]]),"",IF(ISERROR(MATCH(1,(#REF!=CertifiedCrop[[#This Row],[2. Produit agricole certifié*]])*(#REF!=CertifiedCrop[[#This Row],[3. Variété**]]),0)),FALSE,TRUE))</f>
        <v>0</v>
      </c>
      <c r="L427" s="20" t="str">
        <f t="shared" si="30"/>
        <v/>
      </c>
      <c r="M427" s="54" t="str">
        <f t="shared" si="31"/>
        <v>!</v>
      </c>
      <c r="N427" s="54" t="str">
        <f t="shared" si="32"/>
        <v/>
      </c>
      <c r="O427" s="55">
        <f t="shared" si="33"/>
        <v>593.72107923400017</v>
      </c>
      <c r="P427" s="55">
        <f t="shared" si="34"/>
        <v>578.77126788638145</v>
      </c>
      <c r="Q427" s="9" t="str">
        <f ca="1">IFERROR((VLOOKUP(A427,GM_Table,8,FALSE)-SUMIFS(D:D,A:A,A427,B:B,B427,C:C,C427)),"")</f>
        <v/>
      </c>
      <c r="R427" s="9" t="str">
        <f ca="1">IFERROR(CONCATENATE(VLOOKUP(A427,GM_Table,12,FALSE)," ",(VLOOKUP(A427,GM_Table,13,FALSE))),"")</f>
        <v/>
      </c>
    </row>
    <row r="428" spans="1:18" ht="15" x14ac:dyDescent="0.2">
      <c r="A428" s="150" t="s">
        <v>1956</v>
      </c>
      <c r="B428" s="9" t="s">
        <v>3290</v>
      </c>
      <c r="C428" s="9" t="s">
        <v>3291</v>
      </c>
      <c r="D428" s="252">
        <v>1.34</v>
      </c>
      <c r="E428" s="221">
        <v>774</v>
      </c>
      <c r="F428" s="246">
        <v>745</v>
      </c>
      <c r="G428" s="247">
        <v>384</v>
      </c>
      <c r="H428" s="248">
        <v>601</v>
      </c>
      <c r="I428" s="249">
        <v>712</v>
      </c>
      <c r="J428" s="122" t="b">
        <f>IF(ISBLANK(CertifiedCrop[[#This Row],[1. Identifiant interne d’exploitation agricole*]]),"",IF(ISERROR(MATCH(CertifiedCrop[[#This Row],[1. Identifiant interne d’exploitation agricole*]],GroupMember[1. Identifiant interne d’exploitation agricole*],0)),FALSE,TRUE))</f>
        <v>1</v>
      </c>
      <c r="K428" s="122" t="b">
        <f t="array" ref="K428">IF(ISBLANK(CertifiedCrop[[#This Row],[2. Produit agricole certifié*]]),"",IF(ISERROR(MATCH(1,(#REF!=CertifiedCrop[[#This Row],[2. Produit agricole certifié*]])*(#REF!=CertifiedCrop[[#This Row],[3. Variété**]]),0)),FALSE,TRUE))</f>
        <v>0</v>
      </c>
      <c r="L428" s="20" t="str">
        <f t="shared" si="30"/>
        <v/>
      </c>
      <c r="M428" s="54" t="str">
        <f t="shared" si="31"/>
        <v>!</v>
      </c>
      <c r="N428" s="54" t="str">
        <f t="shared" si="32"/>
        <v>!</v>
      </c>
      <c r="O428" s="55">
        <f t="shared" si="33"/>
        <v>577.61194029850742</v>
      </c>
      <c r="P428" s="55">
        <f t="shared" si="34"/>
        <v>555.97014925373128</v>
      </c>
      <c r="Q428" s="9" t="str">
        <f ca="1">IFERROR((VLOOKUP(A428,GM_Table,8,FALSE)-SUMIFS(D:D,A:A,A428,B:B,B428,C:C,C428)),"")</f>
        <v/>
      </c>
      <c r="R428" s="9" t="str">
        <f ca="1">IFERROR(CONCATENATE(VLOOKUP(A428,GM_Table,12,FALSE)," ",(VLOOKUP(A428,GM_Table,13,FALSE))),"")</f>
        <v/>
      </c>
    </row>
    <row r="429" spans="1:18" ht="15" x14ac:dyDescent="0.2">
      <c r="A429" s="150" t="s">
        <v>1957</v>
      </c>
      <c r="B429" s="9" t="s">
        <v>3290</v>
      </c>
      <c r="C429" s="9" t="s">
        <v>3291</v>
      </c>
      <c r="D429" s="252">
        <v>1.68</v>
      </c>
      <c r="E429" s="245">
        <v>1055</v>
      </c>
      <c r="F429" s="246">
        <v>1023</v>
      </c>
      <c r="G429" s="247">
        <v>895</v>
      </c>
      <c r="H429" s="248">
        <v>911</v>
      </c>
      <c r="I429" s="249">
        <v>706</v>
      </c>
      <c r="J429" s="122" t="b">
        <f>IF(ISBLANK(CertifiedCrop[[#This Row],[1. Identifiant interne d’exploitation agricole*]]),"",IF(ISERROR(MATCH(CertifiedCrop[[#This Row],[1. Identifiant interne d’exploitation agricole*]],GroupMember[1. Identifiant interne d’exploitation agricole*],0)),FALSE,TRUE))</f>
        <v>1</v>
      </c>
      <c r="K429" s="122" t="b">
        <f t="array" ref="K429">IF(ISBLANK(CertifiedCrop[[#This Row],[2. Produit agricole certifié*]]),"",IF(ISERROR(MATCH(1,(#REF!=CertifiedCrop[[#This Row],[2. Produit agricole certifié*]])*(#REF!=CertifiedCrop[[#This Row],[3. Variété**]]),0)),FALSE,TRUE))</f>
        <v>0</v>
      </c>
      <c r="L429" s="20" t="str">
        <f t="shared" si="30"/>
        <v/>
      </c>
      <c r="M429" s="54" t="str">
        <f t="shared" si="31"/>
        <v/>
      </c>
      <c r="N429" s="54" t="str">
        <f t="shared" si="32"/>
        <v/>
      </c>
      <c r="O429" s="55">
        <f t="shared" si="33"/>
        <v>627.97619047619048</v>
      </c>
      <c r="P429" s="55">
        <f t="shared" si="34"/>
        <v>608.92857142857144</v>
      </c>
      <c r="Q429" s="9" t="str">
        <f ca="1">IFERROR((VLOOKUP(A429,GM_Table,8,FALSE)-SUMIFS(D:D,A:A,A429,B:B,B429,C:C,C429)),"")</f>
        <v/>
      </c>
      <c r="R429" s="9" t="str">
        <f ca="1">IFERROR(CONCATENATE(VLOOKUP(A429,GM_Table,12,FALSE)," ",(VLOOKUP(A429,GM_Table,13,FALSE))),"")</f>
        <v/>
      </c>
    </row>
    <row r="430" spans="1:18" ht="15" x14ac:dyDescent="0.2">
      <c r="A430" s="150" t="s">
        <v>1959</v>
      </c>
      <c r="B430" s="9" t="s">
        <v>3290</v>
      </c>
      <c r="C430" s="9" t="s">
        <v>3291</v>
      </c>
      <c r="D430" s="252">
        <v>2.1800000000000002</v>
      </c>
      <c r="E430" s="245">
        <v>1381</v>
      </c>
      <c r="F430" s="246">
        <v>1285</v>
      </c>
      <c r="G430" s="247">
        <v>1141</v>
      </c>
      <c r="H430" s="248">
        <v>1300</v>
      </c>
      <c r="I430" s="249">
        <v>893</v>
      </c>
      <c r="J430" s="122" t="b">
        <f>IF(ISBLANK(CertifiedCrop[[#This Row],[1. Identifiant interne d’exploitation agricole*]]),"",IF(ISERROR(MATCH(CertifiedCrop[[#This Row],[1. Identifiant interne d’exploitation agricole*]],GroupMember[1. Identifiant interne d’exploitation agricole*],0)),FALSE,TRUE))</f>
        <v>1</v>
      </c>
      <c r="K430" s="122" t="b">
        <f t="array" ref="K430">IF(ISBLANK(CertifiedCrop[[#This Row],[2. Produit agricole certifié*]]),"",IF(ISERROR(MATCH(1,(#REF!=CertifiedCrop[[#This Row],[2. Produit agricole certifié*]])*(#REF!=CertifiedCrop[[#This Row],[3. Variété**]]),0)),FALSE,TRUE))</f>
        <v>0</v>
      </c>
      <c r="L430" s="20" t="str">
        <f t="shared" si="30"/>
        <v/>
      </c>
      <c r="M430" s="54" t="str">
        <f t="shared" si="31"/>
        <v/>
      </c>
      <c r="N430" s="54" t="str">
        <f t="shared" si="32"/>
        <v/>
      </c>
      <c r="O430" s="55">
        <f t="shared" si="33"/>
        <v>633.48623853211006</v>
      </c>
      <c r="P430" s="55">
        <f t="shared" si="34"/>
        <v>589.44954128440361</v>
      </c>
      <c r="Q430" s="9" t="str">
        <f ca="1">IFERROR((VLOOKUP(A430,GM_Table,8,FALSE)-SUMIFS(D:D,A:A,A430,B:B,B430,C:C,C430)),"")</f>
        <v/>
      </c>
      <c r="R430" s="9" t="str">
        <f ca="1">IFERROR(CONCATENATE(VLOOKUP(A430,GM_Table,12,FALSE)," ",(VLOOKUP(A430,GM_Table,13,FALSE))),"")</f>
        <v/>
      </c>
    </row>
    <row r="431" spans="1:18" ht="15" x14ac:dyDescent="0.2">
      <c r="A431" s="150" t="s">
        <v>1960</v>
      </c>
      <c r="B431" s="9" t="s">
        <v>3290</v>
      </c>
      <c r="C431" s="9" t="s">
        <v>3291</v>
      </c>
      <c r="D431" s="252">
        <v>1.3897999999999999</v>
      </c>
      <c r="E431" s="221">
        <v>775</v>
      </c>
      <c r="F431" s="246">
        <v>729</v>
      </c>
      <c r="G431" s="247">
        <v>560</v>
      </c>
      <c r="H431" s="248">
        <v>573</v>
      </c>
      <c r="I431" s="249">
        <v>1141</v>
      </c>
      <c r="J431" s="122" t="b">
        <f>IF(ISBLANK(CertifiedCrop[[#This Row],[1. Identifiant interne d’exploitation agricole*]]),"",IF(ISERROR(MATCH(CertifiedCrop[[#This Row],[1. Identifiant interne d’exploitation agricole*]],GroupMember[1. Identifiant interne d’exploitation agricole*],0)),FALSE,TRUE))</f>
        <v>1</v>
      </c>
      <c r="K431" s="122" t="b">
        <f t="array" ref="K431">IF(ISBLANK(CertifiedCrop[[#This Row],[2. Produit agricole certifié*]]),"",IF(ISERROR(MATCH(1,(#REF!=CertifiedCrop[[#This Row],[2. Produit agricole certifié*]])*(#REF!=CertifiedCrop[[#This Row],[3. Variété**]]),0)),FALSE,TRUE))</f>
        <v>0</v>
      </c>
      <c r="L431" s="20" t="str">
        <f t="shared" si="30"/>
        <v/>
      </c>
      <c r="M431" s="54" t="str">
        <f t="shared" si="31"/>
        <v>!</v>
      </c>
      <c r="N431" s="54" t="str">
        <f t="shared" si="32"/>
        <v/>
      </c>
      <c r="O431" s="55">
        <f t="shared" si="33"/>
        <v>557.63419197006772</v>
      </c>
      <c r="P431" s="55">
        <f t="shared" si="34"/>
        <v>524.53590444668305</v>
      </c>
      <c r="Q431" s="9" t="str">
        <f ca="1">IFERROR((VLOOKUP(A431,GM_Table,8,FALSE)-SUMIFS(D:D,A:A,A431,B:B,B431,C:C,C431)),"")</f>
        <v/>
      </c>
      <c r="R431" s="9" t="str">
        <f ca="1">IFERROR(CONCATENATE(VLOOKUP(A431,GM_Table,12,FALSE)," ",(VLOOKUP(A431,GM_Table,13,FALSE))),"")</f>
        <v/>
      </c>
    </row>
    <row r="432" spans="1:18" ht="15" x14ac:dyDescent="0.2">
      <c r="A432" s="150" t="s">
        <v>1962</v>
      </c>
      <c r="B432" s="9" t="s">
        <v>3290</v>
      </c>
      <c r="C432" s="9" t="s">
        <v>3291</v>
      </c>
      <c r="D432" s="252">
        <v>3.7147999999999999</v>
      </c>
      <c r="E432" s="245">
        <v>2197</v>
      </c>
      <c r="F432" s="246">
        <v>2120</v>
      </c>
      <c r="G432" s="247">
        <v>2120</v>
      </c>
      <c r="H432" s="248">
        <v>2046</v>
      </c>
      <c r="I432" s="249">
        <v>1006</v>
      </c>
      <c r="J432" s="122" t="b">
        <f>IF(ISBLANK(CertifiedCrop[[#This Row],[1. Identifiant interne d’exploitation agricole*]]),"",IF(ISERROR(MATCH(CertifiedCrop[[#This Row],[1. Identifiant interne d’exploitation agricole*]],GroupMember[1. Identifiant interne d’exploitation agricole*],0)),FALSE,TRUE))</f>
        <v>1</v>
      </c>
      <c r="K432" s="122" t="b">
        <f t="array" ref="K432">IF(ISBLANK(CertifiedCrop[[#This Row],[2. Produit agricole certifié*]]),"",IF(ISERROR(MATCH(1,(#REF!=CertifiedCrop[[#This Row],[2. Produit agricole certifié*]])*(#REF!=CertifiedCrop[[#This Row],[3. Variété**]]),0)),FALSE,TRUE))</f>
        <v>0</v>
      </c>
      <c r="L432" s="20" t="str">
        <f t="shared" si="30"/>
        <v/>
      </c>
      <c r="M432" s="54" t="str">
        <f t="shared" si="31"/>
        <v/>
      </c>
      <c r="N432" s="54" t="str">
        <f t="shared" si="32"/>
        <v/>
      </c>
      <c r="O432" s="55">
        <f t="shared" si="33"/>
        <v>591.41811133843009</v>
      </c>
      <c r="P432" s="55">
        <f t="shared" si="34"/>
        <v>570.69021212447512</v>
      </c>
      <c r="Q432" s="9" t="str">
        <f ca="1">IFERROR((VLOOKUP(A432,GM_Table,8,FALSE)-SUMIFS(D:D,A:A,A432,B:B,B432,C:C,C432)),"")</f>
        <v/>
      </c>
      <c r="R432" s="9" t="str">
        <f ca="1">IFERROR(CONCATENATE(VLOOKUP(A432,GM_Table,12,FALSE)," ",(VLOOKUP(A432,GM_Table,13,FALSE))),"")</f>
        <v/>
      </c>
    </row>
    <row r="433" spans="1:18" ht="15" x14ac:dyDescent="0.2">
      <c r="A433" s="150" t="s">
        <v>1964</v>
      </c>
      <c r="B433" s="9" t="s">
        <v>3290</v>
      </c>
      <c r="C433" s="9" t="s">
        <v>3291</v>
      </c>
      <c r="D433" s="252">
        <v>0.99839999999999995</v>
      </c>
      <c r="E433" s="221">
        <v>569</v>
      </c>
      <c r="F433" s="246">
        <v>532</v>
      </c>
      <c r="G433" s="247">
        <v>302</v>
      </c>
      <c r="H433" s="248">
        <v>441</v>
      </c>
      <c r="I433" s="249">
        <v>1125</v>
      </c>
      <c r="J433" s="122" t="b">
        <f>IF(ISBLANK(CertifiedCrop[[#This Row],[1. Identifiant interne d’exploitation agricole*]]),"",IF(ISERROR(MATCH(CertifiedCrop[[#This Row],[1. Identifiant interne d’exploitation agricole*]],GroupMember[1. Identifiant interne d’exploitation agricole*],0)),FALSE,TRUE))</f>
        <v>1</v>
      </c>
      <c r="K433" s="122" t="b">
        <f t="array" ref="K433">IF(ISBLANK(CertifiedCrop[[#This Row],[2. Produit agricole certifié*]]),"",IF(ISERROR(MATCH(1,(#REF!=CertifiedCrop[[#This Row],[2. Produit agricole certifié*]])*(#REF!=CertifiedCrop[[#This Row],[3. Variété**]]),0)),FALSE,TRUE))</f>
        <v>0</v>
      </c>
      <c r="L433" s="20" t="str">
        <f t="shared" si="30"/>
        <v/>
      </c>
      <c r="M433" s="54" t="str">
        <f t="shared" si="31"/>
        <v>!</v>
      </c>
      <c r="N433" s="54" t="str">
        <f t="shared" si="32"/>
        <v>!</v>
      </c>
      <c r="O433" s="55">
        <f t="shared" si="33"/>
        <v>569.91185897435901</v>
      </c>
      <c r="P433" s="55">
        <f t="shared" si="34"/>
        <v>532.85256410256409</v>
      </c>
      <c r="Q433" s="9" t="str">
        <f ca="1">IFERROR((VLOOKUP(A433,GM_Table,8,FALSE)-SUMIFS(D:D,A:A,A433,B:B,B433,C:C,C433)),"")</f>
        <v/>
      </c>
      <c r="R433" s="9" t="str">
        <f ca="1">IFERROR(CONCATENATE(VLOOKUP(A433,GM_Table,12,FALSE)," ",(VLOOKUP(A433,GM_Table,13,FALSE))),"")</f>
        <v/>
      </c>
    </row>
    <row r="434" spans="1:18" ht="15" x14ac:dyDescent="0.2">
      <c r="A434" s="150" t="s">
        <v>1965</v>
      </c>
      <c r="B434" s="9" t="s">
        <v>3290</v>
      </c>
      <c r="C434" s="9" t="s">
        <v>3291</v>
      </c>
      <c r="D434" s="252">
        <v>2.2599999999999998</v>
      </c>
      <c r="E434" s="245">
        <v>1286</v>
      </c>
      <c r="F434" s="246">
        <v>1381</v>
      </c>
      <c r="G434" s="247">
        <v>1381</v>
      </c>
      <c r="H434" s="248">
        <v>1293</v>
      </c>
      <c r="I434" s="249">
        <v>1326</v>
      </c>
      <c r="J434" s="122" t="b">
        <f>IF(ISBLANK(CertifiedCrop[[#This Row],[1. Identifiant interne d’exploitation agricole*]]),"",IF(ISERROR(MATCH(CertifiedCrop[[#This Row],[1. Identifiant interne d’exploitation agricole*]],GroupMember[1. Identifiant interne d’exploitation agricole*],0)),FALSE,TRUE))</f>
        <v>1</v>
      </c>
      <c r="K434" s="122" t="b">
        <f t="array" ref="K434">IF(ISBLANK(CertifiedCrop[[#This Row],[2. Produit agricole certifié*]]),"",IF(ISERROR(MATCH(1,(#REF!=CertifiedCrop[[#This Row],[2. Produit agricole certifié*]])*(#REF!=CertifiedCrop[[#This Row],[3. Variété**]]),0)),FALSE,TRUE))</f>
        <v>0</v>
      </c>
      <c r="L434" s="20" t="str">
        <f t="shared" si="30"/>
        <v/>
      </c>
      <c r="M434" s="54" t="str">
        <f t="shared" si="31"/>
        <v/>
      </c>
      <c r="N434" s="54" t="str">
        <f t="shared" si="32"/>
        <v/>
      </c>
      <c r="O434" s="55">
        <f t="shared" si="33"/>
        <v>569.02654867256638</v>
      </c>
      <c r="P434" s="55">
        <f t="shared" si="34"/>
        <v>611.06194690265488</v>
      </c>
      <c r="Q434" s="9" t="str">
        <f ca="1">IFERROR((VLOOKUP(A434,GM_Table,8,FALSE)-SUMIFS(D:D,A:A,A434,B:B,B434,C:C,C434)),"")</f>
        <v/>
      </c>
      <c r="R434" s="9" t="str">
        <f ca="1">IFERROR(CONCATENATE(VLOOKUP(A434,GM_Table,12,FALSE)," ",(VLOOKUP(A434,GM_Table,13,FALSE))),"")</f>
        <v/>
      </c>
    </row>
    <row r="435" spans="1:18" ht="15" x14ac:dyDescent="0.2">
      <c r="A435" s="150" t="s">
        <v>1966</v>
      </c>
      <c r="B435" s="9" t="s">
        <v>3290</v>
      </c>
      <c r="C435" s="9" t="s">
        <v>3291</v>
      </c>
      <c r="D435" s="252">
        <v>2.5299999999999998</v>
      </c>
      <c r="E435" s="245">
        <v>1588</v>
      </c>
      <c r="F435" s="246">
        <v>1525</v>
      </c>
      <c r="G435" s="247">
        <v>1418</v>
      </c>
      <c r="H435" s="248">
        <v>1457</v>
      </c>
      <c r="I435" s="249">
        <v>1448</v>
      </c>
      <c r="J435" s="122" t="b">
        <f>IF(ISBLANK(CertifiedCrop[[#This Row],[1. Identifiant interne d’exploitation agricole*]]),"",IF(ISERROR(MATCH(CertifiedCrop[[#This Row],[1. Identifiant interne d’exploitation agricole*]],GroupMember[1. Identifiant interne d’exploitation agricole*],0)),FALSE,TRUE))</f>
        <v>1</v>
      </c>
      <c r="K435" s="122" t="b">
        <f t="array" ref="K435">IF(ISBLANK(CertifiedCrop[[#This Row],[2. Produit agricole certifié*]]),"",IF(ISERROR(MATCH(1,(#REF!=CertifiedCrop[[#This Row],[2. Produit agricole certifié*]])*(#REF!=CertifiedCrop[[#This Row],[3. Variété**]]),0)),FALSE,TRUE))</f>
        <v>0</v>
      </c>
      <c r="L435" s="20" t="str">
        <f t="shared" ref="L435:L498" si="35">IF((F435-G435)&lt;0,"!","")</f>
        <v/>
      </c>
      <c r="M435" s="54" t="str">
        <f t="shared" ref="M435:M498" si="36">IFERROR(IF((F435-G435)/G435&gt;25%,"!",IF((F435-G435)/G435&lt;-25%,"!","")),"")</f>
        <v/>
      </c>
      <c r="N435" s="54" t="str">
        <f t="shared" ref="N435:N498" si="37">IFERROR(IF((G435-H435)/H435&gt;25%,"!",IF((G435-H435)/H435&lt;-25%,"!","")),"")</f>
        <v/>
      </c>
      <c r="O435" s="55">
        <f t="shared" ref="O435:O498" si="38">IFERROR(E435/D435,"")</f>
        <v>627.66798418972337</v>
      </c>
      <c r="P435" s="55">
        <f t="shared" ref="P435:P498" si="39">IFERROR(F435/D435,"")</f>
        <v>602.76679841897237</v>
      </c>
      <c r="Q435" s="9" t="str">
        <f ca="1">IFERROR((VLOOKUP(A435,GM_Table,8,FALSE)-SUMIFS(D:D,A:A,A435,B:B,B435,C:C,C435)),"")</f>
        <v/>
      </c>
      <c r="R435" s="9" t="str">
        <f ca="1">IFERROR(CONCATENATE(VLOOKUP(A435,GM_Table,12,FALSE)," ",(VLOOKUP(A435,GM_Table,13,FALSE))),"")</f>
        <v/>
      </c>
    </row>
    <row r="436" spans="1:18" ht="15" x14ac:dyDescent="0.2">
      <c r="A436" s="193" t="s">
        <v>1969</v>
      </c>
      <c r="B436" s="9" t="s">
        <v>3290</v>
      </c>
      <c r="C436" s="9" t="s">
        <v>3291</v>
      </c>
      <c r="D436" s="252">
        <v>2</v>
      </c>
      <c r="E436" s="245">
        <v>1105</v>
      </c>
      <c r="F436" s="246">
        <v>1025</v>
      </c>
      <c r="G436" s="247">
        <v>965</v>
      </c>
      <c r="H436" s="248">
        <v>1025</v>
      </c>
      <c r="I436" s="249">
        <v>801</v>
      </c>
      <c r="J436" s="122" t="b">
        <f>IF(ISBLANK(CertifiedCrop[[#This Row],[1. Identifiant interne d’exploitation agricole*]]),"",IF(ISERROR(MATCH(CertifiedCrop[[#This Row],[1. Identifiant interne d’exploitation agricole*]],GroupMember[1. Identifiant interne d’exploitation agricole*],0)),FALSE,TRUE))</f>
        <v>1</v>
      </c>
      <c r="K436" s="122" t="b">
        <f t="array" ref="K436">IF(ISBLANK(CertifiedCrop[[#This Row],[2. Produit agricole certifié*]]),"",IF(ISERROR(MATCH(1,(#REF!=CertifiedCrop[[#This Row],[2. Produit agricole certifié*]])*(#REF!=CertifiedCrop[[#This Row],[3. Variété**]]),0)),FALSE,TRUE))</f>
        <v>0</v>
      </c>
      <c r="L436" s="20" t="str">
        <f t="shared" si="35"/>
        <v/>
      </c>
      <c r="M436" s="54" t="str">
        <f t="shared" si="36"/>
        <v/>
      </c>
      <c r="N436" s="54" t="str">
        <f t="shared" si="37"/>
        <v/>
      </c>
      <c r="O436" s="55">
        <f t="shared" si="38"/>
        <v>552.5</v>
      </c>
      <c r="P436" s="55">
        <f t="shared" si="39"/>
        <v>512.5</v>
      </c>
      <c r="Q436" s="9" t="str">
        <f ca="1">IFERROR((VLOOKUP(A436,GM_Table,8,FALSE)-SUMIFS(D:D,A:A,A436,B:B,B436,C:C,C436)),"")</f>
        <v/>
      </c>
      <c r="R436" s="9" t="str">
        <f ca="1">IFERROR(CONCATENATE(VLOOKUP(A436,GM_Table,12,FALSE)," ",(VLOOKUP(A436,GM_Table,13,FALSE))),"")</f>
        <v/>
      </c>
    </row>
    <row r="437" spans="1:18" ht="15" x14ac:dyDescent="0.2">
      <c r="A437" s="193" t="s">
        <v>1973</v>
      </c>
      <c r="B437" s="9" t="s">
        <v>3290</v>
      </c>
      <c r="C437" s="9" t="s">
        <v>3291</v>
      </c>
      <c r="D437" s="252">
        <v>1.2374000000000001</v>
      </c>
      <c r="E437" s="221">
        <v>716</v>
      </c>
      <c r="F437" s="246">
        <v>700</v>
      </c>
      <c r="G437" s="247">
        <v>589</v>
      </c>
      <c r="H437" s="248">
        <v>606</v>
      </c>
      <c r="I437" s="249">
        <v>2370</v>
      </c>
      <c r="J437" s="122" t="b">
        <f>IF(ISBLANK(CertifiedCrop[[#This Row],[1. Identifiant interne d’exploitation agricole*]]),"",IF(ISERROR(MATCH(CertifiedCrop[[#This Row],[1. Identifiant interne d’exploitation agricole*]],GroupMember[1. Identifiant interne d’exploitation agricole*],0)),FALSE,TRUE))</f>
        <v>1</v>
      </c>
      <c r="K437" s="122" t="b">
        <f t="array" ref="K437">IF(ISBLANK(CertifiedCrop[[#This Row],[2. Produit agricole certifié*]]),"",IF(ISERROR(MATCH(1,(#REF!=CertifiedCrop[[#This Row],[2. Produit agricole certifié*]])*(#REF!=CertifiedCrop[[#This Row],[3. Variété**]]),0)),FALSE,TRUE))</f>
        <v>0</v>
      </c>
      <c r="L437" s="20" t="str">
        <f t="shared" si="35"/>
        <v/>
      </c>
      <c r="M437" s="54" t="str">
        <f t="shared" si="36"/>
        <v/>
      </c>
      <c r="N437" s="54" t="str">
        <f t="shared" si="37"/>
        <v/>
      </c>
      <c r="O437" s="55">
        <f t="shared" si="38"/>
        <v>578.6326167771133</v>
      </c>
      <c r="P437" s="55">
        <f t="shared" si="39"/>
        <v>565.70227897203813</v>
      </c>
      <c r="Q437" s="9" t="str">
        <f ca="1">IFERROR((VLOOKUP(A437,GM_Table,8,FALSE)-SUMIFS(D:D,A:A,A437,B:B,B437,C:C,C437)),"")</f>
        <v/>
      </c>
      <c r="R437" s="9" t="str">
        <f ca="1">IFERROR(CONCATENATE(VLOOKUP(A437,GM_Table,12,FALSE)," ",(VLOOKUP(A437,GM_Table,13,FALSE))),"")</f>
        <v/>
      </c>
    </row>
    <row r="438" spans="1:18" ht="15" x14ac:dyDescent="0.2">
      <c r="A438" s="193" t="s">
        <v>1976</v>
      </c>
      <c r="B438" s="9" t="s">
        <v>3290</v>
      </c>
      <c r="C438" s="9" t="s">
        <v>3291</v>
      </c>
      <c r="D438" s="252">
        <v>2.65</v>
      </c>
      <c r="E438" s="245">
        <v>1658</v>
      </c>
      <c r="F438" s="246">
        <v>1563</v>
      </c>
      <c r="G438" s="247">
        <v>1152</v>
      </c>
      <c r="H438" s="248">
        <v>1506</v>
      </c>
      <c r="I438" s="249">
        <v>1521</v>
      </c>
      <c r="J438" s="122" t="b">
        <f>IF(ISBLANK(CertifiedCrop[[#This Row],[1. Identifiant interne d’exploitation agricole*]]),"",IF(ISERROR(MATCH(CertifiedCrop[[#This Row],[1. Identifiant interne d’exploitation agricole*]],GroupMember[1. Identifiant interne d’exploitation agricole*],0)),FALSE,TRUE))</f>
        <v>1</v>
      </c>
      <c r="K438" s="122" t="b">
        <f t="array" ref="K438">IF(ISBLANK(CertifiedCrop[[#This Row],[2. Produit agricole certifié*]]),"",IF(ISERROR(MATCH(1,(#REF!=CertifiedCrop[[#This Row],[2. Produit agricole certifié*]])*(#REF!=CertifiedCrop[[#This Row],[3. Variété**]]),0)),FALSE,TRUE))</f>
        <v>0</v>
      </c>
      <c r="L438" s="20" t="str">
        <f t="shared" si="35"/>
        <v/>
      </c>
      <c r="M438" s="54" t="str">
        <f t="shared" si="36"/>
        <v>!</v>
      </c>
      <c r="N438" s="54" t="str">
        <f t="shared" si="37"/>
        <v/>
      </c>
      <c r="O438" s="55">
        <f t="shared" si="38"/>
        <v>625.66037735849056</v>
      </c>
      <c r="P438" s="55">
        <f t="shared" si="39"/>
        <v>589.81132075471703</v>
      </c>
      <c r="Q438" s="9" t="str">
        <f ca="1">IFERROR((VLOOKUP(A438,GM_Table,8,FALSE)-SUMIFS(D:D,A:A,A438,B:B,B438,C:C,C438)),"")</f>
        <v/>
      </c>
      <c r="R438" s="9" t="str">
        <f ca="1">IFERROR(CONCATENATE(VLOOKUP(A438,GM_Table,12,FALSE)," ",(VLOOKUP(A438,GM_Table,13,FALSE))),"")</f>
        <v/>
      </c>
    </row>
    <row r="439" spans="1:18" ht="15" x14ac:dyDescent="0.2">
      <c r="A439" s="193" t="s">
        <v>1979</v>
      </c>
      <c r="B439" s="9" t="s">
        <v>3290</v>
      </c>
      <c r="C439" s="9" t="s">
        <v>3291</v>
      </c>
      <c r="D439" s="252">
        <v>1.36</v>
      </c>
      <c r="E439" s="221">
        <v>753</v>
      </c>
      <c r="F439" s="246">
        <v>714</v>
      </c>
      <c r="G439" s="247">
        <v>458</v>
      </c>
      <c r="H439" s="248">
        <v>656</v>
      </c>
      <c r="I439" s="249">
        <v>859</v>
      </c>
      <c r="J439" s="122" t="b">
        <f>IF(ISBLANK(CertifiedCrop[[#This Row],[1. Identifiant interne d’exploitation agricole*]]),"",IF(ISERROR(MATCH(CertifiedCrop[[#This Row],[1. Identifiant interne d’exploitation agricole*]],GroupMember[1. Identifiant interne d’exploitation agricole*],0)),FALSE,TRUE))</f>
        <v>1</v>
      </c>
      <c r="K439" s="122" t="b">
        <f t="array" ref="K439">IF(ISBLANK(CertifiedCrop[[#This Row],[2. Produit agricole certifié*]]),"",IF(ISERROR(MATCH(1,(#REF!=CertifiedCrop[[#This Row],[2. Produit agricole certifié*]])*(#REF!=CertifiedCrop[[#This Row],[3. Variété**]]),0)),FALSE,TRUE))</f>
        <v>0</v>
      </c>
      <c r="L439" s="20" t="str">
        <f t="shared" si="35"/>
        <v/>
      </c>
      <c r="M439" s="54" t="str">
        <f t="shared" si="36"/>
        <v>!</v>
      </c>
      <c r="N439" s="54" t="str">
        <f t="shared" si="37"/>
        <v>!</v>
      </c>
      <c r="O439" s="55">
        <f t="shared" si="38"/>
        <v>553.67647058823525</v>
      </c>
      <c r="P439" s="55">
        <f t="shared" si="39"/>
        <v>525</v>
      </c>
      <c r="Q439" s="9" t="str">
        <f ca="1">IFERROR((VLOOKUP(A439,GM_Table,8,FALSE)-SUMIFS(D:D,A:A,A439,B:B,B439,C:C,C439)),"")</f>
        <v/>
      </c>
      <c r="R439" s="9" t="str">
        <f ca="1">IFERROR(CONCATENATE(VLOOKUP(A439,GM_Table,12,FALSE)," ",(VLOOKUP(A439,GM_Table,13,FALSE))),"")</f>
        <v/>
      </c>
    </row>
    <row r="440" spans="1:18" ht="15" x14ac:dyDescent="0.2">
      <c r="A440" s="193" t="s">
        <v>1981</v>
      </c>
      <c r="B440" s="9" t="s">
        <v>3290</v>
      </c>
      <c r="C440" s="9" t="s">
        <v>3291</v>
      </c>
      <c r="D440" s="252">
        <v>6.8764000000000003</v>
      </c>
      <c r="E440" s="245">
        <v>3902</v>
      </c>
      <c r="F440" s="246">
        <v>3749</v>
      </c>
      <c r="G440" s="247">
        <v>3324</v>
      </c>
      <c r="H440" s="248">
        <v>3587</v>
      </c>
      <c r="I440" s="249">
        <v>1142</v>
      </c>
      <c r="J440" s="122" t="b">
        <f>IF(ISBLANK(CertifiedCrop[[#This Row],[1. Identifiant interne d’exploitation agricole*]]),"",IF(ISERROR(MATCH(CertifiedCrop[[#This Row],[1. Identifiant interne d’exploitation agricole*]],GroupMember[1. Identifiant interne d’exploitation agricole*],0)),FALSE,TRUE))</f>
        <v>1</v>
      </c>
      <c r="K440" s="122" t="b">
        <f t="array" ref="K440">IF(ISBLANK(CertifiedCrop[[#This Row],[2. Produit agricole certifié*]]),"",IF(ISERROR(MATCH(1,(#REF!=CertifiedCrop[[#This Row],[2. Produit agricole certifié*]])*(#REF!=CertifiedCrop[[#This Row],[3. Variété**]]),0)),FALSE,TRUE))</f>
        <v>0</v>
      </c>
      <c r="L440" s="20" t="str">
        <f t="shared" si="35"/>
        <v/>
      </c>
      <c r="M440" s="54" t="str">
        <f t="shared" si="36"/>
        <v/>
      </c>
      <c r="N440" s="54" t="str">
        <f t="shared" si="37"/>
        <v/>
      </c>
      <c r="O440" s="55">
        <f t="shared" si="38"/>
        <v>567.44808329940088</v>
      </c>
      <c r="P440" s="55">
        <f t="shared" si="39"/>
        <v>545.19806875690767</v>
      </c>
      <c r="Q440" s="9" t="str">
        <f ca="1">IFERROR((VLOOKUP(A440,GM_Table,8,FALSE)-SUMIFS(D:D,A:A,A440,B:B,B440,C:C,C440)),"")</f>
        <v/>
      </c>
      <c r="R440" s="9" t="str">
        <f ca="1">IFERROR(CONCATENATE(VLOOKUP(A440,GM_Table,12,FALSE)," ",(VLOOKUP(A440,GM_Table,13,FALSE))),"")</f>
        <v/>
      </c>
    </row>
    <row r="441" spans="1:18" ht="15" x14ac:dyDescent="0.2">
      <c r="A441" s="193" t="s">
        <v>1984</v>
      </c>
      <c r="B441" s="9" t="s">
        <v>3290</v>
      </c>
      <c r="C441" s="9" t="s">
        <v>3291</v>
      </c>
      <c r="D441" s="252">
        <v>2.7764000000000002</v>
      </c>
      <c r="E441" s="245">
        <v>1630</v>
      </c>
      <c r="F441" s="246">
        <v>1585</v>
      </c>
      <c r="G441" s="247">
        <v>1585</v>
      </c>
      <c r="H441" s="248">
        <v>1704</v>
      </c>
      <c r="I441" s="249">
        <v>814</v>
      </c>
      <c r="J441" s="122" t="b">
        <f>IF(ISBLANK(CertifiedCrop[[#This Row],[1. Identifiant interne d’exploitation agricole*]]),"",IF(ISERROR(MATCH(CertifiedCrop[[#This Row],[1. Identifiant interne d’exploitation agricole*]],GroupMember[1. Identifiant interne d’exploitation agricole*],0)),FALSE,TRUE))</f>
        <v>1</v>
      </c>
      <c r="K441" s="122" t="b">
        <f t="array" ref="K441">IF(ISBLANK(CertifiedCrop[[#This Row],[2. Produit agricole certifié*]]),"",IF(ISERROR(MATCH(1,(#REF!=CertifiedCrop[[#This Row],[2. Produit agricole certifié*]])*(#REF!=CertifiedCrop[[#This Row],[3. Variété**]]),0)),FALSE,TRUE))</f>
        <v>0</v>
      </c>
      <c r="L441" s="20" t="str">
        <f t="shared" si="35"/>
        <v/>
      </c>
      <c r="M441" s="54" t="str">
        <f t="shared" si="36"/>
        <v/>
      </c>
      <c r="N441" s="54" t="str">
        <f t="shared" si="37"/>
        <v/>
      </c>
      <c r="O441" s="55">
        <f t="shared" si="38"/>
        <v>587.09119723382798</v>
      </c>
      <c r="P441" s="55">
        <f t="shared" si="39"/>
        <v>570.88315804639092</v>
      </c>
      <c r="Q441" s="9" t="str">
        <f ca="1">IFERROR((VLOOKUP(A441,GM_Table,8,FALSE)-SUMIFS(D:D,A:A,A441,B:B,B441,C:C,C441)),"")</f>
        <v/>
      </c>
      <c r="R441" s="9" t="str">
        <f ca="1">IFERROR(CONCATENATE(VLOOKUP(A441,GM_Table,12,FALSE)," ",(VLOOKUP(A441,GM_Table,13,FALSE))),"")</f>
        <v/>
      </c>
    </row>
    <row r="442" spans="1:18" ht="15" x14ac:dyDescent="0.2">
      <c r="A442" s="193" t="s">
        <v>1987</v>
      </c>
      <c r="B442" s="9" t="s">
        <v>3290</v>
      </c>
      <c r="C442" s="9" t="s">
        <v>3291</v>
      </c>
      <c r="D442" s="252">
        <v>1.01</v>
      </c>
      <c r="E442" s="221">
        <v>599</v>
      </c>
      <c r="F442" s="246">
        <v>565</v>
      </c>
      <c r="G442" s="247">
        <v>384</v>
      </c>
      <c r="H442" s="248">
        <v>389</v>
      </c>
      <c r="I442" s="249">
        <v>524</v>
      </c>
      <c r="J442" s="122" t="b">
        <f>IF(ISBLANK(CertifiedCrop[[#This Row],[1. Identifiant interne d’exploitation agricole*]]),"",IF(ISERROR(MATCH(CertifiedCrop[[#This Row],[1. Identifiant interne d’exploitation agricole*]],GroupMember[1. Identifiant interne d’exploitation agricole*],0)),FALSE,TRUE))</f>
        <v>1</v>
      </c>
      <c r="K442" s="122" t="b">
        <f t="array" ref="K442">IF(ISBLANK(CertifiedCrop[[#This Row],[2. Produit agricole certifié*]]),"",IF(ISERROR(MATCH(1,(#REF!=CertifiedCrop[[#This Row],[2. Produit agricole certifié*]])*(#REF!=CertifiedCrop[[#This Row],[3. Variété**]]),0)),FALSE,TRUE))</f>
        <v>0</v>
      </c>
      <c r="L442" s="20" t="str">
        <f t="shared" si="35"/>
        <v/>
      </c>
      <c r="M442" s="54" t="str">
        <f t="shared" si="36"/>
        <v>!</v>
      </c>
      <c r="N442" s="54" t="str">
        <f t="shared" si="37"/>
        <v/>
      </c>
      <c r="O442" s="55">
        <f t="shared" si="38"/>
        <v>593.06930693069307</v>
      </c>
      <c r="P442" s="55">
        <f t="shared" si="39"/>
        <v>559.40594059405942</v>
      </c>
      <c r="Q442" s="9" t="str">
        <f ca="1">IFERROR((VLOOKUP(A442,GM_Table,8,FALSE)-SUMIFS(D:D,A:A,A442,B:B,B442,C:C,C442)),"")</f>
        <v/>
      </c>
      <c r="R442" s="9" t="str">
        <f ca="1">IFERROR(CONCATENATE(VLOOKUP(A442,GM_Table,12,FALSE)," ",(VLOOKUP(A442,GM_Table,13,FALSE))),"")</f>
        <v/>
      </c>
    </row>
    <row r="443" spans="1:18" ht="15" x14ac:dyDescent="0.2">
      <c r="A443" s="193" t="s">
        <v>1991</v>
      </c>
      <c r="B443" s="9" t="s">
        <v>3290</v>
      </c>
      <c r="C443" s="9" t="s">
        <v>3291</v>
      </c>
      <c r="D443" s="252">
        <v>5</v>
      </c>
      <c r="E443" s="245">
        <v>2917</v>
      </c>
      <c r="F443" s="246">
        <v>2874</v>
      </c>
      <c r="G443" s="247">
        <v>2481</v>
      </c>
      <c r="H443" s="248">
        <v>2642</v>
      </c>
      <c r="I443" s="249">
        <v>1722</v>
      </c>
      <c r="J443" s="122" t="b">
        <f>IF(ISBLANK(CertifiedCrop[[#This Row],[1. Identifiant interne d’exploitation agricole*]]),"",IF(ISERROR(MATCH(CertifiedCrop[[#This Row],[1. Identifiant interne d’exploitation agricole*]],GroupMember[1. Identifiant interne d’exploitation agricole*],0)),FALSE,TRUE))</f>
        <v>1</v>
      </c>
      <c r="K443" s="122" t="b">
        <f t="array" ref="K443">IF(ISBLANK(CertifiedCrop[[#This Row],[2. Produit agricole certifié*]]),"",IF(ISERROR(MATCH(1,(#REF!=CertifiedCrop[[#This Row],[2. Produit agricole certifié*]])*(#REF!=CertifiedCrop[[#This Row],[3. Variété**]]),0)),FALSE,TRUE))</f>
        <v>0</v>
      </c>
      <c r="L443" s="20" t="str">
        <f t="shared" si="35"/>
        <v/>
      </c>
      <c r="M443" s="54" t="str">
        <f t="shared" si="36"/>
        <v/>
      </c>
      <c r="N443" s="54" t="str">
        <f t="shared" si="37"/>
        <v/>
      </c>
      <c r="O443" s="55">
        <f t="shared" si="38"/>
        <v>583.4</v>
      </c>
      <c r="P443" s="55">
        <f t="shared" si="39"/>
        <v>574.79999999999995</v>
      </c>
      <c r="Q443" s="9" t="str">
        <f ca="1">IFERROR((VLOOKUP(A443,GM_Table,8,FALSE)-SUMIFS(D:D,A:A,A443,B:B,B443,C:C,C443)),"")</f>
        <v/>
      </c>
      <c r="R443" s="9" t="str">
        <f ca="1">IFERROR(CONCATENATE(VLOOKUP(A443,GM_Table,12,FALSE)," ",(VLOOKUP(A443,GM_Table,13,FALSE))),"")</f>
        <v/>
      </c>
    </row>
    <row r="444" spans="1:18" ht="15" x14ac:dyDescent="0.2">
      <c r="A444" s="193" t="s">
        <v>1993</v>
      </c>
      <c r="B444" s="9" t="s">
        <v>3290</v>
      </c>
      <c r="C444" s="9" t="s">
        <v>3291</v>
      </c>
      <c r="D444" s="252">
        <v>3.86</v>
      </c>
      <c r="E444" s="245">
        <v>2272</v>
      </c>
      <c r="F444" s="246">
        <v>2156</v>
      </c>
      <c r="G444" s="247">
        <v>1512</v>
      </c>
      <c r="H444" s="248">
        <v>1937</v>
      </c>
      <c r="I444" s="249">
        <v>1429</v>
      </c>
      <c r="J444" s="122" t="b">
        <f>IF(ISBLANK(CertifiedCrop[[#This Row],[1. Identifiant interne d’exploitation agricole*]]),"",IF(ISERROR(MATCH(CertifiedCrop[[#This Row],[1. Identifiant interne d’exploitation agricole*]],GroupMember[1. Identifiant interne d’exploitation agricole*],0)),FALSE,TRUE))</f>
        <v>1</v>
      </c>
      <c r="K444" s="122" t="b">
        <f t="array" ref="K444">IF(ISBLANK(CertifiedCrop[[#This Row],[2. Produit agricole certifié*]]),"",IF(ISERROR(MATCH(1,(#REF!=CertifiedCrop[[#This Row],[2. Produit agricole certifié*]])*(#REF!=CertifiedCrop[[#This Row],[3. Variété**]]),0)),FALSE,TRUE))</f>
        <v>0</v>
      </c>
      <c r="L444" s="20" t="str">
        <f t="shared" si="35"/>
        <v/>
      </c>
      <c r="M444" s="54" t="str">
        <f t="shared" si="36"/>
        <v>!</v>
      </c>
      <c r="N444" s="54" t="str">
        <f t="shared" si="37"/>
        <v/>
      </c>
      <c r="O444" s="55">
        <f t="shared" si="38"/>
        <v>588.6010362694301</v>
      </c>
      <c r="P444" s="55">
        <f t="shared" si="39"/>
        <v>558.54922279792743</v>
      </c>
      <c r="Q444" s="9" t="str">
        <f ca="1">IFERROR((VLOOKUP(A444,GM_Table,8,FALSE)-SUMIFS(D:D,A:A,A444,B:B,B444,C:C,C444)),"")</f>
        <v/>
      </c>
      <c r="R444" s="9" t="str">
        <f ca="1">IFERROR(CONCATENATE(VLOOKUP(A444,GM_Table,12,FALSE)," ",(VLOOKUP(A444,GM_Table,13,FALSE))),"")</f>
        <v/>
      </c>
    </row>
    <row r="445" spans="1:18" ht="15" x14ac:dyDescent="0.2">
      <c r="A445" s="193" t="s">
        <v>1997</v>
      </c>
      <c r="B445" s="9" t="s">
        <v>3290</v>
      </c>
      <c r="C445" s="9" t="s">
        <v>3291</v>
      </c>
      <c r="D445" s="252">
        <v>1.5</v>
      </c>
      <c r="E445" s="221">
        <v>751</v>
      </c>
      <c r="F445" s="246">
        <v>715</v>
      </c>
      <c r="G445" s="247">
        <v>197</v>
      </c>
      <c r="H445" s="248">
        <v>637</v>
      </c>
      <c r="I445" s="249">
        <v>714</v>
      </c>
      <c r="J445" s="122" t="b">
        <f>IF(ISBLANK(CertifiedCrop[[#This Row],[1. Identifiant interne d’exploitation agricole*]]),"",IF(ISERROR(MATCH(CertifiedCrop[[#This Row],[1. Identifiant interne d’exploitation agricole*]],GroupMember[1. Identifiant interne d’exploitation agricole*],0)),FALSE,TRUE))</f>
        <v>1</v>
      </c>
      <c r="K445" s="122" t="b">
        <f t="array" ref="K445">IF(ISBLANK(CertifiedCrop[[#This Row],[2. Produit agricole certifié*]]),"",IF(ISERROR(MATCH(1,(#REF!=CertifiedCrop[[#This Row],[2. Produit agricole certifié*]])*(#REF!=CertifiedCrop[[#This Row],[3. Variété**]]),0)),FALSE,TRUE))</f>
        <v>0</v>
      </c>
      <c r="L445" s="20" t="str">
        <f t="shared" si="35"/>
        <v/>
      </c>
      <c r="M445" s="54" t="str">
        <f t="shared" si="36"/>
        <v>!</v>
      </c>
      <c r="N445" s="54" t="str">
        <f t="shared" si="37"/>
        <v>!</v>
      </c>
      <c r="O445" s="55">
        <f t="shared" si="38"/>
        <v>500.66666666666669</v>
      </c>
      <c r="P445" s="55">
        <f t="shared" si="39"/>
        <v>476.66666666666669</v>
      </c>
      <c r="Q445" s="9" t="str">
        <f ca="1">IFERROR((VLOOKUP(A445,GM_Table,8,FALSE)-SUMIFS(D:D,A:A,A445,B:B,B445,C:C,C445)),"")</f>
        <v/>
      </c>
      <c r="R445" s="9" t="str">
        <f ca="1">IFERROR(CONCATENATE(VLOOKUP(A445,GM_Table,12,FALSE)," ",(VLOOKUP(A445,GM_Table,13,FALSE))),"")</f>
        <v/>
      </c>
    </row>
    <row r="446" spans="1:18" ht="15" x14ac:dyDescent="0.2">
      <c r="A446" s="193" t="s">
        <v>1999</v>
      </c>
      <c r="B446" s="9" t="s">
        <v>3290</v>
      </c>
      <c r="C446" s="9" t="s">
        <v>3291</v>
      </c>
      <c r="D446" s="252">
        <v>3</v>
      </c>
      <c r="E446" s="245">
        <v>1651</v>
      </c>
      <c r="F446" s="246">
        <v>1562</v>
      </c>
      <c r="G446" s="247">
        <v>943</v>
      </c>
      <c r="H446" s="248">
        <v>1505</v>
      </c>
      <c r="I446" s="249">
        <v>1705</v>
      </c>
      <c r="J446" s="122" t="b">
        <f>IF(ISBLANK(CertifiedCrop[[#This Row],[1. Identifiant interne d’exploitation agricole*]]),"",IF(ISERROR(MATCH(CertifiedCrop[[#This Row],[1. Identifiant interne d’exploitation agricole*]],GroupMember[1. Identifiant interne d’exploitation agricole*],0)),FALSE,TRUE))</f>
        <v>1</v>
      </c>
      <c r="K446" s="122" t="b">
        <f t="array" ref="K446">IF(ISBLANK(CertifiedCrop[[#This Row],[2. Produit agricole certifié*]]),"",IF(ISERROR(MATCH(1,(#REF!=CertifiedCrop[[#This Row],[2. Produit agricole certifié*]])*(#REF!=CertifiedCrop[[#This Row],[3. Variété**]]),0)),FALSE,TRUE))</f>
        <v>0</v>
      </c>
      <c r="L446" s="20" t="str">
        <f t="shared" si="35"/>
        <v/>
      </c>
      <c r="M446" s="54" t="str">
        <f t="shared" si="36"/>
        <v>!</v>
      </c>
      <c r="N446" s="54" t="str">
        <f t="shared" si="37"/>
        <v>!</v>
      </c>
      <c r="O446" s="55">
        <f t="shared" si="38"/>
        <v>550.33333333333337</v>
      </c>
      <c r="P446" s="55">
        <f t="shared" si="39"/>
        <v>520.66666666666663</v>
      </c>
      <c r="Q446" s="9" t="str">
        <f ca="1">IFERROR((VLOOKUP(A446,GM_Table,8,FALSE)-SUMIFS(D:D,A:A,A446,B:B,B446,C:C,C446)),"")</f>
        <v/>
      </c>
      <c r="R446" s="9" t="str">
        <f ca="1">IFERROR(CONCATENATE(VLOOKUP(A446,GM_Table,12,FALSE)," ",(VLOOKUP(A446,GM_Table,13,FALSE))),"")</f>
        <v/>
      </c>
    </row>
    <row r="447" spans="1:18" ht="15" x14ac:dyDescent="0.2">
      <c r="A447" s="193" t="s">
        <v>2001</v>
      </c>
      <c r="B447" s="9" t="s">
        <v>3290</v>
      </c>
      <c r="C447" s="9" t="s">
        <v>3291</v>
      </c>
      <c r="D447" s="252">
        <v>1.64</v>
      </c>
      <c r="E447" s="221">
        <v>940</v>
      </c>
      <c r="F447" s="246">
        <v>916</v>
      </c>
      <c r="G447" s="247">
        <v>644</v>
      </c>
      <c r="H447" s="248">
        <v>490</v>
      </c>
      <c r="I447" s="249">
        <v>695</v>
      </c>
      <c r="J447" s="122" t="b">
        <f>IF(ISBLANK(CertifiedCrop[[#This Row],[1. Identifiant interne d’exploitation agricole*]]),"",IF(ISERROR(MATCH(CertifiedCrop[[#This Row],[1. Identifiant interne d’exploitation agricole*]],GroupMember[1. Identifiant interne d’exploitation agricole*],0)),FALSE,TRUE))</f>
        <v>1</v>
      </c>
      <c r="K447" s="122" t="b">
        <f t="array" ref="K447">IF(ISBLANK(CertifiedCrop[[#This Row],[2. Produit agricole certifié*]]),"",IF(ISERROR(MATCH(1,(#REF!=CertifiedCrop[[#This Row],[2. Produit agricole certifié*]])*(#REF!=CertifiedCrop[[#This Row],[3. Variété**]]),0)),FALSE,TRUE))</f>
        <v>0</v>
      </c>
      <c r="L447" s="20" t="str">
        <f t="shared" si="35"/>
        <v/>
      </c>
      <c r="M447" s="54" t="str">
        <f t="shared" si="36"/>
        <v>!</v>
      </c>
      <c r="N447" s="54" t="str">
        <f t="shared" si="37"/>
        <v>!</v>
      </c>
      <c r="O447" s="55">
        <f t="shared" si="38"/>
        <v>573.17073170731715</v>
      </c>
      <c r="P447" s="55">
        <f t="shared" si="39"/>
        <v>558.53658536585374</v>
      </c>
      <c r="Q447" s="9" t="str">
        <f ca="1">IFERROR((VLOOKUP(A447,GM_Table,8,FALSE)-SUMIFS(D:D,A:A,A447,B:B,B447,C:C,C447)),"")</f>
        <v/>
      </c>
      <c r="R447" s="9" t="str">
        <f ca="1">IFERROR(CONCATENATE(VLOOKUP(A447,GM_Table,12,FALSE)," ",(VLOOKUP(A447,GM_Table,13,FALSE))),"")</f>
        <v/>
      </c>
    </row>
    <row r="448" spans="1:18" ht="15" x14ac:dyDescent="0.2">
      <c r="A448" s="193" t="s">
        <v>2003</v>
      </c>
      <c r="B448" s="9" t="s">
        <v>3290</v>
      </c>
      <c r="C448" s="9" t="s">
        <v>3291</v>
      </c>
      <c r="D448" s="252">
        <v>1.78</v>
      </c>
      <c r="E448" s="245">
        <v>1053</v>
      </c>
      <c r="F448" s="246">
        <v>1021</v>
      </c>
      <c r="G448" s="247">
        <v>932</v>
      </c>
      <c r="H448" s="248">
        <v>893</v>
      </c>
      <c r="I448" s="249">
        <v>837</v>
      </c>
      <c r="J448" s="122" t="b">
        <f>IF(ISBLANK(CertifiedCrop[[#This Row],[1. Identifiant interne d’exploitation agricole*]]),"",IF(ISERROR(MATCH(CertifiedCrop[[#This Row],[1. Identifiant interne d’exploitation agricole*]],GroupMember[1. Identifiant interne d’exploitation agricole*],0)),FALSE,TRUE))</f>
        <v>1</v>
      </c>
      <c r="K448" s="122" t="b">
        <f t="array" ref="K448">IF(ISBLANK(CertifiedCrop[[#This Row],[2. Produit agricole certifié*]]),"",IF(ISERROR(MATCH(1,(#REF!=CertifiedCrop[[#This Row],[2. Produit agricole certifié*]])*(#REF!=CertifiedCrop[[#This Row],[3. Variété**]]),0)),FALSE,TRUE))</f>
        <v>0</v>
      </c>
      <c r="L448" s="20" t="str">
        <f t="shared" si="35"/>
        <v/>
      </c>
      <c r="M448" s="54" t="str">
        <f t="shared" si="36"/>
        <v/>
      </c>
      <c r="N448" s="54" t="str">
        <f t="shared" si="37"/>
        <v/>
      </c>
      <c r="O448" s="55">
        <f t="shared" si="38"/>
        <v>591.57303370786519</v>
      </c>
      <c r="P448" s="55">
        <f t="shared" si="39"/>
        <v>573.59550561797755</v>
      </c>
      <c r="Q448" s="9" t="str">
        <f ca="1">IFERROR((VLOOKUP(A448,GM_Table,8,FALSE)-SUMIFS(D:D,A:A,A448,B:B,B448,C:C,C448)),"")</f>
        <v/>
      </c>
      <c r="R448" s="9" t="str">
        <f ca="1">IFERROR(CONCATENATE(VLOOKUP(A448,GM_Table,12,FALSE)," ",(VLOOKUP(A448,GM_Table,13,FALSE))),"")</f>
        <v/>
      </c>
    </row>
    <row r="449" spans="1:18" ht="15" x14ac:dyDescent="0.2">
      <c r="A449" s="193" t="s">
        <v>2006</v>
      </c>
      <c r="B449" s="9" t="s">
        <v>3290</v>
      </c>
      <c r="C449" s="9" t="s">
        <v>3291</v>
      </c>
      <c r="D449" s="252">
        <v>1.53</v>
      </c>
      <c r="E449" s="221">
        <v>833</v>
      </c>
      <c r="F449" s="246">
        <v>808</v>
      </c>
      <c r="G449" s="247">
        <v>488</v>
      </c>
      <c r="H449" s="248">
        <v>661</v>
      </c>
      <c r="I449" s="249">
        <v>823</v>
      </c>
      <c r="J449" s="122" t="b">
        <f>IF(ISBLANK(CertifiedCrop[[#This Row],[1. Identifiant interne d’exploitation agricole*]]),"",IF(ISERROR(MATCH(CertifiedCrop[[#This Row],[1. Identifiant interne d’exploitation agricole*]],GroupMember[1. Identifiant interne d’exploitation agricole*],0)),FALSE,TRUE))</f>
        <v>1</v>
      </c>
      <c r="K449" s="122" t="b">
        <f t="array" ref="K449">IF(ISBLANK(CertifiedCrop[[#This Row],[2. Produit agricole certifié*]]),"",IF(ISERROR(MATCH(1,(#REF!=CertifiedCrop[[#This Row],[2. Produit agricole certifié*]])*(#REF!=CertifiedCrop[[#This Row],[3. Variété**]]),0)),FALSE,TRUE))</f>
        <v>0</v>
      </c>
      <c r="L449" s="20" t="str">
        <f t="shared" si="35"/>
        <v/>
      </c>
      <c r="M449" s="54" t="str">
        <f t="shared" si="36"/>
        <v>!</v>
      </c>
      <c r="N449" s="54" t="str">
        <f t="shared" si="37"/>
        <v>!</v>
      </c>
      <c r="O449" s="55">
        <f t="shared" si="38"/>
        <v>544.44444444444446</v>
      </c>
      <c r="P449" s="55">
        <f t="shared" si="39"/>
        <v>528.10457516339864</v>
      </c>
      <c r="Q449" s="9" t="str">
        <f ca="1">IFERROR((VLOOKUP(A449,GM_Table,8,FALSE)-SUMIFS(D:D,A:A,A449,B:B,B449,C:C,C449)),"")</f>
        <v/>
      </c>
      <c r="R449" s="9" t="str">
        <f ca="1">IFERROR(CONCATENATE(VLOOKUP(A449,GM_Table,12,FALSE)," ",(VLOOKUP(A449,GM_Table,13,FALSE))),"")</f>
        <v/>
      </c>
    </row>
    <row r="450" spans="1:18" ht="15" x14ac:dyDescent="0.2">
      <c r="A450" s="193" t="s">
        <v>2009</v>
      </c>
      <c r="B450" s="9" t="s">
        <v>3290</v>
      </c>
      <c r="C450" s="9" t="s">
        <v>3291</v>
      </c>
      <c r="D450" s="252">
        <v>1.7891999999999999</v>
      </c>
      <c r="E450" s="245">
        <v>1134</v>
      </c>
      <c r="F450" s="246">
        <v>1075</v>
      </c>
      <c r="G450" s="247">
        <v>503</v>
      </c>
      <c r="H450" s="248">
        <v>762</v>
      </c>
      <c r="I450" s="249">
        <v>1854</v>
      </c>
      <c r="J450" s="122" t="b">
        <f>IF(ISBLANK(CertifiedCrop[[#This Row],[1. Identifiant interne d’exploitation agricole*]]),"",IF(ISERROR(MATCH(CertifiedCrop[[#This Row],[1. Identifiant interne d’exploitation agricole*]],GroupMember[1. Identifiant interne d’exploitation agricole*],0)),FALSE,TRUE))</f>
        <v>1</v>
      </c>
      <c r="K450" s="122" t="b">
        <f t="array" ref="K450">IF(ISBLANK(CertifiedCrop[[#This Row],[2. Produit agricole certifié*]]),"",IF(ISERROR(MATCH(1,(#REF!=CertifiedCrop[[#This Row],[2. Produit agricole certifié*]])*(#REF!=CertifiedCrop[[#This Row],[3. Variété**]]),0)),FALSE,TRUE))</f>
        <v>0</v>
      </c>
      <c r="L450" s="20" t="str">
        <f t="shared" si="35"/>
        <v/>
      </c>
      <c r="M450" s="54" t="str">
        <f t="shared" si="36"/>
        <v>!</v>
      </c>
      <c r="N450" s="54" t="str">
        <f t="shared" si="37"/>
        <v>!</v>
      </c>
      <c r="O450" s="55">
        <f t="shared" si="38"/>
        <v>633.80281690140851</v>
      </c>
      <c r="P450" s="55">
        <f t="shared" si="39"/>
        <v>600.82718533422758</v>
      </c>
      <c r="Q450" s="9" t="str">
        <f ca="1">IFERROR((VLOOKUP(A450,GM_Table,8,FALSE)-SUMIFS(D:D,A:A,A450,B:B,B450,C:C,C450)),"")</f>
        <v/>
      </c>
      <c r="R450" s="9" t="str">
        <f ca="1">IFERROR(CONCATENATE(VLOOKUP(A450,GM_Table,12,FALSE)," ",(VLOOKUP(A450,GM_Table,13,FALSE))),"")</f>
        <v/>
      </c>
    </row>
    <row r="451" spans="1:18" ht="15" x14ac:dyDescent="0.2">
      <c r="A451" s="193" t="s">
        <v>2013</v>
      </c>
      <c r="B451" s="9" t="s">
        <v>3290</v>
      </c>
      <c r="C451" s="9" t="s">
        <v>3291</v>
      </c>
      <c r="D451" s="252">
        <v>1.71</v>
      </c>
      <c r="E451" s="245">
        <v>1012</v>
      </c>
      <c r="F451" s="246">
        <v>1002</v>
      </c>
      <c r="G451" s="247">
        <v>665</v>
      </c>
      <c r="H451" s="248">
        <v>735</v>
      </c>
      <c r="I451" s="249">
        <v>930</v>
      </c>
      <c r="J451" s="122" t="b">
        <f>IF(ISBLANK(CertifiedCrop[[#This Row],[1. Identifiant interne d’exploitation agricole*]]),"",IF(ISERROR(MATCH(CertifiedCrop[[#This Row],[1. Identifiant interne d’exploitation agricole*]],GroupMember[1. Identifiant interne d’exploitation agricole*],0)),FALSE,TRUE))</f>
        <v>1</v>
      </c>
      <c r="K451" s="122" t="b">
        <f t="array" ref="K451">IF(ISBLANK(CertifiedCrop[[#This Row],[2. Produit agricole certifié*]]),"",IF(ISERROR(MATCH(1,(#REF!=CertifiedCrop[[#This Row],[2. Produit agricole certifié*]])*(#REF!=CertifiedCrop[[#This Row],[3. Variété**]]),0)),FALSE,TRUE))</f>
        <v>0</v>
      </c>
      <c r="L451" s="20" t="str">
        <f t="shared" si="35"/>
        <v/>
      </c>
      <c r="M451" s="54" t="str">
        <f t="shared" si="36"/>
        <v>!</v>
      </c>
      <c r="N451" s="54" t="str">
        <f t="shared" si="37"/>
        <v/>
      </c>
      <c r="O451" s="55">
        <f t="shared" si="38"/>
        <v>591.81286549707602</v>
      </c>
      <c r="P451" s="55">
        <f t="shared" si="39"/>
        <v>585.96491228070181</v>
      </c>
      <c r="Q451" s="9" t="str">
        <f ca="1">IFERROR((VLOOKUP(A451,GM_Table,8,FALSE)-SUMIFS(D:D,A:A,A451,B:B,B451,C:C,C451)),"")</f>
        <v/>
      </c>
      <c r="R451" s="9" t="str">
        <f ca="1">IFERROR(CONCATENATE(VLOOKUP(A451,GM_Table,12,FALSE)," ",(VLOOKUP(A451,GM_Table,13,FALSE))),"")</f>
        <v/>
      </c>
    </row>
    <row r="452" spans="1:18" ht="15" x14ac:dyDescent="0.2">
      <c r="A452" s="193" t="s">
        <v>2016</v>
      </c>
      <c r="B452" s="9" t="s">
        <v>3290</v>
      </c>
      <c r="C452" s="9" t="s">
        <v>3291</v>
      </c>
      <c r="D452" s="252">
        <v>0.92</v>
      </c>
      <c r="E452" s="221">
        <v>527</v>
      </c>
      <c r="F452" s="246">
        <v>489</v>
      </c>
      <c r="G452" s="247">
        <v>489</v>
      </c>
      <c r="H452" s="248">
        <v>393</v>
      </c>
      <c r="I452" s="249">
        <v>545</v>
      </c>
      <c r="J452" s="122" t="b">
        <f>IF(ISBLANK(CertifiedCrop[[#This Row],[1. Identifiant interne d’exploitation agricole*]]),"",IF(ISERROR(MATCH(CertifiedCrop[[#This Row],[1. Identifiant interne d’exploitation agricole*]],GroupMember[1. Identifiant interne d’exploitation agricole*],0)),FALSE,TRUE))</f>
        <v>1</v>
      </c>
      <c r="K452" s="122" t="b">
        <f t="array" ref="K452">IF(ISBLANK(CertifiedCrop[[#This Row],[2. Produit agricole certifié*]]),"",IF(ISERROR(MATCH(1,(#REF!=CertifiedCrop[[#This Row],[2. Produit agricole certifié*]])*(#REF!=CertifiedCrop[[#This Row],[3. Variété**]]),0)),FALSE,TRUE))</f>
        <v>0</v>
      </c>
      <c r="L452" s="20" t="str">
        <f t="shared" si="35"/>
        <v/>
      </c>
      <c r="M452" s="54" t="str">
        <f t="shared" si="36"/>
        <v/>
      </c>
      <c r="N452" s="54" t="str">
        <f t="shared" si="37"/>
        <v/>
      </c>
      <c r="O452" s="55">
        <f t="shared" si="38"/>
        <v>572.82608695652175</v>
      </c>
      <c r="P452" s="55">
        <f t="shared" si="39"/>
        <v>531.52173913043475</v>
      </c>
      <c r="Q452" s="9" t="str">
        <f ca="1">IFERROR((VLOOKUP(A452,GM_Table,8,FALSE)-SUMIFS(D:D,A:A,A452,B:B,B452,C:C,C452)),"")</f>
        <v/>
      </c>
      <c r="R452" s="9" t="str">
        <f ca="1">IFERROR(CONCATENATE(VLOOKUP(A452,GM_Table,12,FALSE)," ",(VLOOKUP(A452,GM_Table,13,FALSE))),"")</f>
        <v/>
      </c>
    </row>
    <row r="453" spans="1:18" ht="15" x14ac:dyDescent="0.2">
      <c r="A453" s="193" t="s">
        <v>2019</v>
      </c>
      <c r="B453" s="9" t="s">
        <v>3290</v>
      </c>
      <c r="C453" s="9" t="s">
        <v>3291</v>
      </c>
      <c r="D453" s="252">
        <v>0.81</v>
      </c>
      <c r="E453" s="221">
        <v>507</v>
      </c>
      <c r="F453" s="246">
        <v>504</v>
      </c>
      <c r="G453" s="247">
        <v>504</v>
      </c>
      <c r="H453" s="248">
        <v>438</v>
      </c>
      <c r="I453" s="249">
        <v>457</v>
      </c>
      <c r="J453" s="122" t="b">
        <f>IF(ISBLANK(CertifiedCrop[[#This Row],[1. Identifiant interne d’exploitation agricole*]]),"",IF(ISERROR(MATCH(CertifiedCrop[[#This Row],[1. Identifiant interne d’exploitation agricole*]],GroupMember[1. Identifiant interne d’exploitation agricole*],0)),FALSE,TRUE))</f>
        <v>1</v>
      </c>
      <c r="K453" s="122" t="b">
        <f t="array" ref="K453">IF(ISBLANK(CertifiedCrop[[#This Row],[2. Produit agricole certifié*]]),"",IF(ISERROR(MATCH(1,(#REF!=CertifiedCrop[[#This Row],[2. Produit agricole certifié*]])*(#REF!=CertifiedCrop[[#This Row],[3. Variété**]]),0)),FALSE,TRUE))</f>
        <v>0</v>
      </c>
      <c r="L453" s="20" t="str">
        <f t="shared" si="35"/>
        <v/>
      </c>
      <c r="M453" s="54" t="str">
        <f t="shared" si="36"/>
        <v/>
      </c>
      <c r="N453" s="54" t="str">
        <f t="shared" si="37"/>
        <v/>
      </c>
      <c r="O453" s="55">
        <f t="shared" si="38"/>
        <v>625.92592592592587</v>
      </c>
      <c r="P453" s="55">
        <f t="shared" si="39"/>
        <v>622.22222222222217</v>
      </c>
      <c r="Q453" s="9" t="str">
        <f ca="1">IFERROR((VLOOKUP(A453,GM_Table,8,FALSE)-SUMIFS(D:D,A:A,A453,B:B,B453,C:C,C453)),"")</f>
        <v/>
      </c>
      <c r="R453" s="9" t="str">
        <f ca="1">IFERROR(CONCATENATE(VLOOKUP(A453,GM_Table,12,FALSE)," ",(VLOOKUP(A453,GM_Table,13,FALSE))),"")</f>
        <v/>
      </c>
    </row>
    <row r="454" spans="1:18" ht="15" x14ac:dyDescent="0.2">
      <c r="A454" s="193" t="s">
        <v>2022</v>
      </c>
      <c r="B454" s="9" t="s">
        <v>3290</v>
      </c>
      <c r="C454" s="9" t="s">
        <v>3291</v>
      </c>
      <c r="D454" s="252">
        <v>1.45</v>
      </c>
      <c r="E454" s="221">
        <v>873</v>
      </c>
      <c r="F454" s="246">
        <v>845</v>
      </c>
      <c r="G454" s="247">
        <v>671</v>
      </c>
      <c r="H454" s="248">
        <v>738</v>
      </c>
      <c r="I454" s="249">
        <v>827</v>
      </c>
      <c r="J454" s="122" t="b">
        <f>IF(ISBLANK(CertifiedCrop[[#This Row],[1. Identifiant interne d’exploitation agricole*]]),"",IF(ISERROR(MATCH(CertifiedCrop[[#This Row],[1. Identifiant interne d’exploitation agricole*]],GroupMember[1. Identifiant interne d’exploitation agricole*],0)),FALSE,TRUE))</f>
        <v>1</v>
      </c>
      <c r="K454" s="122" t="b">
        <f t="array" ref="K454">IF(ISBLANK(CertifiedCrop[[#This Row],[2. Produit agricole certifié*]]),"",IF(ISERROR(MATCH(1,(#REF!=CertifiedCrop[[#This Row],[2. Produit agricole certifié*]])*(#REF!=CertifiedCrop[[#This Row],[3. Variété**]]),0)),FALSE,TRUE))</f>
        <v>0</v>
      </c>
      <c r="L454" s="20" t="str">
        <f t="shared" si="35"/>
        <v/>
      </c>
      <c r="M454" s="54" t="str">
        <f t="shared" si="36"/>
        <v>!</v>
      </c>
      <c r="N454" s="54" t="str">
        <f t="shared" si="37"/>
        <v/>
      </c>
      <c r="O454" s="55">
        <f t="shared" si="38"/>
        <v>602.06896551724139</v>
      </c>
      <c r="P454" s="55">
        <f t="shared" si="39"/>
        <v>582.75862068965523</v>
      </c>
      <c r="Q454" s="9" t="str">
        <f ca="1">IFERROR((VLOOKUP(A454,GM_Table,8,FALSE)-SUMIFS(D:D,A:A,A454,B:B,B454,C:C,C454)),"")</f>
        <v/>
      </c>
      <c r="R454" s="9" t="str">
        <f ca="1">IFERROR(CONCATENATE(VLOOKUP(A454,GM_Table,12,FALSE)," ",(VLOOKUP(A454,GM_Table,13,FALSE))),"")</f>
        <v/>
      </c>
    </row>
    <row r="455" spans="1:18" ht="15" x14ac:dyDescent="0.2">
      <c r="A455" s="193" t="s">
        <v>2023</v>
      </c>
      <c r="B455" s="9" t="s">
        <v>3290</v>
      </c>
      <c r="C455" s="9" t="s">
        <v>3291</v>
      </c>
      <c r="D455" s="252">
        <v>1.84</v>
      </c>
      <c r="E455" s="245">
        <v>1090</v>
      </c>
      <c r="F455" s="246">
        <v>1085</v>
      </c>
      <c r="G455" s="247">
        <v>442</v>
      </c>
      <c r="H455" s="248">
        <v>965</v>
      </c>
      <c r="I455" s="249">
        <v>754</v>
      </c>
      <c r="J455" s="122" t="b">
        <f>IF(ISBLANK(CertifiedCrop[[#This Row],[1. Identifiant interne d’exploitation agricole*]]),"",IF(ISERROR(MATCH(CertifiedCrop[[#This Row],[1. Identifiant interne d’exploitation agricole*]],GroupMember[1. Identifiant interne d’exploitation agricole*],0)),FALSE,TRUE))</f>
        <v>1</v>
      </c>
      <c r="K455" s="122" t="b">
        <f t="array" ref="K455">IF(ISBLANK(CertifiedCrop[[#This Row],[2. Produit agricole certifié*]]),"",IF(ISERROR(MATCH(1,(#REF!=CertifiedCrop[[#This Row],[2. Produit agricole certifié*]])*(#REF!=CertifiedCrop[[#This Row],[3. Variété**]]),0)),FALSE,TRUE))</f>
        <v>0</v>
      </c>
      <c r="L455" s="20" t="str">
        <f t="shared" si="35"/>
        <v/>
      </c>
      <c r="M455" s="54" t="str">
        <f t="shared" si="36"/>
        <v>!</v>
      </c>
      <c r="N455" s="54" t="str">
        <f t="shared" si="37"/>
        <v>!</v>
      </c>
      <c r="O455" s="55">
        <f t="shared" si="38"/>
        <v>592.39130434782601</v>
      </c>
      <c r="P455" s="55">
        <f t="shared" si="39"/>
        <v>589.67391304347825</v>
      </c>
      <c r="Q455" s="9" t="str">
        <f ca="1">IFERROR((VLOOKUP(A455,GM_Table,8,FALSE)-SUMIFS(D:D,A:A,A455,B:B,B455,C:C,C455)),"")</f>
        <v/>
      </c>
      <c r="R455" s="9" t="str">
        <f ca="1">IFERROR(CONCATENATE(VLOOKUP(A455,GM_Table,12,FALSE)," ",(VLOOKUP(A455,GM_Table,13,FALSE))),"")</f>
        <v/>
      </c>
    </row>
    <row r="456" spans="1:18" ht="15" x14ac:dyDescent="0.2">
      <c r="A456" s="193" t="s">
        <v>2025</v>
      </c>
      <c r="B456" s="9" t="s">
        <v>3290</v>
      </c>
      <c r="C456" s="9" t="s">
        <v>3291</v>
      </c>
      <c r="D456" s="252">
        <v>2.44</v>
      </c>
      <c r="E456" s="245">
        <v>1417</v>
      </c>
      <c r="F456" s="246">
        <v>1362</v>
      </c>
      <c r="G456" s="247">
        <v>1132</v>
      </c>
      <c r="H456" s="248">
        <v>1312</v>
      </c>
      <c r="I456" s="249">
        <v>1112</v>
      </c>
      <c r="J456" s="122" t="b">
        <f>IF(ISBLANK(CertifiedCrop[[#This Row],[1. Identifiant interne d’exploitation agricole*]]),"",IF(ISERROR(MATCH(CertifiedCrop[[#This Row],[1. Identifiant interne d’exploitation agricole*]],GroupMember[1. Identifiant interne d’exploitation agricole*],0)),FALSE,TRUE))</f>
        <v>1</v>
      </c>
      <c r="K456" s="122" t="b">
        <f t="array" ref="K456">IF(ISBLANK(CertifiedCrop[[#This Row],[2. Produit agricole certifié*]]),"",IF(ISERROR(MATCH(1,(#REF!=CertifiedCrop[[#This Row],[2. Produit agricole certifié*]])*(#REF!=CertifiedCrop[[#This Row],[3. Variété**]]),0)),FALSE,TRUE))</f>
        <v>0</v>
      </c>
      <c r="L456" s="20" t="str">
        <f t="shared" si="35"/>
        <v/>
      </c>
      <c r="M456" s="54" t="str">
        <f t="shared" si="36"/>
        <v/>
      </c>
      <c r="N456" s="54" t="str">
        <f t="shared" si="37"/>
        <v/>
      </c>
      <c r="O456" s="55">
        <f t="shared" si="38"/>
        <v>580.73770491803282</v>
      </c>
      <c r="P456" s="55">
        <f t="shared" si="39"/>
        <v>558.19672131147547</v>
      </c>
      <c r="Q456" s="9" t="str">
        <f ca="1">IFERROR((VLOOKUP(A456,GM_Table,8,FALSE)-SUMIFS(D:D,A:A,A456,B:B,B456,C:C,C456)),"")</f>
        <v/>
      </c>
      <c r="R456" s="9" t="str">
        <f ca="1">IFERROR(CONCATENATE(VLOOKUP(A456,GM_Table,12,FALSE)," ",(VLOOKUP(A456,GM_Table,13,FALSE))),"")</f>
        <v/>
      </c>
    </row>
    <row r="457" spans="1:18" ht="15" x14ac:dyDescent="0.2">
      <c r="A457" s="193" t="s">
        <v>2027</v>
      </c>
      <c r="B457" s="9" t="s">
        <v>3290</v>
      </c>
      <c r="C457" s="9" t="s">
        <v>3291</v>
      </c>
      <c r="D457" s="252">
        <v>1.0900000000000001</v>
      </c>
      <c r="E457" s="221">
        <v>595</v>
      </c>
      <c r="F457" s="246">
        <v>583</v>
      </c>
      <c r="G457" s="247">
        <v>103</v>
      </c>
      <c r="H457" s="248">
        <v>518</v>
      </c>
      <c r="I457" s="249">
        <v>625</v>
      </c>
      <c r="J457" s="122" t="b">
        <f>IF(ISBLANK(CertifiedCrop[[#This Row],[1. Identifiant interne d’exploitation agricole*]]),"",IF(ISERROR(MATCH(CertifiedCrop[[#This Row],[1. Identifiant interne d’exploitation agricole*]],GroupMember[1. Identifiant interne d’exploitation agricole*],0)),FALSE,TRUE))</f>
        <v>1</v>
      </c>
      <c r="K457" s="122" t="b">
        <f t="array" ref="K457">IF(ISBLANK(CertifiedCrop[[#This Row],[2. Produit agricole certifié*]]),"",IF(ISERROR(MATCH(1,(#REF!=CertifiedCrop[[#This Row],[2. Produit agricole certifié*]])*(#REF!=CertifiedCrop[[#This Row],[3. Variété**]]),0)),FALSE,TRUE))</f>
        <v>0</v>
      </c>
      <c r="L457" s="20" t="str">
        <f t="shared" si="35"/>
        <v/>
      </c>
      <c r="M457" s="54" t="str">
        <f t="shared" si="36"/>
        <v>!</v>
      </c>
      <c r="N457" s="54" t="str">
        <f t="shared" si="37"/>
        <v>!</v>
      </c>
      <c r="O457" s="55">
        <f t="shared" si="38"/>
        <v>545.87155963302746</v>
      </c>
      <c r="P457" s="55">
        <f t="shared" si="39"/>
        <v>534.86238532110087</v>
      </c>
      <c r="Q457" s="9" t="str">
        <f ca="1">IFERROR((VLOOKUP(A457,GM_Table,8,FALSE)-SUMIFS(D:D,A:A,A457,B:B,B457,C:C,C457)),"")</f>
        <v/>
      </c>
      <c r="R457" s="9" t="str">
        <f ca="1">IFERROR(CONCATENATE(VLOOKUP(A457,GM_Table,12,FALSE)," ",(VLOOKUP(A457,GM_Table,13,FALSE))),"")</f>
        <v/>
      </c>
    </row>
    <row r="458" spans="1:18" ht="15" x14ac:dyDescent="0.2">
      <c r="A458" s="193" t="s">
        <v>2031</v>
      </c>
      <c r="B458" s="9" t="s">
        <v>3290</v>
      </c>
      <c r="C458" s="9" t="s">
        <v>3291</v>
      </c>
      <c r="D458" s="252">
        <v>2</v>
      </c>
      <c r="E458" s="245">
        <v>1253</v>
      </c>
      <c r="F458" s="246">
        <v>1204</v>
      </c>
      <c r="G458" s="247">
        <v>822</v>
      </c>
      <c r="H458" s="248">
        <v>1158</v>
      </c>
      <c r="I458" s="249">
        <v>943</v>
      </c>
      <c r="J458" s="122" t="b">
        <f>IF(ISBLANK(CertifiedCrop[[#This Row],[1. Identifiant interne d’exploitation agricole*]]),"",IF(ISERROR(MATCH(CertifiedCrop[[#This Row],[1. Identifiant interne d’exploitation agricole*]],GroupMember[1. Identifiant interne d’exploitation agricole*],0)),FALSE,TRUE))</f>
        <v>1</v>
      </c>
      <c r="K458" s="122" t="b">
        <f t="array" ref="K458">IF(ISBLANK(CertifiedCrop[[#This Row],[2. Produit agricole certifié*]]),"",IF(ISERROR(MATCH(1,(#REF!=CertifiedCrop[[#This Row],[2. Produit agricole certifié*]])*(#REF!=CertifiedCrop[[#This Row],[3. Variété**]]),0)),FALSE,TRUE))</f>
        <v>0</v>
      </c>
      <c r="L458" s="20" t="str">
        <f t="shared" si="35"/>
        <v/>
      </c>
      <c r="M458" s="54" t="str">
        <f t="shared" si="36"/>
        <v>!</v>
      </c>
      <c r="N458" s="54" t="str">
        <f t="shared" si="37"/>
        <v>!</v>
      </c>
      <c r="O458" s="55">
        <f t="shared" si="38"/>
        <v>626.5</v>
      </c>
      <c r="P458" s="55">
        <f t="shared" si="39"/>
        <v>602</v>
      </c>
      <c r="Q458" s="9" t="str">
        <f ca="1">IFERROR((VLOOKUP(A458,GM_Table,8,FALSE)-SUMIFS(D:D,A:A,A458,B:B,B458,C:C,C458)),"")</f>
        <v/>
      </c>
      <c r="R458" s="9" t="str">
        <f ca="1">IFERROR(CONCATENATE(VLOOKUP(A458,GM_Table,12,FALSE)," ",(VLOOKUP(A458,GM_Table,13,FALSE))),"")</f>
        <v/>
      </c>
    </row>
    <row r="459" spans="1:18" ht="15" x14ac:dyDescent="0.2">
      <c r="A459" s="193" t="s">
        <v>2033</v>
      </c>
      <c r="B459" s="9" t="s">
        <v>3290</v>
      </c>
      <c r="C459" s="9" t="s">
        <v>3291</v>
      </c>
      <c r="D459" s="252">
        <v>1.34</v>
      </c>
      <c r="E459" s="221">
        <v>695</v>
      </c>
      <c r="F459" s="246">
        <v>669</v>
      </c>
      <c r="G459" s="247">
        <v>424</v>
      </c>
      <c r="H459" s="248">
        <v>587</v>
      </c>
      <c r="I459" s="249">
        <v>733</v>
      </c>
      <c r="J459" s="122" t="b">
        <f>IF(ISBLANK(CertifiedCrop[[#This Row],[1. Identifiant interne d’exploitation agricole*]]),"",IF(ISERROR(MATCH(CertifiedCrop[[#This Row],[1. Identifiant interne d’exploitation agricole*]],GroupMember[1. Identifiant interne d’exploitation agricole*],0)),FALSE,TRUE))</f>
        <v>1</v>
      </c>
      <c r="K459" s="122" t="b">
        <f t="array" ref="K459">IF(ISBLANK(CertifiedCrop[[#This Row],[2. Produit agricole certifié*]]),"",IF(ISERROR(MATCH(1,(#REF!=CertifiedCrop[[#This Row],[2. Produit agricole certifié*]])*(#REF!=CertifiedCrop[[#This Row],[3. Variété**]]),0)),FALSE,TRUE))</f>
        <v>0</v>
      </c>
      <c r="L459" s="20" t="str">
        <f t="shared" si="35"/>
        <v/>
      </c>
      <c r="M459" s="54" t="str">
        <f t="shared" si="36"/>
        <v>!</v>
      </c>
      <c r="N459" s="54" t="str">
        <f t="shared" si="37"/>
        <v>!</v>
      </c>
      <c r="O459" s="55">
        <f t="shared" si="38"/>
        <v>518.65671641791039</v>
      </c>
      <c r="P459" s="55">
        <f t="shared" si="39"/>
        <v>499.25373134328356</v>
      </c>
      <c r="Q459" s="9" t="str">
        <f ca="1">IFERROR((VLOOKUP(A459,GM_Table,8,FALSE)-SUMIFS(D:D,A:A,A459,B:B,B459,C:C,C459)),"")</f>
        <v/>
      </c>
      <c r="R459" s="9" t="str">
        <f ca="1">IFERROR(CONCATENATE(VLOOKUP(A459,GM_Table,12,FALSE)," ",(VLOOKUP(A459,GM_Table,13,FALSE))),"")</f>
        <v/>
      </c>
    </row>
    <row r="460" spans="1:18" ht="15" x14ac:dyDescent="0.2">
      <c r="A460" s="193" t="s">
        <v>2035</v>
      </c>
      <c r="B460" s="9" t="s">
        <v>3290</v>
      </c>
      <c r="C460" s="9" t="s">
        <v>3291</v>
      </c>
      <c r="D460" s="252">
        <v>1.79</v>
      </c>
      <c r="E460" s="245">
        <v>1051</v>
      </c>
      <c r="F460" s="246">
        <v>1005</v>
      </c>
      <c r="G460" s="247">
        <v>736</v>
      </c>
      <c r="H460" s="248">
        <v>1083</v>
      </c>
      <c r="I460" s="249">
        <v>913</v>
      </c>
      <c r="J460" s="122" t="b">
        <f>IF(ISBLANK(CertifiedCrop[[#This Row],[1. Identifiant interne d’exploitation agricole*]]),"",IF(ISERROR(MATCH(CertifiedCrop[[#This Row],[1. Identifiant interne d’exploitation agricole*]],GroupMember[1. Identifiant interne d’exploitation agricole*],0)),FALSE,TRUE))</f>
        <v>1</v>
      </c>
      <c r="K460" s="122" t="b">
        <f t="array" ref="K460">IF(ISBLANK(CertifiedCrop[[#This Row],[2. Produit agricole certifié*]]),"",IF(ISERROR(MATCH(1,(#REF!=CertifiedCrop[[#This Row],[2. Produit agricole certifié*]])*(#REF!=CertifiedCrop[[#This Row],[3. Variété**]]),0)),FALSE,TRUE))</f>
        <v>0</v>
      </c>
      <c r="L460" s="20" t="str">
        <f t="shared" si="35"/>
        <v/>
      </c>
      <c r="M460" s="54" t="str">
        <f t="shared" si="36"/>
        <v>!</v>
      </c>
      <c r="N460" s="54" t="str">
        <f t="shared" si="37"/>
        <v>!</v>
      </c>
      <c r="O460" s="55">
        <f t="shared" si="38"/>
        <v>587.15083798882677</v>
      </c>
      <c r="P460" s="55">
        <f t="shared" si="39"/>
        <v>561.45251396648041</v>
      </c>
      <c r="Q460" s="9" t="str">
        <f ca="1">IFERROR((VLOOKUP(A460,GM_Table,8,FALSE)-SUMIFS(D:D,A:A,A460,B:B,B460,C:C,C460)),"")</f>
        <v/>
      </c>
      <c r="R460" s="9" t="str">
        <f ca="1">IFERROR(CONCATENATE(VLOOKUP(A460,GM_Table,12,FALSE)," ",(VLOOKUP(A460,GM_Table,13,FALSE))),"")</f>
        <v/>
      </c>
    </row>
    <row r="461" spans="1:18" ht="15" x14ac:dyDescent="0.2">
      <c r="A461" s="193" t="s">
        <v>2039</v>
      </c>
      <c r="B461" s="9" t="s">
        <v>3290</v>
      </c>
      <c r="C461" s="9" t="s">
        <v>3291</v>
      </c>
      <c r="D461" s="252">
        <v>1.66</v>
      </c>
      <c r="E461" s="245">
        <v>1047</v>
      </c>
      <c r="F461" s="246">
        <v>1021</v>
      </c>
      <c r="G461" s="247">
        <v>657</v>
      </c>
      <c r="H461" s="248">
        <v>693</v>
      </c>
      <c r="I461" s="249">
        <v>725</v>
      </c>
      <c r="J461" s="122" t="b">
        <f>IF(ISBLANK(CertifiedCrop[[#This Row],[1. Identifiant interne d’exploitation agricole*]]),"",IF(ISERROR(MATCH(CertifiedCrop[[#This Row],[1. Identifiant interne d’exploitation agricole*]],GroupMember[1. Identifiant interne d’exploitation agricole*],0)),FALSE,TRUE))</f>
        <v>1</v>
      </c>
      <c r="K461" s="122" t="b">
        <f t="array" ref="K461">IF(ISBLANK(CertifiedCrop[[#This Row],[2. Produit agricole certifié*]]),"",IF(ISERROR(MATCH(1,(#REF!=CertifiedCrop[[#This Row],[2. Produit agricole certifié*]])*(#REF!=CertifiedCrop[[#This Row],[3. Variété**]]),0)),FALSE,TRUE))</f>
        <v>0</v>
      </c>
      <c r="L461" s="20" t="str">
        <f t="shared" si="35"/>
        <v/>
      </c>
      <c r="M461" s="54" t="str">
        <f t="shared" si="36"/>
        <v>!</v>
      </c>
      <c r="N461" s="54" t="str">
        <f t="shared" si="37"/>
        <v/>
      </c>
      <c r="O461" s="55">
        <f t="shared" si="38"/>
        <v>630.72289156626505</v>
      </c>
      <c r="P461" s="55">
        <f t="shared" si="39"/>
        <v>615.06024096385545</v>
      </c>
      <c r="Q461" s="9" t="str">
        <f ca="1">IFERROR((VLOOKUP(A461,GM_Table,8,FALSE)-SUMIFS(D:D,A:A,A461,B:B,B461,C:C,C461)),"")</f>
        <v/>
      </c>
      <c r="R461" s="9" t="str">
        <f ca="1">IFERROR(CONCATENATE(VLOOKUP(A461,GM_Table,12,FALSE)," ",(VLOOKUP(A461,GM_Table,13,FALSE))),"")</f>
        <v/>
      </c>
    </row>
    <row r="462" spans="1:18" ht="15" x14ac:dyDescent="0.2">
      <c r="A462" s="193" t="s">
        <v>2043</v>
      </c>
      <c r="B462" s="9" t="s">
        <v>3290</v>
      </c>
      <c r="C462" s="9" t="s">
        <v>3291</v>
      </c>
      <c r="D462" s="252">
        <v>1.33</v>
      </c>
      <c r="E462" s="221">
        <v>801</v>
      </c>
      <c r="F462" s="246">
        <v>795</v>
      </c>
      <c r="G462" s="247">
        <v>339</v>
      </c>
      <c r="H462" s="248">
        <v>668</v>
      </c>
      <c r="I462" s="249">
        <v>700</v>
      </c>
      <c r="J462" s="122" t="b">
        <f>IF(ISBLANK(CertifiedCrop[[#This Row],[1. Identifiant interne d’exploitation agricole*]]),"",IF(ISERROR(MATCH(CertifiedCrop[[#This Row],[1. Identifiant interne d’exploitation agricole*]],GroupMember[1. Identifiant interne d’exploitation agricole*],0)),FALSE,TRUE))</f>
        <v>1</v>
      </c>
      <c r="K462" s="122" t="b">
        <f t="array" ref="K462">IF(ISBLANK(CertifiedCrop[[#This Row],[2. Produit agricole certifié*]]),"",IF(ISERROR(MATCH(1,(#REF!=CertifiedCrop[[#This Row],[2. Produit agricole certifié*]])*(#REF!=CertifiedCrop[[#This Row],[3. Variété**]]),0)),FALSE,TRUE))</f>
        <v>0</v>
      </c>
      <c r="L462" s="20" t="str">
        <f t="shared" si="35"/>
        <v/>
      </c>
      <c r="M462" s="54" t="str">
        <f t="shared" si="36"/>
        <v>!</v>
      </c>
      <c r="N462" s="54" t="str">
        <f t="shared" si="37"/>
        <v>!</v>
      </c>
      <c r="O462" s="55">
        <f t="shared" si="38"/>
        <v>602.25563909774428</v>
      </c>
      <c r="P462" s="55">
        <f t="shared" si="39"/>
        <v>597.74436090225561</v>
      </c>
      <c r="Q462" s="9" t="str">
        <f ca="1">IFERROR((VLOOKUP(A462,GM_Table,8,FALSE)-SUMIFS(D:D,A:A,A462,B:B,B462,C:C,C462)),"")</f>
        <v/>
      </c>
      <c r="R462" s="9" t="str">
        <f ca="1">IFERROR(CONCATENATE(VLOOKUP(A462,GM_Table,12,FALSE)," ",(VLOOKUP(A462,GM_Table,13,FALSE))),"")</f>
        <v/>
      </c>
    </row>
    <row r="463" spans="1:18" ht="15" x14ac:dyDescent="0.2">
      <c r="A463" s="193" t="s">
        <v>2046</v>
      </c>
      <c r="B463" s="9" t="s">
        <v>3290</v>
      </c>
      <c r="C463" s="9" t="s">
        <v>3291</v>
      </c>
      <c r="D463" s="252">
        <v>1.97</v>
      </c>
      <c r="E463" s="245">
        <v>1138</v>
      </c>
      <c r="F463" s="246">
        <v>1089</v>
      </c>
      <c r="G463" s="247">
        <v>450</v>
      </c>
      <c r="H463" s="248">
        <v>698</v>
      </c>
      <c r="I463" s="249">
        <v>795</v>
      </c>
      <c r="J463" s="122" t="b">
        <f>IF(ISBLANK(CertifiedCrop[[#This Row],[1. Identifiant interne d’exploitation agricole*]]),"",IF(ISERROR(MATCH(CertifiedCrop[[#This Row],[1. Identifiant interne d’exploitation agricole*]],GroupMember[1. Identifiant interne d’exploitation agricole*],0)),FALSE,TRUE))</f>
        <v>1</v>
      </c>
      <c r="K463" s="122" t="b">
        <f t="array" ref="K463">IF(ISBLANK(CertifiedCrop[[#This Row],[2. Produit agricole certifié*]]),"",IF(ISERROR(MATCH(1,(#REF!=CertifiedCrop[[#This Row],[2. Produit agricole certifié*]])*(#REF!=CertifiedCrop[[#This Row],[3. Variété**]]),0)),FALSE,TRUE))</f>
        <v>0</v>
      </c>
      <c r="L463" s="20" t="str">
        <f t="shared" si="35"/>
        <v/>
      </c>
      <c r="M463" s="54" t="str">
        <f t="shared" si="36"/>
        <v>!</v>
      </c>
      <c r="N463" s="54" t="str">
        <f t="shared" si="37"/>
        <v>!</v>
      </c>
      <c r="O463" s="55">
        <f t="shared" si="38"/>
        <v>577.6649746192893</v>
      </c>
      <c r="P463" s="55">
        <f t="shared" si="39"/>
        <v>552.79187817258889</v>
      </c>
      <c r="Q463" s="9" t="str">
        <f ca="1">IFERROR((VLOOKUP(A463,GM_Table,8,FALSE)-SUMIFS(D:D,A:A,A463,B:B,B463,C:C,C463)),"")</f>
        <v/>
      </c>
      <c r="R463" s="9" t="str">
        <f ca="1">IFERROR(CONCATENATE(VLOOKUP(A463,GM_Table,12,FALSE)," ",(VLOOKUP(A463,GM_Table,13,FALSE))),"")</f>
        <v/>
      </c>
    </row>
    <row r="464" spans="1:18" ht="15" x14ac:dyDescent="0.2">
      <c r="A464" s="193" t="s">
        <v>2048</v>
      </c>
      <c r="B464" s="9" t="s">
        <v>3290</v>
      </c>
      <c r="C464" s="9" t="s">
        <v>3291</v>
      </c>
      <c r="D464" s="252">
        <v>3.27</v>
      </c>
      <c r="E464" s="245">
        <v>1974</v>
      </c>
      <c r="F464" s="246">
        <v>1865</v>
      </c>
      <c r="G464" s="247">
        <v>1401</v>
      </c>
      <c r="H464" s="248">
        <v>1679</v>
      </c>
      <c r="I464" s="249">
        <v>1871</v>
      </c>
      <c r="J464" s="122" t="b">
        <f>IF(ISBLANK(CertifiedCrop[[#This Row],[1. Identifiant interne d’exploitation agricole*]]),"",IF(ISERROR(MATCH(CertifiedCrop[[#This Row],[1. Identifiant interne d’exploitation agricole*]],GroupMember[1. Identifiant interne d’exploitation agricole*],0)),FALSE,TRUE))</f>
        <v>1</v>
      </c>
      <c r="K464" s="122" t="b">
        <f t="array" ref="K464">IF(ISBLANK(CertifiedCrop[[#This Row],[2. Produit agricole certifié*]]),"",IF(ISERROR(MATCH(1,(#REF!=CertifiedCrop[[#This Row],[2. Produit agricole certifié*]])*(#REF!=CertifiedCrop[[#This Row],[3. Variété**]]),0)),FALSE,TRUE))</f>
        <v>0</v>
      </c>
      <c r="L464" s="20" t="str">
        <f t="shared" si="35"/>
        <v/>
      </c>
      <c r="M464" s="54" t="str">
        <f t="shared" si="36"/>
        <v>!</v>
      </c>
      <c r="N464" s="54" t="str">
        <f t="shared" si="37"/>
        <v/>
      </c>
      <c r="O464" s="55">
        <f t="shared" si="38"/>
        <v>603.66972477064223</v>
      </c>
      <c r="P464" s="55">
        <f t="shared" si="39"/>
        <v>570.33639143730886</v>
      </c>
      <c r="Q464" s="9" t="str">
        <f ca="1">IFERROR((VLOOKUP(A464,GM_Table,8,FALSE)-SUMIFS(D:D,A:A,A464,B:B,B464,C:C,C464)),"")</f>
        <v/>
      </c>
      <c r="R464" s="9" t="str">
        <f ca="1">IFERROR(CONCATENATE(VLOOKUP(A464,GM_Table,12,FALSE)," ",(VLOOKUP(A464,GM_Table,13,FALSE))),"")</f>
        <v/>
      </c>
    </row>
    <row r="465" spans="1:18" ht="15" x14ac:dyDescent="0.2">
      <c r="A465" s="193" t="s">
        <v>2052</v>
      </c>
      <c r="B465" s="9" t="s">
        <v>3290</v>
      </c>
      <c r="C465" s="9" t="s">
        <v>3291</v>
      </c>
      <c r="D465" s="252">
        <v>5.31</v>
      </c>
      <c r="E465" s="245">
        <v>3141</v>
      </c>
      <c r="F465" s="246">
        <v>3056</v>
      </c>
      <c r="G465" s="247">
        <v>2505</v>
      </c>
      <c r="H465" s="248">
        <v>2960</v>
      </c>
      <c r="I465" s="249">
        <v>3191</v>
      </c>
      <c r="J465" s="122" t="b">
        <f>IF(ISBLANK(CertifiedCrop[[#This Row],[1. Identifiant interne d’exploitation agricole*]]),"",IF(ISERROR(MATCH(CertifiedCrop[[#This Row],[1. Identifiant interne d’exploitation agricole*]],GroupMember[1. Identifiant interne d’exploitation agricole*],0)),FALSE,TRUE))</f>
        <v>1</v>
      </c>
      <c r="K465" s="122" t="b">
        <f t="array" ref="K465">IF(ISBLANK(CertifiedCrop[[#This Row],[2. Produit agricole certifié*]]),"",IF(ISERROR(MATCH(1,(#REF!=CertifiedCrop[[#This Row],[2. Produit agricole certifié*]])*(#REF!=CertifiedCrop[[#This Row],[3. Variété**]]),0)),FALSE,TRUE))</f>
        <v>0</v>
      </c>
      <c r="L465" s="20" t="str">
        <f t="shared" si="35"/>
        <v/>
      </c>
      <c r="M465" s="54" t="str">
        <f t="shared" si="36"/>
        <v/>
      </c>
      <c r="N465" s="54" t="str">
        <f t="shared" si="37"/>
        <v/>
      </c>
      <c r="O465" s="55">
        <f t="shared" si="38"/>
        <v>591.52542372881362</v>
      </c>
      <c r="P465" s="55">
        <f t="shared" si="39"/>
        <v>575.51789077212811</v>
      </c>
      <c r="Q465" s="9" t="str">
        <f ca="1">IFERROR((VLOOKUP(A465,GM_Table,8,FALSE)-SUMIFS(D:D,A:A,A465,B:B,B465,C:C,C465)),"")</f>
        <v/>
      </c>
      <c r="R465" s="9" t="str">
        <f ca="1">IFERROR(CONCATENATE(VLOOKUP(A465,GM_Table,12,FALSE)," ",(VLOOKUP(A465,GM_Table,13,FALSE))),"")</f>
        <v/>
      </c>
    </row>
    <row r="466" spans="1:18" ht="15" x14ac:dyDescent="0.2">
      <c r="A466" s="193" t="s">
        <v>2054</v>
      </c>
      <c r="B466" s="9" t="s">
        <v>3290</v>
      </c>
      <c r="C466" s="9" t="s">
        <v>3291</v>
      </c>
      <c r="D466" s="252">
        <v>4.1900000000000004</v>
      </c>
      <c r="E466" s="245">
        <v>2622</v>
      </c>
      <c r="F466" s="246">
        <v>2587</v>
      </c>
      <c r="G466" s="247">
        <v>349</v>
      </c>
      <c r="H466" s="248">
        <v>2250</v>
      </c>
      <c r="I466" s="249">
        <v>1636</v>
      </c>
      <c r="J466" s="122" t="b">
        <f>IF(ISBLANK(CertifiedCrop[[#This Row],[1. Identifiant interne d’exploitation agricole*]]),"",IF(ISERROR(MATCH(CertifiedCrop[[#This Row],[1. Identifiant interne d’exploitation agricole*]],GroupMember[1. Identifiant interne d’exploitation agricole*],0)),FALSE,TRUE))</f>
        <v>1</v>
      </c>
      <c r="K466" s="122" t="b">
        <f t="array" ref="K466">IF(ISBLANK(CertifiedCrop[[#This Row],[2. Produit agricole certifié*]]),"",IF(ISERROR(MATCH(1,(#REF!=CertifiedCrop[[#This Row],[2. Produit agricole certifié*]])*(#REF!=CertifiedCrop[[#This Row],[3. Variété**]]),0)),FALSE,TRUE))</f>
        <v>0</v>
      </c>
      <c r="L466" s="20" t="str">
        <f t="shared" si="35"/>
        <v/>
      </c>
      <c r="M466" s="54" t="str">
        <f t="shared" si="36"/>
        <v>!</v>
      </c>
      <c r="N466" s="54" t="str">
        <f t="shared" si="37"/>
        <v>!</v>
      </c>
      <c r="O466" s="55">
        <f t="shared" si="38"/>
        <v>625.77565632458231</v>
      </c>
      <c r="P466" s="55">
        <f t="shared" si="39"/>
        <v>617.42243436754165</v>
      </c>
      <c r="Q466" s="9" t="str">
        <f ca="1">IFERROR((VLOOKUP(A466,GM_Table,8,FALSE)-SUMIFS(D:D,A:A,A466,B:B,B466,C:C,C466)),"")</f>
        <v/>
      </c>
      <c r="R466" s="9" t="str">
        <f ca="1">IFERROR(CONCATENATE(VLOOKUP(A466,GM_Table,12,FALSE)," ",(VLOOKUP(A466,GM_Table,13,FALSE))),"")</f>
        <v/>
      </c>
    </row>
    <row r="467" spans="1:18" ht="15" x14ac:dyDescent="0.2">
      <c r="A467" s="193" t="s">
        <v>2056</v>
      </c>
      <c r="B467" s="9" t="s">
        <v>3290</v>
      </c>
      <c r="C467" s="9" t="s">
        <v>3291</v>
      </c>
      <c r="D467" s="252">
        <v>1.44</v>
      </c>
      <c r="E467" s="221">
        <v>827</v>
      </c>
      <c r="F467" s="246">
        <v>834</v>
      </c>
      <c r="G467" s="247">
        <v>834</v>
      </c>
      <c r="H467" s="248">
        <v>834</v>
      </c>
      <c r="I467" s="249">
        <v>805</v>
      </c>
      <c r="J467" s="122" t="b">
        <f>IF(ISBLANK(CertifiedCrop[[#This Row],[1. Identifiant interne d’exploitation agricole*]]),"",IF(ISERROR(MATCH(CertifiedCrop[[#This Row],[1. Identifiant interne d’exploitation agricole*]],GroupMember[1. Identifiant interne d’exploitation agricole*],0)),FALSE,TRUE))</f>
        <v>1</v>
      </c>
      <c r="K467" s="122" t="b">
        <f t="array" ref="K467">IF(ISBLANK(CertifiedCrop[[#This Row],[2. Produit agricole certifié*]]),"",IF(ISERROR(MATCH(1,(#REF!=CertifiedCrop[[#This Row],[2. Produit agricole certifié*]])*(#REF!=CertifiedCrop[[#This Row],[3. Variété**]]),0)),FALSE,TRUE))</f>
        <v>0</v>
      </c>
      <c r="L467" s="20" t="str">
        <f t="shared" si="35"/>
        <v/>
      </c>
      <c r="M467" s="54" t="str">
        <f t="shared" si="36"/>
        <v/>
      </c>
      <c r="N467" s="54" t="str">
        <f t="shared" si="37"/>
        <v/>
      </c>
      <c r="O467" s="55">
        <f t="shared" si="38"/>
        <v>574.30555555555554</v>
      </c>
      <c r="P467" s="55">
        <f t="shared" si="39"/>
        <v>579.16666666666674</v>
      </c>
      <c r="Q467" s="9" t="str">
        <f ca="1">IFERROR((VLOOKUP(A467,GM_Table,8,FALSE)-SUMIFS(D:D,A:A,A467,B:B,B467,C:C,C467)),"")</f>
        <v/>
      </c>
      <c r="R467" s="9" t="str">
        <f ca="1">IFERROR(CONCATENATE(VLOOKUP(A467,GM_Table,12,FALSE)," ",(VLOOKUP(A467,GM_Table,13,FALSE))),"")</f>
        <v/>
      </c>
    </row>
    <row r="468" spans="1:18" ht="15" x14ac:dyDescent="0.2">
      <c r="A468" s="193" t="s">
        <v>2058</v>
      </c>
      <c r="B468" s="9" t="s">
        <v>3290</v>
      </c>
      <c r="C468" s="9" t="s">
        <v>3291</v>
      </c>
      <c r="D468" s="252">
        <v>2.34</v>
      </c>
      <c r="E468" s="245">
        <v>1374</v>
      </c>
      <c r="F468" s="246">
        <v>1269</v>
      </c>
      <c r="G468" s="247">
        <v>948</v>
      </c>
      <c r="H468" s="248">
        <v>1321</v>
      </c>
      <c r="I468" s="249">
        <v>1362</v>
      </c>
      <c r="J468" s="122" t="b">
        <f>IF(ISBLANK(CertifiedCrop[[#This Row],[1. Identifiant interne d’exploitation agricole*]]),"",IF(ISERROR(MATCH(CertifiedCrop[[#This Row],[1. Identifiant interne d’exploitation agricole*]],GroupMember[1. Identifiant interne d’exploitation agricole*],0)),FALSE,TRUE))</f>
        <v>1</v>
      </c>
      <c r="K468" s="122" t="b">
        <f t="array" ref="K468">IF(ISBLANK(CertifiedCrop[[#This Row],[2. Produit agricole certifié*]]),"",IF(ISERROR(MATCH(1,(#REF!=CertifiedCrop[[#This Row],[2. Produit agricole certifié*]])*(#REF!=CertifiedCrop[[#This Row],[3. Variété**]]),0)),FALSE,TRUE))</f>
        <v>0</v>
      </c>
      <c r="L468" s="20" t="str">
        <f t="shared" si="35"/>
        <v/>
      </c>
      <c r="M468" s="54" t="str">
        <f t="shared" si="36"/>
        <v>!</v>
      </c>
      <c r="N468" s="54" t="str">
        <f t="shared" si="37"/>
        <v>!</v>
      </c>
      <c r="O468" s="55">
        <f t="shared" si="38"/>
        <v>587.17948717948718</v>
      </c>
      <c r="P468" s="55">
        <f t="shared" si="39"/>
        <v>542.30769230769238</v>
      </c>
      <c r="Q468" s="9" t="str">
        <f ca="1">IFERROR((VLOOKUP(A468,GM_Table,8,FALSE)-SUMIFS(D:D,A:A,A468,B:B,B468,C:C,C468)),"")</f>
        <v/>
      </c>
      <c r="R468" s="9" t="str">
        <f ca="1">IFERROR(CONCATENATE(VLOOKUP(A468,GM_Table,12,FALSE)," ",(VLOOKUP(A468,GM_Table,13,FALSE))),"")</f>
        <v/>
      </c>
    </row>
    <row r="469" spans="1:18" ht="15" x14ac:dyDescent="0.2">
      <c r="A469" s="193" t="s">
        <v>2059</v>
      </c>
      <c r="B469" s="9" t="s">
        <v>3290</v>
      </c>
      <c r="C469" s="9" t="s">
        <v>3291</v>
      </c>
      <c r="D469" s="252">
        <v>2.35</v>
      </c>
      <c r="E469" s="245">
        <v>1183</v>
      </c>
      <c r="F469" s="246">
        <v>1108</v>
      </c>
      <c r="G469" s="247">
        <v>358</v>
      </c>
      <c r="H469" s="248">
        <v>504</v>
      </c>
      <c r="I469" s="249">
        <v>906</v>
      </c>
      <c r="J469" s="122" t="b">
        <f>IF(ISBLANK(CertifiedCrop[[#This Row],[1. Identifiant interne d’exploitation agricole*]]),"",IF(ISERROR(MATCH(CertifiedCrop[[#This Row],[1. Identifiant interne d’exploitation agricole*]],GroupMember[1. Identifiant interne d’exploitation agricole*],0)),FALSE,TRUE))</f>
        <v>1</v>
      </c>
      <c r="K469" s="122" t="b">
        <f t="array" ref="K469">IF(ISBLANK(CertifiedCrop[[#This Row],[2. Produit agricole certifié*]]),"",IF(ISERROR(MATCH(1,(#REF!=CertifiedCrop[[#This Row],[2. Produit agricole certifié*]])*(#REF!=CertifiedCrop[[#This Row],[3. Variété**]]),0)),FALSE,TRUE))</f>
        <v>0</v>
      </c>
      <c r="L469" s="20" t="str">
        <f t="shared" si="35"/>
        <v/>
      </c>
      <c r="M469" s="54" t="str">
        <f t="shared" si="36"/>
        <v>!</v>
      </c>
      <c r="N469" s="54" t="str">
        <f t="shared" si="37"/>
        <v>!</v>
      </c>
      <c r="O469" s="55">
        <f t="shared" si="38"/>
        <v>503.40425531914894</v>
      </c>
      <c r="P469" s="55">
        <f t="shared" si="39"/>
        <v>471.48936170212767</v>
      </c>
      <c r="Q469" s="9" t="str">
        <f ca="1">IFERROR((VLOOKUP(A469,GM_Table,8,FALSE)-SUMIFS(D:D,A:A,A469,B:B,B469,C:C,C469)),"")</f>
        <v/>
      </c>
      <c r="R469" s="9" t="str">
        <f ca="1">IFERROR(CONCATENATE(VLOOKUP(A469,GM_Table,12,FALSE)," ",(VLOOKUP(A469,GM_Table,13,FALSE))),"")</f>
        <v/>
      </c>
    </row>
    <row r="470" spans="1:18" ht="15" x14ac:dyDescent="0.2">
      <c r="A470" s="193" t="s">
        <v>2061</v>
      </c>
      <c r="B470" s="9" t="s">
        <v>3290</v>
      </c>
      <c r="C470" s="9" t="s">
        <v>3291</v>
      </c>
      <c r="D470" s="252">
        <v>4.21</v>
      </c>
      <c r="E470" s="245">
        <v>2431</v>
      </c>
      <c r="F470" s="246">
        <v>2362</v>
      </c>
      <c r="G470" s="247">
        <v>327</v>
      </c>
      <c r="H470" s="248">
        <v>1878</v>
      </c>
      <c r="I470" s="249">
        <v>2288</v>
      </c>
      <c r="J470" s="122" t="b">
        <f>IF(ISBLANK(CertifiedCrop[[#This Row],[1. Identifiant interne d’exploitation agricole*]]),"",IF(ISERROR(MATCH(CertifiedCrop[[#This Row],[1. Identifiant interne d’exploitation agricole*]],GroupMember[1. Identifiant interne d’exploitation agricole*],0)),FALSE,TRUE))</f>
        <v>1</v>
      </c>
      <c r="K470" s="122" t="b">
        <f t="array" ref="K470">IF(ISBLANK(CertifiedCrop[[#This Row],[2. Produit agricole certifié*]]),"",IF(ISERROR(MATCH(1,(#REF!=CertifiedCrop[[#This Row],[2. Produit agricole certifié*]])*(#REF!=CertifiedCrop[[#This Row],[3. Variété**]]),0)),FALSE,TRUE))</f>
        <v>0</v>
      </c>
      <c r="L470" s="20" t="str">
        <f t="shared" si="35"/>
        <v/>
      </c>
      <c r="M470" s="54" t="str">
        <f t="shared" si="36"/>
        <v>!</v>
      </c>
      <c r="N470" s="54" t="str">
        <f t="shared" si="37"/>
        <v>!</v>
      </c>
      <c r="O470" s="55">
        <f t="shared" si="38"/>
        <v>577.43467933491684</v>
      </c>
      <c r="P470" s="55">
        <f t="shared" si="39"/>
        <v>561.04513064133016</v>
      </c>
      <c r="Q470" s="9" t="str">
        <f ca="1">IFERROR((VLOOKUP(A470,GM_Table,8,FALSE)-SUMIFS(D:D,A:A,A470,B:B,B470,C:C,C470)),"")</f>
        <v/>
      </c>
      <c r="R470" s="9" t="str">
        <f ca="1">IFERROR(CONCATENATE(VLOOKUP(A470,GM_Table,12,FALSE)," ",(VLOOKUP(A470,GM_Table,13,FALSE))),"")</f>
        <v/>
      </c>
    </row>
    <row r="471" spans="1:18" ht="15" x14ac:dyDescent="0.2">
      <c r="A471" s="193" t="s">
        <v>2063</v>
      </c>
      <c r="B471" s="9" t="s">
        <v>3290</v>
      </c>
      <c r="C471" s="9" t="s">
        <v>3291</v>
      </c>
      <c r="D471" s="252">
        <v>1.72</v>
      </c>
      <c r="E471" s="245">
        <v>1001</v>
      </c>
      <c r="F471" s="246">
        <v>965</v>
      </c>
      <c r="G471" s="247">
        <v>50</v>
      </c>
      <c r="H471" s="248">
        <v>362</v>
      </c>
      <c r="I471" s="249">
        <v>712</v>
      </c>
      <c r="J471" s="122" t="b">
        <f>IF(ISBLANK(CertifiedCrop[[#This Row],[1. Identifiant interne d’exploitation agricole*]]),"",IF(ISERROR(MATCH(CertifiedCrop[[#This Row],[1. Identifiant interne d’exploitation agricole*]],GroupMember[1. Identifiant interne d’exploitation agricole*],0)),FALSE,TRUE))</f>
        <v>1</v>
      </c>
      <c r="K471" s="122" t="b">
        <f t="array" ref="K471">IF(ISBLANK(CertifiedCrop[[#This Row],[2. Produit agricole certifié*]]),"",IF(ISERROR(MATCH(1,(#REF!=CertifiedCrop[[#This Row],[2. Produit agricole certifié*]])*(#REF!=CertifiedCrop[[#This Row],[3. Variété**]]),0)),FALSE,TRUE))</f>
        <v>0</v>
      </c>
      <c r="L471" s="20" t="str">
        <f t="shared" si="35"/>
        <v/>
      </c>
      <c r="M471" s="54" t="str">
        <f t="shared" si="36"/>
        <v>!</v>
      </c>
      <c r="N471" s="54" t="str">
        <f t="shared" si="37"/>
        <v>!</v>
      </c>
      <c r="O471" s="55">
        <f t="shared" si="38"/>
        <v>581.97674418604652</v>
      </c>
      <c r="P471" s="55">
        <f t="shared" si="39"/>
        <v>561.04651162790697</v>
      </c>
      <c r="Q471" s="9" t="str">
        <f ca="1">IFERROR((VLOOKUP(A471,GM_Table,8,FALSE)-SUMIFS(D:D,A:A,A471,B:B,B471,C:C,C471)),"")</f>
        <v/>
      </c>
      <c r="R471" s="9" t="str">
        <f ca="1">IFERROR(CONCATENATE(VLOOKUP(A471,GM_Table,12,FALSE)," ",(VLOOKUP(A471,GM_Table,13,FALSE))),"")</f>
        <v/>
      </c>
    </row>
    <row r="472" spans="1:18" ht="15" x14ac:dyDescent="0.2">
      <c r="A472" s="193" t="s">
        <v>2066</v>
      </c>
      <c r="B472" s="9" t="s">
        <v>3290</v>
      </c>
      <c r="C472" s="9" t="s">
        <v>3291</v>
      </c>
      <c r="D472" s="252">
        <v>2.41</v>
      </c>
      <c r="E472" s="245">
        <v>1510</v>
      </c>
      <c r="F472" s="246">
        <v>1452</v>
      </c>
      <c r="G472" s="247">
        <v>737</v>
      </c>
      <c r="H472" s="248">
        <v>990</v>
      </c>
      <c r="I472" s="249">
        <v>956</v>
      </c>
      <c r="J472" s="122" t="b">
        <f>IF(ISBLANK(CertifiedCrop[[#This Row],[1. Identifiant interne d’exploitation agricole*]]),"",IF(ISERROR(MATCH(CertifiedCrop[[#This Row],[1. Identifiant interne d’exploitation agricole*]],GroupMember[1. Identifiant interne d’exploitation agricole*],0)),FALSE,TRUE))</f>
        <v>1</v>
      </c>
      <c r="K472" s="122" t="b">
        <f t="array" ref="K472">IF(ISBLANK(CertifiedCrop[[#This Row],[2. Produit agricole certifié*]]),"",IF(ISERROR(MATCH(1,(#REF!=CertifiedCrop[[#This Row],[2. Produit agricole certifié*]])*(#REF!=CertifiedCrop[[#This Row],[3. Variété**]]),0)),FALSE,TRUE))</f>
        <v>0</v>
      </c>
      <c r="L472" s="20" t="str">
        <f t="shared" si="35"/>
        <v/>
      </c>
      <c r="M472" s="54" t="str">
        <f t="shared" si="36"/>
        <v>!</v>
      </c>
      <c r="N472" s="54" t="str">
        <f t="shared" si="37"/>
        <v>!</v>
      </c>
      <c r="O472" s="55">
        <f t="shared" si="38"/>
        <v>626.55601659751039</v>
      </c>
      <c r="P472" s="55">
        <f t="shared" si="39"/>
        <v>602.48962655601656</v>
      </c>
      <c r="Q472" s="9" t="str">
        <f ca="1">IFERROR((VLOOKUP(A472,GM_Table,8,FALSE)-SUMIFS(D:D,A:A,A472,B:B,B472,C:C,C472)),"")</f>
        <v/>
      </c>
      <c r="R472" s="9" t="str">
        <f ca="1">IFERROR(CONCATENATE(VLOOKUP(A472,GM_Table,12,FALSE)," ",(VLOOKUP(A472,GM_Table,13,FALSE))),"")</f>
        <v/>
      </c>
    </row>
    <row r="473" spans="1:18" ht="15" x14ac:dyDescent="0.2">
      <c r="A473" s="193" t="s">
        <v>2069</v>
      </c>
      <c r="B473" s="9" t="s">
        <v>3290</v>
      </c>
      <c r="C473" s="9" t="s">
        <v>3291</v>
      </c>
      <c r="D473" s="252">
        <v>1.77</v>
      </c>
      <c r="E473" s="245">
        <v>1047</v>
      </c>
      <c r="F473" s="246">
        <v>1006</v>
      </c>
      <c r="G473" s="247">
        <v>717</v>
      </c>
      <c r="H473" s="248">
        <v>906</v>
      </c>
      <c r="I473" s="249">
        <v>968</v>
      </c>
      <c r="J473" s="122" t="b">
        <f>IF(ISBLANK(CertifiedCrop[[#This Row],[1. Identifiant interne d’exploitation agricole*]]),"",IF(ISERROR(MATCH(CertifiedCrop[[#This Row],[1. Identifiant interne d’exploitation agricole*]],GroupMember[1. Identifiant interne d’exploitation agricole*],0)),FALSE,TRUE))</f>
        <v>1</v>
      </c>
      <c r="K473" s="122" t="b">
        <f t="array" ref="K473">IF(ISBLANK(CertifiedCrop[[#This Row],[2. Produit agricole certifié*]]),"",IF(ISERROR(MATCH(1,(#REF!=CertifiedCrop[[#This Row],[2. Produit agricole certifié*]])*(#REF!=CertifiedCrop[[#This Row],[3. Variété**]]),0)),FALSE,TRUE))</f>
        <v>0</v>
      </c>
      <c r="L473" s="20" t="str">
        <f t="shared" si="35"/>
        <v/>
      </c>
      <c r="M473" s="54" t="str">
        <f t="shared" si="36"/>
        <v>!</v>
      </c>
      <c r="N473" s="54" t="str">
        <f t="shared" si="37"/>
        <v/>
      </c>
      <c r="O473" s="55">
        <f t="shared" si="38"/>
        <v>591.52542372881351</v>
      </c>
      <c r="P473" s="55">
        <f t="shared" si="39"/>
        <v>568.36158192090397</v>
      </c>
      <c r="Q473" s="9" t="str">
        <f ca="1">IFERROR((VLOOKUP(A473,GM_Table,8,FALSE)-SUMIFS(D:D,A:A,A473,B:B,B473,C:C,C473)),"")</f>
        <v/>
      </c>
      <c r="R473" s="9" t="str">
        <f ca="1">IFERROR(CONCATENATE(VLOOKUP(A473,GM_Table,12,FALSE)," ",(VLOOKUP(A473,GM_Table,13,FALSE))),"")</f>
        <v/>
      </c>
    </row>
    <row r="474" spans="1:18" ht="15" x14ac:dyDescent="0.2">
      <c r="A474" s="193" t="s">
        <v>2072</v>
      </c>
      <c r="B474" s="9" t="s">
        <v>3290</v>
      </c>
      <c r="C474" s="9" t="s">
        <v>3291</v>
      </c>
      <c r="D474" s="252">
        <v>2.81</v>
      </c>
      <c r="E474" s="245">
        <v>1533</v>
      </c>
      <c r="F474" s="246">
        <v>1454</v>
      </c>
      <c r="G474" s="247">
        <v>1358</v>
      </c>
      <c r="H474" s="248">
        <v>1390</v>
      </c>
      <c r="I474" s="249">
        <v>1613</v>
      </c>
      <c r="J474" s="122" t="b">
        <f>IF(ISBLANK(CertifiedCrop[[#This Row],[1. Identifiant interne d’exploitation agricole*]]),"",IF(ISERROR(MATCH(CertifiedCrop[[#This Row],[1. Identifiant interne d’exploitation agricole*]],GroupMember[1. Identifiant interne d’exploitation agricole*],0)),FALSE,TRUE))</f>
        <v>1</v>
      </c>
      <c r="K474" s="122" t="b">
        <f t="array" ref="K474">IF(ISBLANK(CertifiedCrop[[#This Row],[2. Produit agricole certifié*]]),"",IF(ISERROR(MATCH(1,(#REF!=CertifiedCrop[[#This Row],[2. Produit agricole certifié*]])*(#REF!=CertifiedCrop[[#This Row],[3. Variété**]]),0)),FALSE,TRUE))</f>
        <v>0</v>
      </c>
      <c r="L474" s="20" t="str">
        <f t="shared" si="35"/>
        <v/>
      </c>
      <c r="M474" s="54" t="str">
        <f t="shared" si="36"/>
        <v/>
      </c>
      <c r="N474" s="54" t="str">
        <f t="shared" si="37"/>
        <v/>
      </c>
      <c r="O474" s="55">
        <f t="shared" si="38"/>
        <v>545.55160142348757</v>
      </c>
      <c r="P474" s="55">
        <f t="shared" si="39"/>
        <v>517.43772241992883</v>
      </c>
      <c r="Q474" s="9" t="str">
        <f ca="1">IFERROR((VLOOKUP(A474,GM_Table,8,FALSE)-SUMIFS(D:D,A:A,A474,B:B,B474,C:C,C474)),"")</f>
        <v/>
      </c>
      <c r="R474" s="9" t="str">
        <f ca="1">IFERROR(CONCATENATE(VLOOKUP(A474,GM_Table,12,FALSE)," ",(VLOOKUP(A474,GM_Table,13,FALSE))),"")</f>
        <v/>
      </c>
    </row>
    <row r="475" spans="1:18" ht="15" x14ac:dyDescent="0.2">
      <c r="A475" s="193" t="s">
        <v>2075</v>
      </c>
      <c r="B475" s="9" t="s">
        <v>3290</v>
      </c>
      <c r="C475" s="9" t="s">
        <v>3291</v>
      </c>
      <c r="D475" s="252">
        <v>1.75</v>
      </c>
      <c r="E475" s="245">
        <v>1081</v>
      </c>
      <c r="F475" s="246">
        <v>1074</v>
      </c>
      <c r="G475" s="247">
        <v>859</v>
      </c>
      <c r="H475" s="248">
        <v>600</v>
      </c>
      <c r="I475" s="249">
        <v>964</v>
      </c>
      <c r="J475" s="122" t="b">
        <f>IF(ISBLANK(CertifiedCrop[[#This Row],[1. Identifiant interne d’exploitation agricole*]]),"",IF(ISERROR(MATCH(CertifiedCrop[[#This Row],[1. Identifiant interne d’exploitation agricole*]],GroupMember[1. Identifiant interne d’exploitation agricole*],0)),FALSE,TRUE))</f>
        <v>1</v>
      </c>
      <c r="K475" s="122" t="b">
        <f t="array" ref="K475">IF(ISBLANK(CertifiedCrop[[#This Row],[2. Produit agricole certifié*]]),"",IF(ISERROR(MATCH(1,(#REF!=CertifiedCrop[[#This Row],[2. Produit agricole certifié*]])*(#REF!=CertifiedCrop[[#This Row],[3. Variété**]]),0)),FALSE,TRUE))</f>
        <v>0</v>
      </c>
      <c r="L475" s="20" t="str">
        <f t="shared" si="35"/>
        <v/>
      </c>
      <c r="M475" s="54" t="str">
        <f t="shared" si="36"/>
        <v>!</v>
      </c>
      <c r="N475" s="54" t="str">
        <f t="shared" si="37"/>
        <v>!</v>
      </c>
      <c r="O475" s="55">
        <f t="shared" si="38"/>
        <v>617.71428571428567</v>
      </c>
      <c r="P475" s="55">
        <f t="shared" si="39"/>
        <v>613.71428571428567</v>
      </c>
      <c r="Q475" s="9" t="str">
        <f ca="1">IFERROR((VLOOKUP(A475,GM_Table,8,FALSE)-SUMIFS(D:D,A:A,A475,B:B,B475,C:C,C475)),"")</f>
        <v/>
      </c>
      <c r="R475" s="9" t="str">
        <f ca="1">IFERROR(CONCATENATE(VLOOKUP(A475,GM_Table,12,FALSE)," ",(VLOOKUP(A475,GM_Table,13,FALSE))),"")</f>
        <v/>
      </c>
    </row>
    <row r="476" spans="1:18" ht="15" x14ac:dyDescent="0.2">
      <c r="A476" s="193" t="s">
        <v>2078</v>
      </c>
      <c r="B476" s="9" t="s">
        <v>3290</v>
      </c>
      <c r="C476" s="9" t="s">
        <v>3291</v>
      </c>
      <c r="D476" s="252">
        <v>2.9485999999999999</v>
      </c>
      <c r="E476" s="245">
        <v>1705</v>
      </c>
      <c r="F476" s="246">
        <v>1689</v>
      </c>
      <c r="G476" s="247">
        <v>281</v>
      </c>
      <c r="H476" s="248">
        <v>1584</v>
      </c>
      <c r="I476" s="249">
        <v>1140</v>
      </c>
      <c r="J476" s="122" t="b">
        <f>IF(ISBLANK(CertifiedCrop[[#This Row],[1. Identifiant interne d’exploitation agricole*]]),"",IF(ISERROR(MATCH(CertifiedCrop[[#This Row],[1. Identifiant interne d’exploitation agricole*]],GroupMember[1. Identifiant interne d’exploitation agricole*],0)),FALSE,TRUE))</f>
        <v>1</v>
      </c>
      <c r="K476" s="122" t="b">
        <f t="array" ref="K476">IF(ISBLANK(CertifiedCrop[[#This Row],[2. Produit agricole certifié*]]),"",IF(ISERROR(MATCH(1,(#REF!=CertifiedCrop[[#This Row],[2. Produit agricole certifié*]])*(#REF!=CertifiedCrop[[#This Row],[3. Variété**]]),0)),FALSE,TRUE))</f>
        <v>0</v>
      </c>
      <c r="L476" s="20" t="str">
        <f t="shared" si="35"/>
        <v/>
      </c>
      <c r="M476" s="54" t="str">
        <f t="shared" si="36"/>
        <v>!</v>
      </c>
      <c r="N476" s="54" t="str">
        <f t="shared" si="37"/>
        <v>!</v>
      </c>
      <c r="O476" s="55">
        <f t="shared" si="38"/>
        <v>578.24052092518491</v>
      </c>
      <c r="P476" s="55">
        <f t="shared" si="39"/>
        <v>572.8142169165028</v>
      </c>
      <c r="Q476" s="9" t="str">
        <f ca="1">IFERROR((VLOOKUP(A476,GM_Table,8,FALSE)-SUMIFS(D:D,A:A,A476,B:B,B476,C:C,C476)),"")</f>
        <v/>
      </c>
      <c r="R476" s="9" t="str">
        <f ca="1">IFERROR(CONCATENATE(VLOOKUP(A476,GM_Table,12,FALSE)," ",(VLOOKUP(A476,GM_Table,13,FALSE))),"")</f>
        <v/>
      </c>
    </row>
    <row r="477" spans="1:18" ht="15" x14ac:dyDescent="0.2">
      <c r="A477" s="193" t="s">
        <v>2081</v>
      </c>
      <c r="B477" s="9" t="s">
        <v>3290</v>
      </c>
      <c r="C477" s="9" t="s">
        <v>3291</v>
      </c>
      <c r="D477" s="252">
        <v>2.02</v>
      </c>
      <c r="E477" s="245">
        <v>1268</v>
      </c>
      <c r="F477" s="246">
        <v>1203</v>
      </c>
      <c r="G477" s="247">
        <v>543</v>
      </c>
      <c r="H477" s="248">
        <v>837</v>
      </c>
      <c r="I477" s="249">
        <v>804</v>
      </c>
      <c r="J477" s="122" t="b">
        <f>IF(ISBLANK(CertifiedCrop[[#This Row],[1. Identifiant interne d’exploitation agricole*]]),"",IF(ISERROR(MATCH(CertifiedCrop[[#This Row],[1. Identifiant interne d’exploitation agricole*]],GroupMember[1. Identifiant interne d’exploitation agricole*],0)),FALSE,TRUE))</f>
        <v>1</v>
      </c>
      <c r="K477" s="122" t="b">
        <f t="array" ref="K477">IF(ISBLANK(CertifiedCrop[[#This Row],[2. Produit agricole certifié*]]),"",IF(ISERROR(MATCH(1,(#REF!=CertifiedCrop[[#This Row],[2. Produit agricole certifié*]])*(#REF!=CertifiedCrop[[#This Row],[3. Variété**]]),0)),FALSE,TRUE))</f>
        <v>0</v>
      </c>
      <c r="L477" s="20" t="str">
        <f t="shared" si="35"/>
        <v/>
      </c>
      <c r="M477" s="54" t="str">
        <f t="shared" si="36"/>
        <v>!</v>
      </c>
      <c r="N477" s="54" t="str">
        <f t="shared" si="37"/>
        <v>!</v>
      </c>
      <c r="O477" s="55">
        <f t="shared" si="38"/>
        <v>627.7227722772277</v>
      </c>
      <c r="P477" s="55">
        <f t="shared" si="39"/>
        <v>595.54455445544556</v>
      </c>
      <c r="Q477" s="9" t="str">
        <f ca="1">IFERROR((VLOOKUP(A477,GM_Table,8,FALSE)-SUMIFS(D:D,A:A,A477,B:B,B477,C:C,C477)),"")</f>
        <v/>
      </c>
      <c r="R477" s="9" t="str">
        <f ca="1">IFERROR(CONCATENATE(VLOOKUP(A477,GM_Table,12,FALSE)," ",(VLOOKUP(A477,GM_Table,13,FALSE))),"")</f>
        <v/>
      </c>
    </row>
    <row r="478" spans="1:18" ht="15" x14ac:dyDescent="0.2">
      <c r="A478" s="193" t="s">
        <v>2083</v>
      </c>
      <c r="B478" s="9" t="s">
        <v>3290</v>
      </c>
      <c r="C478" s="9" t="s">
        <v>3291</v>
      </c>
      <c r="D478" s="252">
        <v>3.22</v>
      </c>
      <c r="E478" s="245">
        <v>2027</v>
      </c>
      <c r="F478" s="246">
        <v>1895</v>
      </c>
      <c r="G478" s="247">
        <v>1316</v>
      </c>
      <c r="H478" s="248">
        <v>1659</v>
      </c>
      <c r="I478" s="249">
        <v>1569</v>
      </c>
      <c r="J478" s="122" t="b">
        <f>IF(ISBLANK(CertifiedCrop[[#This Row],[1. Identifiant interne d’exploitation agricole*]]),"",IF(ISERROR(MATCH(CertifiedCrop[[#This Row],[1. Identifiant interne d’exploitation agricole*]],GroupMember[1. Identifiant interne d’exploitation agricole*],0)),FALSE,TRUE))</f>
        <v>1</v>
      </c>
      <c r="K478" s="122" t="b">
        <f t="array" ref="K478">IF(ISBLANK(CertifiedCrop[[#This Row],[2. Produit agricole certifié*]]),"",IF(ISERROR(MATCH(1,(#REF!=CertifiedCrop[[#This Row],[2. Produit agricole certifié*]])*(#REF!=CertifiedCrop[[#This Row],[3. Variété**]]),0)),FALSE,TRUE))</f>
        <v>0</v>
      </c>
      <c r="L478" s="20" t="str">
        <f t="shared" si="35"/>
        <v/>
      </c>
      <c r="M478" s="54" t="str">
        <f t="shared" si="36"/>
        <v>!</v>
      </c>
      <c r="N478" s="54" t="str">
        <f t="shared" si="37"/>
        <v/>
      </c>
      <c r="O478" s="55">
        <f t="shared" si="38"/>
        <v>629.50310559006209</v>
      </c>
      <c r="P478" s="55">
        <f t="shared" si="39"/>
        <v>588.50931677018627</v>
      </c>
      <c r="Q478" s="9" t="str">
        <f ca="1">IFERROR((VLOOKUP(A478,GM_Table,8,FALSE)-SUMIFS(D:D,A:A,A478,B:B,B478,C:C,C478)),"")</f>
        <v/>
      </c>
      <c r="R478" s="9" t="str">
        <f ca="1">IFERROR(CONCATENATE(VLOOKUP(A478,GM_Table,12,FALSE)," ",(VLOOKUP(A478,GM_Table,13,FALSE))),"")</f>
        <v/>
      </c>
    </row>
    <row r="479" spans="1:18" ht="15" x14ac:dyDescent="0.2">
      <c r="A479" s="193" t="s">
        <v>2086</v>
      </c>
      <c r="B479" s="9" t="s">
        <v>3290</v>
      </c>
      <c r="C479" s="9" t="s">
        <v>3291</v>
      </c>
      <c r="D479" s="252">
        <v>3.02</v>
      </c>
      <c r="E479" s="245">
        <v>1792</v>
      </c>
      <c r="F479" s="246">
        <v>1685</v>
      </c>
      <c r="G479" s="247">
        <v>1110</v>
      </c>
      <c r="H479" s="248">
        <v>1592</v>
      </c>
      <c r="I479" s="249">
        <v>1078</v>
      </c>
      <c r="J479" s="122" t="b">
        <f>IF(ISBLANK(CertifiedCrop[[#This Row],[1. Identifiant interne d’exploitation agricole*]]),"",IF(ISERROR(MATCH(CertifiedCrop[[#This Row],[1. Identifiant interne d’exploitation agricole*]],GroupMember[1. Identifiant interne d’exploitation agricole*],0)),FALSE,TRUE))</f>
        <v>1</v>
      </c>
      <c r="K479" s="122" t="b">
        <f t="array" ref="K479">IF(ISBLANK(CertifiedCrop[[#This Row],[2. Produit agricole certifié*]]),"",IF(ISERROR(MATCH(1,(#REF!=CertifiedCrop[[#This Row],[2. Produit agricole certifié*]])*(#REF!=CertifiedCrop[[#This Row],[3. Variété**]]),0)),FALSE,TRUE))</f>
        <v>0</v>
      </c>
      <c r="L479" s="20" t="str">
        <f t="shared" si="35"/>
        <v/>
      </c>
      <c r="M479" s="54" t="str">
        <f t="shared" si="36"/>
        <v>!</v>
      </c>
      <c r="N479" s="54" t="str">
        <f t="shared" si="37"/>
        <v>!</v>
      </c>
      <c r="O479" s="55">
        <f t="shared" si="38"/>
        <v>593.37748344370857</v>
      </c>
      <c r="P479" s="55">
        <f t="shared" si="39"/>
        <v>557.94701986754967</v>
      </c>
      <c r="Q479" s="9" t="str">
        <f ca="1">IFERROR((VLOOKUP(A479,GM_Table,8,FALSE)-SUMIFS(D:D,A:A,A479,B:B,B479,C:C,C479)),"")</f>
        <v/>
      </c>
      <c r="R479" s="9" t="str">
        <f ca="1">IFERROR(CONCATENATE(VLOOKUP(A479,GM_Table,12,FALSE)," ",(VLOOKUP(A479,GM_Table,13,FALSE))),"")</f>
        <v/>
      </c>
    </row>
    <row r="480" spans="1:18" ht="15" x14ac:dyDescent="0.2">
      <c r="A480" s="193" t="s">
        <v>2088</v>
      </c>
      <c r="B480" s="9" t="s">
        <v>3290</v>
      </c>
      <c r="C480" s="9" t="s">
        <v>3291</v>
      </c>
      <c r="D480" s="252">
        <v>0.65</v>
      </c>
      <c r="E480" s="221">
        <v>375</v>
      </c>
      <c r="F480" s="246">
        <v>356</v>
      </c>
      <c r="G480" s="247">
        <v>120</v>
      </c>
      <c r="H480" s="248">
        <v>111</v>
      </c>
      <c r="I480" s="249">
        <v>378</v>
      </c>
      <c r="J480" s="122" t="b">
        <f>IF(ISBLANK(CertifiedCrop[[#This Row],[1. Identifiant interne d’exploitation agricole*]]),"",IF(ISERROR(MATCH(CertifiedCrop[[#This Row],[1. Identifiant interne d’exploitation agricole*]],GroupMember[1. Identifiant interne d’exploitation agricole*],0)),FALSE,TRUE))</f>
        <v>1</v>
      </c>
      <c r="K480" s="122" t="b">
        <f t="array" ref="K480">IF(ISBLANK(CertifiedCrop[[#This Row],[2. Produit agricole certifié*]]),"",IF(ISERROR(MATCH(1,(#REF!=CertifiedCrop[[#This Row],[2. Produit agricole certifié*]])*(#REF!=CertifiedCrop[[#This Row],[3. Variété**]]),0)),FALSE,TRUE))</f>
        <v>0</v>
      </c>
      <c r="L480" s="20" t="str">
        <f t="shared" si="35"/>
        <v/>
      </c>
      <c r="M480" s="54" t="str">
        <f t="shared" si="36"/>
        <v>!</v>
      </c>
      <c r="N480" s="54" t="str">
        <f t="shared" si="37"/>
        <v/>
      </c>
      <c r="O480" s="55">
        <f t="shared" si="38"/>
        <v>576.92307692307691</v>
      </c>
      <c r="P480" s="55">
        <f t="shared" si="39"/>
        <v>547.69230769230762</v>
      </c>
      <c r="Q480" s="9" t="str">
        <f ca="1">IFERROR((VLOOKUP(A480,GM_Table,8,FALSE)-SUMIFS(D:D,A:A,A480,B:B,B480,C:C,C480)),"")</f>
        <v/>
      </c>
      <c r="R480" s="9" t="str">
        <f ca="1">IFERROR(CONCATENATE(VLOOKUP(A480,GM_Table,12,FALSE)," ",(VLOOKUP(A480,GM_Table,13,FALSE))),"")</f>
        <v/>
      </c>
    </row>
    <row r="481" spans="1:18" ht="15" x14ac:dyDescent="0.2">
      <c r="A481" s="193" t="s">
        <v>2091</v>
      </c>
      <c r="B481" s="9" t="s">
        <v>3290</v>
      </c>
      <c r="C481" s="9" t="s">
        <v>3291</v>
      </c>
      <c r="D481" s="252">
        <v>2.06</v>
      </c>
      <c r="E481" s="245">
        <v>1035</v>
      </c>
      <c r="F481" s="246">
        <v>978</v>
      </c>
      <c r="G481" s="247">
        <v>374</v>
      </c>
      <c r="H481" s="248">
        <v>695</v>
      </c>
      <c r="I481" s="249">
        <v>815</v>
      </c>
      <c r="J481" s="122" t="b">
        <f>IF(ISBLANK(CertifiedCrop[[#This Row],[1. Identifiant interne d’exploitation agricole*]]),"",IF(ISERROR(MATCH(CertifiedCrop[[#This Row],[1. Identifiant interne d’exploitation agricole*]],GroupMember[1. Identifiant interne d’exploitation agricole*],0)),FALSE,TRUE))</f>
        <v>1</v>
      </c>
      <c r="K481" s="122" t="b">
        <f t="array" ref="K481">IF(ISBLANK(CertifiedCrop[[#This Row],[2. Produit agricole certifié*]]),"",IF(ISERROR(MATCH(1,(#REF!=CertifiedCrop[[#This Row],[2. Produit agricole certifié*]])*(#REF!=CertifiedCrop[[#This Row],[3. Variété**]]),0)),FALSE,TRUE))</f>
        <v>0</v>
      </c>
      <c r="L481" s="20" t="str">
        <f t="shared" si="35"/>
        <v/>
      </c>
      <c r="M481" s="54" t="str">
        <f t="shared" si="36"/>
        <v>!</v>
      </c>
      <c r="N481" s="54" t="str">
        <f t="shared" si="37"/>
        <v>!</v>
      </c>
      <c r="O481" s="55">
        <f t="shared" si="38"/>
        <v>502.42718446601941</v>
      </c>
      <c r="P481" s="55">
        <f t="shared" si="39"/>
        <v>474.75728155339806</v>
      </c>
      <c r="Q481" s="9" t="str">
        <f ca="1">IFERROR((VLOOKUP(A481,GM_Table,8,FALSE)-SUMIFS(D:D,A:A,A481,B:B,B481,C:C,C481)),"")</f>
        <v/>
      </c>
      <c r="R481" s="9" t="str">
        <f ca="1">IFERROR(CONCATENATE(VLOOKUP(A481,GM_Table,12,FALSE)," ",(VLOOKUP(A481,GM_Table,13,FALSE))),"")</f>
        <v/>
      </c>
    </row>
    <row r="482" spans="1:18" ht="15" x14ac:dyDescent="0.2">
      <c r="A482" s="193" t="s">
        <v>2094</v>
      </c>
      <c r="B482" s="9" t="s">
        <v>3290</v>
      </c>
      <c r="C482" s="9" t="s">
        <v>3291</v>
      </c>
      <c r="D482" s="252">
        <v>1.78</v>
      </c>
      <c r="E482" s="245">
        <v>1132</v>
      </c>
      <c r="F482" s="246">
        <v>1085</v>
      </c>
      <c r="G482" s="247">
        <v>922</v>
      </c>
      <c r="H482" s="248">
        <v>955</v>
      </c>
      <c r="I482" s="249">
        <v>986</v>
      </c>
      <c r="J482" s="122" t="b">
        <f>IF(ISBLANK(CertifiedCrop[[#This Row],[1. Identifiant interne d’exploitation agricole*]]),"",IF(ISERROR(MATCH(CertifiedCrop[[#This Row],[1. Identifiant interne d’exploitation agricole*]],GroupMember[1. Identifiant interne d’exploitation agricole*],0)),FALSE,TRUE))</f>
        <v>1</v>
      </c>
      <c r="K482" s="122" t="b">
        <f t="array" ref="K482">IF(ISBLANK(CertifiedCrop[[#This Row],[2. Produit agricole certifié*]]),"",IF(ISERROR(MATCH(1,(#REF!=CertifiedCrop[[#This Row],[2. Produit agricole certifié*]])*(#REF!=CertifiedCrop[[#This Row],[3. Variété**]]),0)),FALSE,TRUE))</f>
        <v>0</v>
      </c>
      <c r="L482" s="20" t="str">
        <f t="shared" si="35"/>
        <v/>
      </c>
      <c r="M482" s="54" t="str">
        <f t="shared" si="36"/>
        <v/>
      </c>
      <c r="N482" s="54" t="str">
        <f t="shared" si="37"/>
        <v/>
      </c>
      <c r="O482" s="55">
        <f t="shared" si="38"/>
        <v>635.95505617977528</v>
      </c>
      <c r="P482" s="55">
        <f t="shared" si="39"/>
        <v>609.55056179775283</v>
      </c>
      <c r="Q482" s="9" t="str">
        <f ca="1">IFERROR((VLOOKUP(A482,GM_Table,8,FALSE)-SUMIFS(D:D,A:A,A482,B:B,B482,C:C,C482)),"")</f>
        <v/>
      </c>
      <c r="R482" s="9" t="str">
        <f ca="1">IFERROR(CONCATENATE(VLOOKUP(A482,GM_Table,12,FALSE)," ",(VLOOKUP(A482,GM_Table,13,FALSE))),"")</f>
        <v/>
      </c>
    </row>
    <row r="483" spans="1:18" ht="15" x14ac:dyDescent="0.2">
      <c r="A483" s="193" t="s">
        <v>2098</v>
      </c>
      <c r="B483" s="9" t="s">
        <v>3290</v>
      </c>
      <c r="C483" s="9" t="s">
        <v>3291</v>
      </c>
      <c r="D483" s="252">
        <v>2.2799999999999998</v>
      </c>
      <c r="E483" s="245">
        <v>1431</v>
      </c>
      <c r="F483" s="246">
        <v>1352</v>
      </c>
      <c r="G483" s="247">
        <v>1214</v>
      </c>
      <c r="H483" s="248">
        <v>1240</v>
      </c>
      <c r="I483" s="249">
        <v>2067</v>
      </c>
      <c r="J483" s="122" t="b">
        <f>IF(ISBLANK(CertifiedCrop[[#This Row],[1. Identifiant interne d’exploitation agricole*]]),"",IF(ISERROR(MATCH(CertifiedCrop[[#This Row],[1. Identifiant interne d’exploitation agricole*]],GroupMember[1. Identifiant interne d’exploitation agricole*],0)),FALSE,TRUE))</f>
        <v>1</v>
      </c>
      <c r="K483" s="122" t="b">
        <f t="array" ref="K483">IF(ISBLANK(CertifiedCrop[[#This Row],[2. Produit agricole certifié*]]),"",IF(ISERROR(MATCH(1,(#REF!=CertifiedCrop[[#This Row],[2. Produit agricole certifié*]])*(#REF!=CertifiedCrop[[#This Row],[3. Variété**]]),0)),FALSE,TRUE))</f>
        <v>0</v>
      </c>
      <c r="L483" s="20" t="str">
        <f t="shared" si="35"/>
        <v/>
      </c>
      <c r="M483" s="54" t="str">
        <f t="shared" si="36"/>
        <v/>
      </c>
      <c r="N483" s="54" t="str">
        <f t="shared" si="37"/>
        <v/>
      </c>
      <c r="O483" s="55">
        <f t="shared" si="38"/>
        <v>627.63157894736844</v>
      </c>
      <c r="P483" s="55">
        <f t="shared" si="39"/>
        <v>592.98245614035091</v>
      </c>
      <c r="Q483" s="9" t="str">
        <f ca="1">IFERROR((VLOOKUP(A483,GM_Table,8,FALSE)-SUMIFS(D:D,A:A,A483,B:B,B483,C:C,C483)),"")</f>
        <v/>
      </c>
      <c r="R483" s="9" t="str">
        <f ca="1">IFERROR(CONCATENATE(VLOOKUP(A483,GM_Table,12,FALSE)," ",(VLOOKUP(A483,GM_Table,13,FALSE))),"")</f>
        <v/>
      </c>
    </row>
    <row r="484" spans="1:18" ht="15" x14ac:dyDescent="0.2">
      <c r="A484" s="193" t="s">
        <v>2102</v>
      </c>
      <c r="B484" s="9" t="s">
        <v>3290</v>
      </c>
      <c r="C484" s="9" t="s">
        <v>3291</v>
      </c>
      <c r="D484" s="252">
        <v>1.44</v>
      </c>
      <c r="E484" s="221">
        <v>912</v>
      </c>
      <c r="F484" s="246">
        <v>904</v>
      </c>
      <c r="G484" s="247">
        <v>748</v>
      </c>
      <c r="H484" s="248">
        <v>663</v>
      </c>
      <c r="I484" s="249">
        <v>768</v>
      </c>
      <c r="J484" s="122" t="b">
        <f>IF(ISBLANK(CertifiedCrop[[#This Row],[1. Identifiant interne d’exploitation agricole*]]),"",IF(ISERROR(MATCH(CertifiedCrop[[#This Row],[1. Identifiant interne d’exploitation agricole*]],GroupMember[1. Identifiant interne d’exploitation agricole*],0)),FALSE,TRUE))</f>
        <v>1</v>
      </c>
      <c r="K484" s="122" t="b">
        <f t="array" ref="K484">IF(ISBLANK(CertifiedCrop[[#This Row],[2. Produit agricole certifié*]]),"",IF(ISERROR(MATCH(1,(#REF!=CertifiedCrop[[#This Row],[2. Produit agricole certifié*]])*(#REF!=CertifiedCrop[[#This Row],[3. Variété**]]),0)),FALSE,TRUE))</f>
        <v>0</v>
      </c>
      <c r="L484" s="20" t="str">
        <f t="shared" si="35"/>
        <v/>
      </c>
      <c r="M484" s="54" t="str">
        <f t="shared" si="36"/>
        <v/>
      </c>
      <c r="N484" s="54" t="str">
        <f t="shared" si="37"/>
        <v/>
      </c>
      <c r="O484" s="55">
        <f t="shared" si="38"/>
        <v>633.33333333333337</v>
      </c>
      <c r="P484" s="55">
        <f t="shared" si="39"/>
        <v>627.77777777777783</v>
      </c>
      <c r="Q484" s="9" t="str">
        <f ca="1">IFERROR((VLOOKUP(A484,GM_Table,8,FALSE)-SUMIFS(D:D,A:A,A484,B:B,B484,C:C,C484)),"")</f>
        <v/>
      </c>
      <c r="R484" s="9" t="str">
        <f ca="1">IFERROR(CONCATENATE(VLOOKUP(A484,GM_Table,12,FALSE)," ",(VLOOKUP(A484,GM_Table,13,FALSE))),"")</f>
        <v/>
      </c>
    </row>
    <row r="485" spans="1:18" ht="15" x14ac:dyDescent="0.2">
      <c r="A485" s="193" t="s">
        <v>2106</v>
      </c>
      <c r="B485" s="9" t="s">
        <v>3290</v>
      </c>
      <c r="C485" s="9" t="s">
        <v>3291</v>
      </c>
      <c r="D485" s="252">
        <v>2.34</v>
      </c>
      <c r="E485" s="245">
        <v>1384</v>
      </c>
      <c r="F485" s="246">
        <v>1362</v>
      </c>
      <c r="G485" s="247">
        <v>977</v>
      </c>
      <c r="H485" s="248">
        <v>1167</v>
      </c>
      <c r="I485" s="249">
        <v>1305</v>
      </c>
      <c r="J485" s="122" t="b">
        <f>IF(ISBLANK(CertifiedCrop[[#This Row],[1. Identifiant interne d’exploitation agricole*]]),"",IF(ISERROR(MATCH(CertifiedCrop[[#This Row],[1. Identifiant interne d’exploitation agricole*]],GroupMember[1. Identifiant interne d’exploitation agricole*],0)),FALSE,TRUE))</f>
        <v>1</v>
      </c>
      <c r="K485" s="122" t="b">
        <f t="array" ref="K485">IF(ISBLANK(CertifiedCrop[[#This Row],[2. Produit agricole certifié*]]),"",IF(ISERROR(MATCH(1,(#REF!=CertifiedCrop[[#This Row],[2. Produit agricole certifié*]])*(#REF!=CertifiedCrop[[#This Row],[3. Variété**]]),0)),FALSE,TRUE))</f>
        <v>0</v>
      </c>
      <c r="L485" s="20" t="str">
        <f t="shared" si="35"/>
        <v/>
      </c>
      <c r="M485" s="54" t="str">
        <f t="shared" si="36"/>
        <v>!</v>
      </c>
      <c r="N485" s="54" t="str">
        <f t="shared" si="37"/>
        <v/>
      </c>
      <c r="O485" s="55">
        <f t="shared" si="38"/>
        <v>591.45299145299145</v>
      </c>
      <c r="P485" s="55">
        <f t="shared" si="39"/>
        <v>582.0512820512821</v>
      </c>
      <c r="Q485" s="9" t="str">
        <f ca="1">IFERROR((VLOOKUP(A485,GM_Table,8,FALSE)-SUMIFS(D:D,A:A,A485,B:B,B485,C:C,C485)),"")</f>
        <v/>
      </c>
      <c r="R485" s="9" t="str">
        <f ca="1">IFERROR(CONCATENATE(VLOOKUP(A485,GM_Table,12,FALSE)," ",(VLOOKUP(A485,GM_Table,13,FALSE))),"")</f>
        <v/>
      </c>
    </row>
    <row r="486" spans="1:18" ht="15" x14ac:dyDescent="0.2">
      <c r="A486" s="193" t="s">
        <v>2109</v>
      </c>
      <c r="B486" s="9" t="s">
        <v>3290</v>
      </c>
      <c r="C486" s="9" t="s">
        <v>3291</v>
      </c>
      <c r="D486" s="252">
        <v>1.69</v>
      </c>
      <c r="E486" s="245">
        <v>1001</v>
      </c>
      <c r="F486" s="246">
        <v>956</v>
      </c>
      <c r="G486" s="247">
        <v>673</v>
      </c>
      <c r="H486" s="248">
        <v>765</v>
      </c>
      <c r="I486" s="249">
        <v>940</v>
      </c>
      <c r="J486" s="122" t="b">
        <f>IF(ISBLANK(CertifiedCrop[[#This Row],[1. Identifiant interne d’exploitation agricole*]]),"",IF(ISERROR(MATCH(CertifiedCrop[[#This Row],[1. Identifiant interne d’exploitation agricole*]],GroupMember[1. Identifiant interne d’exploitation agricole*],0)),FALSE,TRUE))</f>
        <v>1</v>
      </c>
      <c r="K486" s="122" t="b">
        <f t="array" ref="K486">IF(ISBLANK(CertifiedCrop[[#This Row],[2. Produit agricole certifié*]]),"",IF(ISERROR(MATCH(1,(#REF!=CertifiedCrop[[#This Row],[2. Produit agricole certifié*]])*(#REF!=CertifiedCrop[[#This Row],[3. Variété**]]),0)),FALSE,TRUE))</f>
        <v>0</v>
      </c>
      <c r="L486" s="20" t="str">
        <f t="shared" si="35"/>
        <v/>
      </c>
      <c r="M486" s="54" t="str">
        <f t="shared" si="36"/>
        <v>!</v>
      </c>
      <c r="N486" s="54" t="str">
        <f t="shared" si="37"/>
        <v/>
      </c>
      <c r="O486" s="55">
        <f t="shared" si="38"/>
        <v>592.30769230769238</v>
      </c>
      <c r="P486" s="55">
        <f t="shared" si="39"/>
        <v>565.68047337278108</v>
      </c>
      <c r="Q486" s="9" t="str">
        <f ca="1">IFERROR((VLOOKUP(A486,GM_Table,8,FALSE)-SUMIFS(D:D,A:A,A486,B:B,B486,C:C,C486)),"")</f>
        <v/>
      </c>
      <c r="R486" s="9" t="str">
        <f ca="1">IFERROR(CONCATENATE(VLOOKUP(A486,GM_Table,12,FALSE)," ",(VLOOKUP(A486,GM_Table,13,FALSE))),"")</f>
        <v/>
      </c>
    </row>
    <row r="487" spans="1:18" ht="15" x14ac:dyDescent="0.2">
      <c r="A487" s="193" t="s">
        <v>2113</v>
      </c>
      <c r="B487" s="9" t="s">
        <v>3290</v>
      </c>
      <c r="C487" s="9" t="s">
        <v>3291</v>
      </c>
      <c r="D487" s="252">
        <v>1.32</v>
      </c>
      <c r="E487" s="221">
        <v>731</v>
      </c>
      <c r="F487" s="246">
        <v>705</v>
      </c>
      <c r="G487" s="247">
        <v>536</v>
      </c>
      <c r="H487" s="248">
        <v>654</v>
      </c>
      <c r="I487" s="249">
        <v>704</v>
      </c>
      <c r="J487" s="122" t="b">
        <f>IF(ISBLANK(CertifiedCrop[[#This Row],[1. Identifiant interne d’exploitation agricole*]]),"",IF(ISERROR(MATCH(CertifiedCrop[[#This Row],[1. Identifiant interne d’exploitation agricole*]],GroupMember[1. Identifiant interne d’exploitation agricole*],0)),FALSE,TRUE))</f>
        <v>1</v>
      </c>
      <c r="K487" s="122" t="b">
        <f t="array" ref="K487">IF(ISBLANK(CertifiedCrop[[#This Row],[2. Produit agricole certifié*]]),"",IF(ISERROR(MATCH(1,(#REF!=CertifiedCrop[[#This Row],[2. Produit agricole certifié*]])*(#REF!=CertifiedCrop[[#This Row],[3. Variété**]]),0)),FALSE,TRUE))</f>
        <v>0</v>
      </c>
      <c r="L487" s="20" t="str">
        <f t="shared" si="35"/>
        <v/>
      </c>
      <c r="M487" s="54" t="str">
        <f t="shared" si="36"/>
        <v>!</v>
      </c>
      <c r="N487" s="54" t="str">
        <f t="shared" si="37"/>
        <v/>
      </c>
      <c r="O487" s="55">
        <f t="shared" si="38"/>
        <v>553.78787878787875</v>
      </c>
      <c r="P487" s="55">
        <f t="shared" si="39"/>
        <v>534.09090909090912</v>
      </c>
      <c r="Q487" s="9" t="str">
        <f ca="1">IFERROR((VLOOKUP(A487,GM_Table,8,FALSE)-SUMIFS(D:D,A:A,A487,B:B,B487,C:C,C487)),"")</f>
        <v/>
      </c>
      <c r="R487" s="9" t="str">
        <f ca="1">IFERROR(CONCATENATE(VLOOKUP(A487,GM_Table,12,FALSE)," ",(VLOOKUP(A487,GM_Table,13,FALSE))),"")</f>
        <v/>
      </c>
    </row>
    <row r="488" spans="1:18" ht="15" x14ac:dyDescent="0.2">
      <c r="A488" s="193" t="s">
        <v>2117</v>
      </c>
      <c r="B488" s="9" t="s">
        <v>3290</v>
      </c>
      <c r="C488" s="9" t="s">
        <v>3291</v>
      </c>
      <c r="D488" s="252">
        <v>1.36</v>
      </c>
      <c r="E488" s="221">
        <v>862</v>
      </c>
      <c r="F488" s="246">
        <v>856</v>
      </c>
      <c r="G488" s="247">
        <v>485</v>
      </c>
      <c r="H488" s="248">
        <v>575</v>
      </c>
      <c r="I488" s="249">
        <v>737</v>
      </c>
      <c r="J488" s="122" t="b">
        <f>IF(ISBLANK(CertifiedCrop[[#This Row],[1. Identifiant interne d’exploitation agricole*]]),"",IF(ISERROR(MATCH(CertifiedCrop[[#This Row],[1. Identifiant interne d’exploitation agricole*]],GroupMember[1. Identifiant interne d’exploitation agricole*],0)),FALSE,TRUE))</f>
        <v>1</v>
      </c>
      <c r="K488" s="122" t="b">
        <f t="array" ref="K488">IF(ISBLANK(CertifiedCrop[[#This Row],[2. Produit agricole certifié*]]),"",IF(ISERROR(MATCH(1,(#REF!=CertifiedCrop[[#This Row],[2. Produit agricole certifié*]])*(#REF!=CertifiedCrop[[#This Row],[3. Variété**]]),0)),FALSE,TRUE))</f>
        <v>0</v>
      </c>
      <c r="L488" s="20" t="str">
        <f t="shared" si="35"/>
        <v/>
      </c>
      <c r="M488" s="54" t="str">
        <f t="shared" si="36"/>
        <v>!</v>
      </c>
      <c r="N488" s="54" t="str">
        <f t="shared" si="37"/>
        <v/>
      </c>
      <c r="O488" s="55">
        <f t="shared" si="38"/>
        <v>633.82352941176464</v>
      </c>
      <c r="P488" s="55">
        <f t="shared" si="39"/>
        <v>629.41176470588232</v>
      </c>
      <c r="Q488" s="9" t="str">
        <f ca="1">IFERROR((VLOOKUP(A488,GM_Table,8,FALSE)-SUMIFS(D:D,A:A,A488,B:B,B488,C:C,C488)),"")</f>
        <v/>
      </c>
      <c r="R488" s="9" t="str">
        <f ca="1">IFERROR(CONCATENATE(VLOOKUP(A488,GM_Table,12,FALSE)," ",(VLOOKUP(A488,GM_Table,13,FALSE))),"")</f>
        <v/>
      </c>
    </row>
    <row r="489" spans="1:18" ht="15" x14ac:dyDescent="0.2">
      <c r="A489" s="193" t="s">
        <v>2119</v>
      </c>
      <c r="B489" s="9" t="s">
        <v>3290</v>
      </c>
      <c r="C489" s="9" t="s">
        <v>3291</v>
      </c>
      <c r="D489" s="252">
        <v>1.62</v>
      </c>
      <c r="E489" s="221">
        <v>922</v>
      </c>
      <c r="F489" s="246">
        <v>859</v>
      </c>
      <c r="G489" s="247">
        <v>859</v>
      </c>
      <c r="H489" s="248">
        <v>908</v>
      </c>
      <c r="I489" s="249">
        <v>894</v>
      </c>
      <c r="J489" s="122" t="b">
        <f>IF(ISBLANK(CertifiedCrop[[#This Row],[1. Identifiant interne d’exploitation agricole*]]),"",IF(ISERROR(MATCH(CertifiedCrop[[#This Row],[1. Identifiant interne d’exploitation agricole*]],GroupMember[1. Identifiant interne d’exploitation agricole*],0)),FALSE,TRUE))</f>
        <v>1</v>
      </c>
      <c r="K489" s="122" t="b">
        <f t="array" ref="K489">IF(ISBLANK(CertifiedCrop[[#This Row],[2. Produit agricole certifié*]]),"",IF(ISERROR(MATCH(1,(#REF!=CertifiedCrop[[#This Row],[2. Produit agricole certifié*]])*(#REF!=CertifiedCrop[[#This Row],[3. Variété**]]),0)),FALSE,TRUE))</f>
        <v>0</v>
      </c>
      <c r="L489" s="20" t="str">
        <f t="shared" si="35"/>
        <v/>
      </c>
      <c r="M489" s="54" t="str">
        <f t="shared" si="36"/>
        <v/>
      </c>
      <c r="N489" s="54" t="str">
        <f t="shared" si="37"/>
        <v/>
      </c>
      <c r="O489" s="55">
        <f t="shared" si="38"/>
        <v>569.1358024691358</v>
      </c>
      <c r="P489" s="55">
        <f t="shared" si="39"/>
        <v>530.24691358024688</v>
      </c>
      <c r="Q489" s="9" t="str">
        <f ca="1">IFERROR((VLOOKUP(A489,GM_Table,8,FALSE)-SUMIFS(D:D,A:A,A489,B:B,B489,C:C,C489)),"")</f>
        <v/>
      </c>
      <c r="R489" s="9" t="str">
        <f ca="1">IFERROR(CONCATENATE(VLOOKUP(A489,GM_Table,12,FALSE)," ",(VLOOKUP(A489,GM_Table,13,FALSE))),"")</f>
        <v/>
      </c>
    </row>
    <row r="490" spans="1:18" ht="15" x14ac:dyDescent="0.2">
      <c r="A490" s="193" t="s">
        <v>2121</v>
      </c>
      <c r="B490" s="9" t="s">
        <v>3290</v>
      </c>
      <c r="C490" s="9" t="s">
        <v>3291</v>
      </c>
      <c r="D490" s="252">
        <v>1.83</v>
      </c>
      <c r="E490" s="245">
        <v>1085</v>
      </c>
      <c r="F490" s="246">
        <v>1055</v>
      </c>
      <c r="G490" s="247">
        <v>813</v>
      </c>
      <c r="H490" s="248">
        <v>798</v>
      </c>
      <c r="I490" s="249">
        <v>991</v>
      </c>
      <c r="J490" s="122" t="b">
        <f>IF(ISBLANK(CertifiedCrop[[#This Row],[1. Identifiant interne d’exploitation agricole*]]),"",IF(ISERROR(MATCH(CertifiedCrop[[#This Row],[1. Identifiant interne d’exploitation agricole*]],GroupMember[1. Identifiant interne d’exploitation agricole*],0)),FALSE,TRUE))</f>
        <v>1</v>
      </c>
      <c r="K490" s="122" t="b">
        <f t="array" ref="K490">IF(ISBLANK(CertifiedCrop[[#This Row],[2. Produit agricole certifié*]]),"",IF(ISERROR(MATCH(1,(#REF!=CertifiedCrop[[#This Row],[2. Produit agricole certifié*]])*(#REF!=CertifiedCrop[[#This Row],[3. Variété**]]),0)),FALSE,TRUE))</f>
        <v>0</v>
      </c>
      <c r="L490" s="20" t="str">
        <f t="shared" si="35"/>
        <v/>
      </c>
      <c r="M490" s="54" t="str">
        <f t="shared" si="36"/>
        <v>!</v>
      </c>
      <c r="N490" s="54" t="str">
        <f t="shared" si="37"/>
        <v/>
      </c>
      <c r="O490" s="55">
        <f t="shared" si="38"/>
        <v>592.89617486338796</v>
      </c>
      <c r="P490" s="55">
        <f t="shared" si="39"/>
        <v>576.50273224043713</v>
      </c>
      <c r="Q490" s="9" t="str">
        <f ca="1">IFERROR((VLOOKUP(A490,GM_Table,8,FALSE)-SUMIFS(D:D,A:A,A490,B:B,B490,C:C,C490)),"")</f>
        <v/>
      </c>
      <c r="R490" s="9" t="str">
        <f ca="1">IFERROR(CONCATENATE(VLOOKUP(A490,GM_Table,12,FALSE)," ",(VLOOKUP(A490,GM_Table,13,FALSE))),"")</f>
        <v/>
      </c>
    </row>
    <row r="491" spans="1:18" ht="15" x14ac:dyDescent="0.2">
      <c r="A491" s="193" t="s">
        <v>2124</v>
      </c>
      <c r="B491" s="9" t="s">
        <v>3290</v>
      </c>
      <c r="C491" s="9" t="s">
        <v>3291</v>
      </c>
      <c r="D491" s="252">
        <v>0.96</v>
      </c>
      <c r="E491" s="221">
        <v>550</v>
      </c>
      <c r="F491" s="246">
        <v>532</v>
      </c>
      <c r="G491" s="247">
        <v>532</v>
      </c>
      <c r="H491" s="248">
        <v>191</v>
      </c>
      <c r="I491" s="249">
        <v>563</v>
      </c>
      <c r="J491" s="122" t="b">
        <f>IF(ISBLANK(CertifiedCrop[[#This Row],[1. Identifiant interne d’exploitation agricole*]]),"",IF(ISERROR(MATCH(CertifiedCrop[[#This Row],[1. Identifiant interne d’exploitation agricole*]],GroupMember[1. Identifiant interne d’exploitation agricole*],0)),FALSE,TRUE))</f>
        <v>1</v>
      </c>
      <c r="K491" s="122" t="b">
        <f t="array" ref="K491">IF(ISBLANK(CertifiedCrop[[#This Row],[2. Produit agricole certifié*]]),"",IF(ISERROR(MATCH(1,(#REF!=CertifiedCrop[[#This Row],[2. Produit agricole certifié*]])*(#REF!=CertifiedCrop[[#This Row],[3. Variété**]]),0)),FALSE,TRUE))</f>
        <v>0</v>
      </c>
      <c r="L491" s="20" t="str">
        <f t="shared" si="35"/>
        <v/>
      </c>
      <c r="M491" s="54" t="str">
        <f t="shared" si="36"/>
        <v/>
      </c>
      <c r="N491" s="54" t="str">
        <f t="shared" si="37"/>
        <v>!</v>
      </c>
      <c r="O491" s="55">
        <f t="shared" si="38"/>
        <v>572.91666666666674</v>
      </c>
      <c r="P491" s="55">
        <f t="shared" si="39"/>
        <v>554.16666666666674</v>
      </c>
      <c r="Q491" s="9" t="str">
        <f ca="1">IFERROR((VLOOKUP(A491,GM_Table,8,FALSE)-SUMIFS(D:D,A:A,A491,B:B,B491,C:C,C491)),"")</f>
        <v/>
      </c>
      <c r="R491" s="9" t="str">
        <f ca="1">IFERROR(CONCATENATE(VLOOKUP(A491,GM_Table,12,FALSE)," ",(VLOOKUP(A491,GM_Table,13,FALSE))),"")</f>
        <v/>
      </c>
    </row>
    <row r="492" spans="1:18" ht="15" x14ac:dyDescent="0.2">
      <c r="A492" s="193" t="s">
        <v>2127</v>
      </c>
      <c r="B492" s="9" t="s">
        <v>3290</v>
      </c>
      <c r="C492" s="9" t="s">
        <v>3291</v>
      </c>
      <c r="D492" s="252">
        <v>6.07</v>
      </c>
      <c r="E492" s="245">
        <v>3505</v>
      </c>
      <c r="F492" s="246">
        <v>3365</v>
      </c>
      <c r="G492" s="247">
        <v>3092</v>
      </c>
      <c r="H492" s="248">
        <v>3284</v>
      </c>
      <c r="I492" s="249">
        <v>3646</v>
      </c>
      <c r="J492" s="122" t="b">
        <f>IF(ISBLANK(CertifiedCrop[[#This Row],[1. Identifiant interne d’exploitation agricole*]]),"",IF(ISERROR(MATCH(CertifiedCrop[[#This Row],[1. Identifiant interne d’exploitation agricole*]],GroupMember[1. Identifiant interne d’exploitation agricole*],0)),FALSE,TRUE))</f>
        <v>1</v>
      </c>
      <c r="K492" s="122" t="b">
        <f t="array" ref="K492">IF(ISBLANK(CertifiedCrop[[#This Row],[2. Produit agricole certifié*]]),"",IF(ISERROR(MATCH(1,(#REF!=CertifiedCrop[[#This Row],[2. Produit agricole certifié*]])*(#REF!=CertifiedCrop[[#This Row],[3. Variété**]]),0)),FALSE,TRUE))</f>
        <v>0</v>
      </c>
      <c r="L492" s="20" t="str">
        <f t="shared" si="35"/>
        <v/>
      </c>
      <c r="M492" s="54" t="str">
        <f t="shared" si="36"/>
        <v/>
      </c>
      <c r="N492" s="54" t="str">
        <f t="shared" si="37"/>
        <v/>
      </c>
      <c r="O492" s="55">
        <f t="shared" si="38"/>
        <v>577.42998352553536</v>
      </c>
      <c r="P492" s="55">
        <f t="shared" si="39"/>
        <v>554.36573311367374</v>
      </c>
      <c r="Q492" s="9" t="str">
        <f ca="1">IFERROR((VLOOKUP(A492,GM_Table,8,FALSE)-SUMIFS(D:D,A:A,A492,B:B,B492,C:C,C492)),"")</f>
        <v/>
      </c>
      <c r="R492" s="9" t="str">
        <f ca="1">IFERROR(CONCATENATE(VLOOKUP(A492,GM_Table,12,FALSE)," ",(VLOOKUP(A492,GM_Table,13,FALSE))),"")</f>
        <v/>
      </c>
    </row>
    <row r="493" spans="1:18" ht="15" x14ac:dyDescent="0.2">
      <c r="A493" s="193" t="s">
        <v>2131</v>
      </c>
      <c r="B493" s="9" t="s">
        <v>3290</v>
      </c>
      <c r="C493" s="9" t="s">
        <v>3291</v>
      </c>
      <c r="D493" s="252">
        <v>0.93</v>
      </c>
      <c r="E493" s="221">
        <v>538</v>
      </c>
      <c r="F493" s="246">
        <v>514</v>
      </c>
      <c r="G493" s="247">
        <v>455</v>
      </c>
      <c r="H493" s="248">
        <v>452</v>
      </c>
      <c r="I493" s="249">
        <v>499</v>
      </c>
      <c r="J493" s="122" t="b">
        <f>IF(ISBLANK(CertifiedCrop[[#This Row],[1. Identifiant interne d’exploitation agricole*]]),"",IF(ISERROR(MATCH(CertifiedCrop[[#This Row],[1. Identifiant interne d’exploitation agricole*]],GroupMember[1. Identifiant interne d’exploitation agricole*],0)),FALSE,TRUE))</f>
        <v>1</v>
      </c>
      <c r="K493" s="122" t="b">
        <f t="array" ref="K493">IF(ISBLANK(CertifiedCrop[[#This Row],[2. Produit agricole certifié*]]),"",IF(ISERROR(MATCH(1,(#REF!=CertifiedCrop[[#This Row],[2. Produit agricole certifié*]])*(#REF!=CertifiedCrop[[#This Row],[3. Variété**]]),0)),FALSE,TRUE))</f>
        <v>0</v>
      </c>
      <c r="L493" s="20" t="str">
        <f t="shared" si="35"/>
        <v/>
      </c>
      <c r="M493" s="54" t="str">
        <f t="shared" si="36"/>
        <v/>
      </c>
      <c r="N493" s="54" t="str">
        <f t="shared" si="37"/>
        <v/>
      </c>
      <c r="O493" s="55">
        <f t="shared" si="38"/>
        <v>578.49462365591398</v>
      </c>
      <c r="P493" s="55">
        <f t="shared" si="39"/>
        <v>552.6881720430107</v>
      </c>
      <c r="Q493" s="9" t="str">
        <f ca="1">IFERROR((VLOOKUP(A493,GM_Table,8,FALSE)-SUMIFS(D:D,A:A,A493,B:B,B493,C:C,C493)),"")</f>
        <v/>
      </c>
      <c r="R493" s="9" t="str">
        <f ca="1">IFERROR(CONCATENATE(VLOOKUP(A493,GM_Table,12,FALSE)," ",(VLOOKUP(A493,GM_Table,13,FALSE))),"")</f>
        <v/>
      </c>
    </row>
    <row r="494" spans="1:18" ht="15" x14ac:dyDescent="0.2">
      <c r="A494" s="193" t="s">
        <v>2135</v>
      </c>
      <c r="B494" s="9" t="s">
        <v>3290</v>
      </c>
      <c r="C494" s="9" t="s">
        <v>3291</v>
      </c>
      <c r="D494" s="252">
        <v>1.42</v>
      </c>
      <c r="E494" s="221">
        <v>770</v>
      </c>
      <c r="F494" s="246">
        <v>754</v>
      </c>
      <c r="G494" s="247">
        <v>638</v>
      </c>
      <c r="H494" s="248">
        <v>638</v>
      </c>
      <c r="I494" s="249">
        <v>783</v>
      </c>
      <c r="J494" s="122" t="b">
        <f>IF(ISBLANK(CertifiedCrop[[#This Row],[1. Identifiant interne d’exploitation agricole*]]),"",IF(ISERROR(MATCH(CertifiedCrop[[#This Row],[1. Identifiant interne d’exploitation agricole*]],GroupMember[1. Identifiant interne d’exploitation agricole*],0)),FALSE,TRUE))</f>
        <v>1</v>
      </c>
      <c r="K494" s="122" t="b">
        <f t="array" ref="K494">IF(ISBLANK(CertifiedCrop[[#This Row],[2. Produit agricole certifié*]]),"",IF(ISERROR(MATCH(1,(#REF!=CertifiedCrop[[#This Row],[2. Produit agricole certifié*]])*(#REF!=CertifiedCrop[[#This Row],[3. Variété**]]),0)),FALSE,TRUE))</f>
        <v>0</v>
      </c>
      <c r="L494" s="20" t="str">
        <f t="shared" si="35"/>
        <v/>
      </c>
      <c r="M494" s="54" t="str">
        <f t="shared" si="36"/>
        <v/>
      </c>
      <c r="N494" s="54" t="str">
        <f t="shared" si="37"/>
        <v/>
      </c>
      <c r="O494" s="55">
        <f t="shared" si="38"/>
        <v>542.25352112676057</v>
      </c>
      <c r="P494" s="55">
        <f t="shared" si="39"/>
        <v>530.98591549295782</v>
      </c>
      <c r="Q494" s="9" t="str">
        <f ca="1">IFERROR((VLOOKUP(A494,GM_Table,8,FALSE)-SUMIFS(D:D,A:A,A494,B:B,B494,C:C,C494)),"")</f>
        <v/>
      </c>
      <c r="R494" s="9" t="str">
        <f ca="1">IFERROR(CONCATENATE(VLOOKUP(A494,GM_Table,12,FALSE)," ",(VLOOKUP(A494,GM_Table,13,FALSE))),"")</f>
        <v/>
      </c>
    </row>
    <row r="495" spans="1:18" ht="15" x14ac:dyDescent="0.2">
      <c r="A495" s="193" t="s">
        <v>2137</v>
      </c>
      <c r="B495" s="9" t="s">
        <v>3290</v>
      </c>
      <c r="C495" s="9" t="s">
        <v>3291</v>
      </c>
      <c r="D495" s="252">
        <v>2.3199999999999998</v>
      </c>
      <c r="E495" s="245">
        <v>1400</v>
      </c>
      <c r="F495" s="246">
        <v>1362</v>
      </c>
      <c r="G495" s="247">
        <v>632</v>
      </c>
      <c r="H495" s="248">
        <v>1313</v>
      </c>
      <c r="I495" s="249">
        <v>1286</v>
      </c>
      <c r="J495" s="122" t="b">
        <f>IF(ISBLANK(CertifiedCrop[[#This Row],[1. Identifiant interne d’exploitation agricole*]]),"",IF(ISERROR(MATCH(CertifiedCrop[[#This Row],[1. Identifiant interne d’exploitation agricole*]],GroupMember[1. Identifiant interne d’exploitation agricole*],0)),FALSE,TRUE))</f>
        <v>1</v>
      </c>
      <c r="K495" s="122" t="b">
        <f t="array" ref="K495">IF(ISBLANK(CertifiedCrop[[#This Row],[2. Produit agricole certifié*]]),"",IF(ISERROR(MATCH(1,(#REF!=CertifiedCrop[[#This Row],[2. Produit agricole certifié*]])*(#REF!=CertifiedCrop[[#This Row],[3. Variété**]]),0)),FALSE,TRUE))</f>
        <v>0</v>
      </c>
      <c r="L495" s="20" t="str">
        <f t="shared" si="35"/>
        <v/>
      </c>
      <c r="M495" s="54" t="str">
        <f t="shared" si="36"/>
        <v>!</v>
      </c>
      <c r="N495" s="54" t="str">
        <f t="shared" si="37"/>
        <v>!</v>
      </c>
      <c r="O495" s="55">
        <f t="shared" si="38"/>
        <v>603.44827586206895</v>
      </c>
      <c r="P495" s="55">
        <f t="shared" si="39"/>
        <v>587.06896551724139</v>
      </c>
      <c r="Q495" s="9" t="str">
        <f ca="1">IFERROR((VLOOKUP(A495,GM_Table,8,FALSE)-SUMIFS(D:D,A:A,A495,B:B,B495,C:C,C495)),"")</f>
        <v/>
      </c>
      <c r="R495" s="9" t="str">
        <f ca="1">IFERROR(CONCATENATE(VLOOKUP(A495,GM_Table,12,FALSE)," ",(VLOOKUP(A495,GM_Table,13,FALSE))),"")</f>
        <v/>
      </c>
    </row>
    <row r="496" spans="1:18" ht="15" x14ac:dyDescent="0.2">
      <c r="A496" s="193" t="s">
        <v>2139</v>
      </c>
      <c r="B496" s="9" t="s">
        <v>3290</v>
      </c>
      <c r="C496" s="9" t="s">
        <v>3291</v>
      </c>
      <c r="D496" s="252">
        <v>1.1200000000000001</v>
      </c>
      <c r="E496" s="221">
        <v>642</v>
      </c>
      <c r="F496" s="246">
        <v>609</v>
      </c>
      <c r="G496" s="247">
        <v>397</v>
      </c>
      <c r="H496" s="248">
        <v>584</v>
      </c>
      <c r="I496" s="249">
        <v>639</v>
      </c>
      <c r="J496" s="122" t="b">
        <f>IF(ISBLANK(CertifiedCrop[[#This Row],[1. Identifiant interne d’exploitation agricole*]]),"",IF(ISERROR(MATCH(CertifiedCrop[[#This Row],[1. Identifiant interne d’exploitation agricole*]],GroupMember[1. Identifiant interne d’exploitation agricole*],0)),FALSE,TRUE))</f>
        <v>1</v>
      </c>
      <c r="K496" s="122" t="b">
        <f t="array" ref="K496">IF(ISBLANK(CertifiedCrop[[#This Row],[2. Produit agricole certifié*]]),"",IF(ISERROR(MATCH(1,(#REF!=CertifiedCrop[[#This Row],[2. Produit agricole certifié*]])*(#REF!=CertifiedCrop[[#This Row],[3. Variété**]]),0)),FALSE,TRUE))</f>
        <v>0</v>
      </c>
      <c r="L496" s="20" t="str">
        <f t="shared" si="35"/>
        <v/>
      </c>
      <c r="M496" s="54" t="str">
        <f t="shared" si="36"/>
        <v>!</v>
      </c>
      <c r="N496" s="54" t="str">
        <f t="shared" si="37"/>
        <v>!</v>
      </c>
      <c r="O496" s="55">
        <f t="shared" si="38"/>
        <v>573.21428571428567</v>
      </c>
      <c r="P496" s="55">
        <f t="shared" si="39"/>
        <v>543.75</v>
      </c>
      <c r="Q496" s="9" t="str">
        <f ca="1">IFERROR((VLOOKUP(A496,GM_Table,8,FALSE)-SUMIFS(D:D,A:A,A496,B:B,B496,C:C,C496)),"")</f>
        <v/>
      </c>
      <c r="R496" s="9" t="str">
        <f ca="1">IFERROR(CONCATENATE(VLOOKUP(A496,GM_Table,12,FALSE)," ",(VLOOKUP(A496,GM_Table,13,FALSE))),"")</f>
        <v/>
      </c>
    </row>
    <row r="497" spans="1:18" ht="15" x14ac:dyDescent="0.2">
      <c r="A497" s="193" t="s">
        <v>2142</v>
      </c>
      <c r="B497" s="9" t="s">
        <v>3290</v>
      </c>
      <c r="C497" s="9" t="s">
        <v>3291</v>
      </c>
      <c r="D497" s="252">
        <v>1.22</v>
      </c>
      <c r="E497" s="221">
        <v>693</v>
      </c>
      <c r="F497" s="254">
        <v>675</v>
      </c>
      <c r="G497" s="9">
        <v>504</v>
      </c>
      <c r="H497" s="248">
        <v>615</v>
      </c>
      <c r="I497" s="249">
        <v>705</v>
      </c>
      <c r="J497" s="122" t="b">
        <f>IF(ISBLANK(CertifiedCrop[[#This Row],[1. Identifiant interne d’exploitation agricole*]]),"",IF(ISERROR(MATCH(CertifiedCrop[[#This Row],[1. Identifiant interne d’exploitation agricole*]],GroupMember[1. Identifiant interne d’exploitation agricole*],0)),FALSE,TRUE))</f>
        <v>1</v>
      </c>
      <c r="K497" s="122" t="b">
        <f t="array" ref="K497">IF(ISBLANK(CertifiedCrop[[#This Row],[2. Produit agricole certifié*]]),"",IF(ISERROR(MATCH(1,(#REF!=CertifiedCrop[[#This Row],[2. Produit agricole certifié*]])*(#REF!=CertifiedCrop[[#This Row],[3. Variété**]]),0)),FALSE,TRUE))</f>
        <v>0</v>
      </c>
      <c r="L497" s="20" t="str">
        <f t="shared" si="35"/>
        <v/>
      </c>
      <c r="M497" s="54" t="str">
        <f t="shared" si="36"/>
        <v>!</v>
      </c>
      <c r="N497" s="54" t="str">
        <f t="shared" si="37"/>
        <v/>
      </c>
      <c r="O497" s="55">
        <f t="shared" si="38"/>
        <v>568.03278688524597</v>
      </c>
      <c r="P497" s="55">
        <f t="shared" si="39"/>
        <v>553.27868852459017</v>
      </c>
      <c r="Q497" s="9" t="str">
        <f ca="1">IFERROR((VLOOKUP(A497,GM_Table,8,FALSE)-SUMIFS(D:D,A:A,A497,B:B,B497,C:C,C497)),"")</f>
        <v/>
      </c>
      <c r="R497" s="9" t="str">
        <f ca="1">IFERROR(CONCATENATE(VLOOKUP(A497,GM_Table,12,FALSE)," ",(VLOOKUP(A497,GM_Table,13,FALSE))),"")</f>
        <v/>
      </c>
    </row>
    <row r="498" spans="1:18" ht="15" x14ac:dyDescent="0.2">
      <c r="A498" s="193" t="s">
        <v>2145</v>
      </c>
      <c r="B498" s="9" t="s">
        <v>3290</v>
      </c>
      <c r="C498" s="9" t="s">
        <v>3291</v>
      </c>
      <c r="D498" s="252">
        <v>1.7</v>
      </c>
      <c r="E498" s="245">
        <v>1067</v>
      </c>
      <c r="F498" s="246">
        <v>981</v>
      </c>
      <c r="G498" s="247">
        <v>981</v>
      </c>
      <c r="H498" s="248">
        <v>829</v>
      </c>
      <c r="I498" s="249">
        <v>952</v>
      </c>
      <c r="J498" s="122" t="b">
        <f>IF(ISBLANK(CertifiedCrop[[#This Row],[1. Identifiant interne d’exploitation agricole*]]),"",IF(ISERROR(MATCH(CertifiedCrop[[#This Row],[1. Identifiant interne d’exploitation agricole*]],GroupMember[1. Identifiant interne d’exploitation agricole*],0)),FALSE,TRUE))</f>
        <v>1</v>
      </c>
      <c r="K498" s="122" t="b">
        <f t="array" ref="K498">IF(ISBLANK(CertifiedCrop[[#This Row],[2. Produit agricole certifié*]]),"",IF(ISERROR(MATCH(1,(#REF!=CertifiedCrop[[#This Row],[2. Produit agricole certifié*]])*(#REF!=CertifiedCrop[[#This Row],[3. Variété**]]),0)),FALSE,TRUE))</f>
        <v>0</v>
      </c>
      <c r="L498" s="20" t="str">
        <f t="shared" si="35"/>
        <v/>
      </c>
      <c r="M498" s="54" t="str">
        <f t="shared" si="36"/>
        <v/>
      </c>
      <c r="N498" s="54" t="str">
        <f t="shared" si="37"/>
        <v/>
      </c>
      <c r="O498" s="55">
        <f t="shared" si="38"/>
        <v>627.64705882352939</v>
      </c>
      <c r="P498" s="55">
        <f t="shared" si="39"/>
        <v>577.05882352941182</v>
      </c>
      <c r="Q498" s="9" t="str">
        <f ca="1">IFERROR((VLOOKUP(A498,GM_Table,8,FALSE)-SUMIFS(D:D,A:A,A498,B:B,B498,C:C,C498)),"")</f>
        <v/>
      </c>
      <c r="R498" s="9" t="str">
        <f ca="1">IFERROR(CONCATENATE(VLOOKUP(A498,GM_Table,12,FALSE)," ",(VLOOKUP(A498,GM_Table,13,FALSE))),"")</f>
        <v/>
      </c>
    </row>
    <row r="499" spans="1:18" ht="15" x14ac:dyDescent="0.2">
      <c r="A499" s="193" t="s">
        <v>2149</v>
      </c>
      <c r="B499" s="9" t="s">
        <v>3290</v>
      </c>
      <c r="C499" s="9" t="s">
        <v>3291</v>
      </c>
      <c r="D499" s="252">
        <v>4.1399999999999997</v>
      </c>
      <c r="E499" s="245">
        <v>2449</v>
      </c>
      <c r="F499" s="246">
        <v>2362</v>
      </c>
      <c r="G499" s="247">
        <v>297</v>
      </c>
      <c r="H499" s="248">
        <v>2313</v>
      </c>
      <c r="I499" s="249">
        <v>2000</v>
      </c>
      <c r="J499" s="122" t="b">
        <f>IF(ISBLANK(CertifiedCrop[[#This Row],[1. Identifiant interne d’exploitation agricole*]]),"",IF(ISERROR(MATCH(CertifiedCrop[[#This Row],[1. Identifiant interne d’exploitation agricole*]],GroupMember[1. Identifiant interne d’exploitation agricole*],0)),FALSE,TRUE))</f>
        <v>1</v>
      </c>
      <c r="K499" s="122" t="b">
        <f t="array" ref="K499">IF(ISBLANK(CertifiedCrop[[#This Row],[2. Produit agricole certifié*]]),"",IF(ISERROR(MATCH(1,(#REF!=CertifiedCrop[[#This Row],[2. Produit agricole certifié*]])*(#REF!=CertifiedCrop[[#This Row],[3. Variété**]]),0)),FALSE,TRUE))</f>
        <v>0</v>
      </c>
      <c r="L499" s="20" t="str">
        <f t="shared" ref="L499:L562" si="40">IF((F499-G499)&lt;0,"!","")</f>
        <v/>
      </c>
      <c r="M499" s="54" t="str">
        <f t="shared" ref="M499:M562" si="41">IFERROR(IF((F499-G499)/G499&gt;25%,"!",IF((F499-G499)/G499&lt;-25%,"!","")),"")</f>
        <v>!</v>
      </c>
      <c r="N499" s="54" t="str">
        <f t="shared" ref="N499:N562" si="42">IFERROR(IF((G499-H499)/H499&gt;25%,"!",IF((G499-H499)/H499&lt;-25%,"!","")),"")</f>
        <v>!</v>
      </c>
      <c r="O499" s="55">
        <f t="shared" ref="O499:O562" si="43">IFERROR(E499/D499,"")</f>
        <v>591.54589371980683</v>
      </c>
      <c r="P499" s="55">
        <f t="shared" ref="P499:P562" si="44">IFERROR(F499/D499,"")</f>
        <v>570.53140096618358</v>
      </c>
      <c r="Q499" s="9" t="str">
        <f ca="1">IFERROR((VLOOKUP(A499,GM_Table,8,FALSE)-SUMIFS(D:D,A:A,A499,B:B,B499,C:C,C499)),"")</f>
        <v/>
      </c>
      <c r="R499" s="9" t="str">
        <f ca="1">IFERROR(CONCATENATE(VLOOKUP(A499,GM_Table,12,FALSE)," ",(VLOOKUP(A499,GM_Table,13,FALSE))),"")</f>
        <v/>
      </c>
    </row>
    <row r="500" spans="1:18" ht="15" x14ac:dyDescent="0.2">
      <c r="A500" s="193" t="s">
        <v>2152</v>
      </c>
      <c r="B500" s="9" t="s">
        <v>3290</v>
      </c>
      <c r="C500" s="9" t="s">
        <v>3291</v>
      </c>
      <c r="D500" s="252">
        <v>4.0999999999999996</v>
      </c>
      <c r="E500" s="245">
        <v>2232</v>
      </c>
      <c r="F500" s="246">
        <v>2175</v>
      </c>
      <c r="G500" s="247">
        <v>939</v>
      </c>
      <c r="H500" s="248">
        <v>1972</v>
      </c>
      <c r="I500" s="249">
        <v>2400</v>
      </c>
      <c r="J500" s="122" t="b">
        <f>IF(ISBLANK(CertifiedCrop[[#This Row],[1. Identifiant interne d’exploitation agricole*]]),"",IF(ISERROR(MATCH(CertifiedCrop[[#This Row],[1. Identifiant interne d’exploitation agricole*]],GroupMember[1. Identifiant interne d’exploitation agricole*],0)),FALSE,TRUE))</f>
        <v>1</v>
      </c>
      <c r="K500" s="122" t="b">
        <f t="array" ref="K500">IF(ISBLANK(CertifiedCrop[[#This Row],[2. Produit agricole certifié*]]),"",IF(ISERROR(MATCH(1,(#REF!=CertifiedCrop[[#This Row],[2. Produit agricole certifié*]])*(#REF!=CertifiedCrop[[#This Row],[3. Variété**]]),0)),FALSE,TRUE))</f>
        <v>0</v>
      </c>
      <c r="L500" s="20" t="str">
        <f t="shared" si="40"/>
        <v/>
      </c>
      <c r="M500" s="54" t="str">
        <f t="shared" si="41"/>
        <v>!</v>
      </c>
      <c r="N500" s="54" t="str">
        <f t="shared" si="42"/>
        <v>!</v>
      </c>
      <c r="O500" s="55">
        <f t="shared" si="43"/>
        <v>544.39024390243912</v>
      </c>
      <c r="P500" s="55">
        <f t="shared" si="44"/>
        <v>530.48780487804879</v>
      </c>
      <c r="Q500" s="9" t="str">
        <f ca="1">IFERROR((VLOOKUP(A500,GM_Table,8,FALSE)-SUMIFS(D:D,A:A,A500,B:B,B500,C:C,C500)),"")</f>
        <v/>
      </c>
      <c r="R500" s="9" t="str">
        <f ca="1">IFERROR(CONCATENATE(VLOOKUP(A500,GM_Table,12,FALSE)," ",(VLOOKUP(A500,GM_Table,13,FALSE))),"")</f>
        <v/>
      </c>
    </row>
    <row r="501" spans="1:18" ht="15" x14ac:dyDescent="0.2">
      <c r="A501" s="193" t="s">
        <v>2155</v>
      </c>
      <c r="B501" s="9" t="s">
        <v>3290</v>
      </c>
      <c r="C501" s="9" t="s">
        <v>3291</v>
      </c>
      <c r="D501" s="252">
        <v>4.93</v>
      </c>
      <c r="E501" s="245">
        <v>3139</v>
      </c>
      <c r="F501" s="246">
        <v>3088</v>
      </c>
      <c r="G501" s="247">
        <v>1610</v>
      </c>
      <c r="H501" s="248">
        <v>2944</v>
      </c>
      <c r="I501" s="249">
        <v>2800</v>
      </c>
      <c r="J501" s="122" t="b">
        <f>IF(ISBLANK(CertifiedCrop[[#This Row],[1. Identifiant interne d’exploitation agricole*]]),"",IF(ISERROR(MATCH(CertifiedCrop[[#This Row],[1. Identifiant interne d’exploitation agricole*]],GroupMember[1. Identifiant interne d’exploitation agricole*],0)),FALSE,TRUE))</f>
        <v>1</v>
      </c>
      <c r="K501" s="122" t="b">
        <f t="array" ref="K501">IF(ISBLANK(CertifiedCrop[[#This Row],[2. Produit agricole certifié*]]),"",IF(ISERROR(MATCH(1,(#REF!=CertifiedCrop[[#This Row],[2. Produit agricole certifié*]])*(#REF!=CertifiedCrop[[#This Row],[3. Variété**]]),0)),FALSE,TRUE))</f>
        <v>0</v>
      </c>
      <c r="L501" s="20" t="str">
        <f t="shared" si="40"/>
        <v/>
      </c>
      <c r="M501" s="54" t="str">
        <f t="shared" si="41"/>
        <v>!</v>
      </c>
      <c r="N501" s="54" t="str">
        <f t="shared" si="42"/>
        <v>!</v>
      </c>
      <c r="O501" s="55">
        <f t="shared" si="43"/>
        <v>636.71399594320485</v>
      </c>
      <c r="P501" s="55">
        <f t="shared" si="44"/>
        <v>626.36916835699799</v>
      </c>
      <c r="Q501" s="9" t="str">
        <f ca="1">IFERROR((VLOOKUP(A501,GM_Table,8,FALSE)-SUMIFS(D:D,A:A,A501,B:B,B501,C:C,C501)),"")</f>
        <v/>
      </c>
      <c r="R501" s="9" t="str">
        <f ca="1">IFERROR(CONCATENATE(VLOOKUP(A501,GM_Table,12,FALSE)," ",(VLOOKUP(A501,GM_Table,13,FALSE))),"")</f>
        <v/>
      </c>
    </row>
    <row r="502" spans="1:18" ht="15" x14ac:dyDescent="0.2">
      <c r="A502" s="205" t="s">
        <v>2156</v>
      </c>
      <c r="B502" s="9" t="s">
        <v>3290</v>
      </c>
      <c r="C502" s="9" t="s">
        <v>3291</v>
      </c>
      <c r="D502" s="252">
        <v>4.38</v>
      </c>
      <c r="E502" s="245">
        <v>2749</v>
      </c>
      <c r="F502" s="246">
        <v>2689</v>
      </c>
      <c r="G502" s="247">
        <v>1976</v>
      </c>
      <c r="H502" s="248">
        <v>2326</v>
      </c>
      <c r="I502" s="249">
        <v>2600</v>
      </c>
      <c r="J502" s="122" t="b">
        <f>IF(ISBLANK(CertifiedCrop[[#This Row],[1. Identifiant interne d’exploitation agricole*]]),"",IF(ISERROR(MATCH(CertifiedCrop[[#This Row],[1. Identifiant interne d’exploitation agricole*]],GroupMember[1. Identifiant interne d’exploitation agricole*],0)),FALSE,TRUE))</f>
        <v>1</v>
      </c>
      <c r="K502" s="122" t="b">
        <f t="array" ref="K502">IF(ISBLANK(CertifiedCrop[[#This Row],[2. Produit agricole certifié*]]),"",IF(ISERROR(MATCH(1,(#REF!=CertifiedCrop[[#This Row],[2. Produit agricole certifié*]])*(#REF!=CertifiedCrop[[#This Row],[3. Variété**]]),0)),FALSE,TRUE))</f>
        <v>0</v>
      </c>
      <c r="L502" s="20" t="str">
        <f t="shared" si="40"/>
        <v/>
      </c>
      <c r="M502" s="54" t="str">
        <f t="shared" si="41"/>
        <v>!</v>
      </c>
      <c r="N502" s="54" t="str">
        <f t="shared" si="42"/>
        <v/>
      </c>
      <c r="O502" s="55">
        <f t="shared" si="43"/>
        <v>627.6255707762557</v>
      </c>
      <c r="P502" s="55">
        <f t="shared" si="44"/>
        <v>613.92694063926945</v>
      </c>
      <c r="Q502" s="9" t="str">
        <f ca="1">IFERROR((VLOOKUP(A502,GM_Table,8,FALSE)-SUMIFS(D:D,A:A,A502,B:B,B502,C:C,C502)),"")</f>
        <v/>
      </c>
      <c r="R502" s="9" t="str">
        <f ca="1">IFERROR(CONCATENATE(VLOOKUP(A502,GM_Table,12,FALSE)," ",(VLOOKUP(A502,GM_Table,13,FALSE))),"")</f>
        <v/>
      </c>
    </row>
    <row r="503" spans="1:18" ht="15" x14ac:dyDescent="0.2">
      <c r="A503" s="193" t="s">
        <v>2158</v>
      </c>
      <c r="B503" s="9" t="s">
        <v>3290</v>
      </c>
      <c r="C503" s="9" t="s">
        <v>3291</v>
      </c>
      <c r="D503" s="252">
        <v>3.46</v>
      </c>
      <c r="E503" s="245">
        <v>1908</v>
      </c>
      <c r="F503" s="246">
        <v>1874</v>
      </c>
      <c r="G503" s="247">
        <v>789</v>
      </c>
      <c r="H503" s="248">
        <v>1551</v>
      </c>
      <c r="I503" s="249">
        <v>1700</v>
      </c>
      <c r="J503" s="122" t="b">
        <f>IF(ISBLANK(CertifiedCrop[[#This Row],[1. Identifiant interne d’exploitation agricole*]]),"",IF(ISERROR(MATCH(CertifiedCrop[[#This Row],[1. Identifiant interne d’exploitation agricole*]],GroupMember[1. Identifiant interne d’exploitation agricole*],0)),FALSE,TRUE))</f>
        <v>1</v>
      </c>
      <c r="K503" s="122" t="b">
        <f t="array" ref="K503">IF(ISBLANK(CertifiedCrop[[#This Row],[2. Produit agricole certifié*]]),"",IF(ISERROR(MATCH(1,(#REF!=CertifiedCrop[[#This Row],[2. Produit agricole certifié*]])*(#REF!=CertifiedCrop[[#This Row],[3. Variété**]]),0)),FALSE,TRUE))</f>
        <v>0</v>
      </c>
      <c r="L503" s="20" t="str">
        <f t="shared" si="40"/>
        <v/>
      </c>
      <c r="M503" s="54" t="str">
        <f t="shared" si="41"/>
        <v>!</v>
      </c>
      <c r="N503" s="54" t="str">
        <f t="shared" si="42"/>
        <v>!</v>
      </c>
      <c r="O503" s="55">
        <f t="shared" si="43"/>
        <v>551.44508670520236</v>
      </c>
      <c r="P503" s="55">
        <f t="shared" si="44"/>
        <v>541.61849710982665</v>
      </c>
      <c r="Q503" s="9" t="str">
        <f ca="1">IFERROR((VLOOKUP(A503,GM_Table,8,FALSE)-SUMIFS(D:D,A:A,A503,B:B,B503,C:C,C503)),"")</f>
        <v/>
      </c>
      <c r="R503" s="9" t="str">
        <f ca="1">IFERROR(CONCATENATE(VLOOKUP(A503,GM_Table,12,FALSE)," ",(VLOOKUP(A503,GM_Table,13,FALSE))),"")</f>
        <v/>
      </c>
    </row>
    <row r="504" spans="1:18" ht="15" x14ac:dyDescent="0.2">
      <c r="A504" s="193" t="s">
        <v>2161</v>
      </c>
      <c r="B504" s="9" t="s">
        <v>3290</v>
      </c>
      <c r="C504" s="9" t="s">
        <v>3291</v>
      </c>
      <c r="D504" s="252">
        <v>3.41</v>
      </c>
      <c r="E504" s="245">
        <v>2140</v>
      </c>
      <c r="F504" s="246">
        <v>2089</v>
      </c>
      <c r="G504" s="247">
        <v>1938</v>
      </c>
      <c r="H504" s="248">
        <v>2022</v>
      </c>
      <c r="I504" s="249">
        <v>2000</v>
      </c>
      <c r="J504" s="122" t="b">
        <f>IF(ISBLANK(CertifiedCrop[[#This Row],[1. Identifiant interne d’exploitation agricole*]]),"",IF(ISERROR(MATCH(CertifiedCrop[[#This Row],[1. Identifiant interne d’exploitation agricole*]],GroupMember[1. Identifiant interne d’exploitation agricole*],0)),FALSE,TRUE))</f>
        <v>1</v>
      </c>
      <c r="K504" s="122" t="b">
        <f t="array" ref="K504">IF(ISBLANK(CertifiedCrop[[#This Row],[2. Produit agricole certifié*]]),"",IF(ISERROR(MATCH(1,(#REF!=CertifiedCrop[[#This Row],[2. Produit agricole certifié*]])*(#REF!=CertifiedCrop[[#This Row],[3. Variété**]]),0)),FALSE,TRUE))</f>
        <v>0</v>
      </c>
      <c r="L504" s="20" t="str">
        <f t="shared" si="40"/>
        <v/>
      </c>
      <c r="M504" s="54" t="str">
        <f t="shared" si="41"/>
        <v/>
      </c>
      <c r="N504" s="54" t="str">
        <f t="shared" si="42"/>
        <v/>
      </c>
      <c r="O504" s="55">
        <f t="shared" si="43"/>
        <v>627.56598240469202</v>
      </c>
      <c r="P504" s="55">
        <f t="shared" si="44"/>
        <v>612.60997067448682</v>
      </c>
      <c r="Q504" s="9" t="str">
        <f ca="1">IFERROR((VLOOKUP(A504,GM_Table,8,FALSE)-SUMIFS(D:D,A:A,A504,B:B,B504,C:C,C504)),"")</f>
        <v/>
      </c>
      <c r="R504" s="9" t="str">
        <f ca="1">IFERROR(CONCATENATE(VLOOKUP(A504,GM_Table,12,FALSE)," ",(VLOOKUP(A504,GM_Table,13,FALSE))),"")</f>
        <v/>
      </c>
    </row>
    <row r="505" spans="1:18" ht="15" x14ac:dyDescent="0.2">
      <c r="A505" s="193" t="s">
        <v>2163</v>
      </c>
      <c r="B505" s="9" t="s">
        <v>3290</v>
      </c>
      <c r="C505" s="9" t="s">
        <v>3291</v>
      </c>
      <c r="D505" s="252">
        <v>5.2</v>
      </c>
      <c r="E505" s="245">
        <v>3305</v>
      </c>
      <c r="F505" s="246">
        <v>3262</v>
      </c>
      <c r="G505" s="247">
        <v>1068</v>
      </c>
      <c r="H505" s="248">
        <v>2866</v>
      </c>
      <c r="I505" s="249">
        <v>3000</v>
      </c>
      <c r="J505" s="122" t="b">
        <f>IF(ISBLANK(CertifiedCrop[[#This Row],[1. Identifiant interne d’exploitation agricole*]]),"",IF(ISERROR(MATCH(CertifiedCrop[[#This Row],[1. Identifiant interne d’exploitation agricole*]],GroupMember[1. Identifiant interne d’exploitation agricole*],0)),FALSE,TRUE))</f>
        <v>1</v>
      </c>
      <c r="K505" s="122" t="b">
        <f t="array" ref="K505">IF(ISBLANK(CertifiedCrop[[#This Row],[2. Produit agricole certifié*]]),"",IF(ISERROR(MATCH(1,(#REF!=CertifiedCrop[[#This Row],[2. Produit agricole certifié*]])*(#REF!=CertifiedCrop[[#This Row],[3. Variété**]]),0)),FALSE,TRUE))</f>
        <v>0</v>
      </c>
      <c r="L505" s="20" t="str">
        <f t="shared" si="40"/>
        <v/>
      </c>
      <c r="M505" s="54" t="str">
        <f t="shared" si="41"/>
        <v>!</v>
      </c>
      <c r="N505" s="54" t="str">
        <f t="shared" si="42"/>
        <v>!</v>
      </c>
      <c r="O505" s="55">
        <f t="shared" si="43"/>
        <v>635.57692307692309</v>
      </c>
      <c r="P505" s="55">
        <f t="shared" si="44"/>
        <v>627.30769230769226</v>
      </c>
      <c r="Q505" s="9" t="str">
        <f ca="1">IFERROR((VLOOKUP(A505,GM_Table,8,FALSE)-SUMIFS(D:D,A:A,A505,B:B,B505,C:C,C505)),"")</f>
        <v/>
      </c>
      <c r="R505" s="9" t="str">
        <f ca="1">IFERROR(CONCATENATE(VLOOKUP(A505,GM_Table,12,FALSE)," ",(VLOOKUP(A505,GM_Table,13,FALSE))),"")</f>
        <v/>
      </c>
    </row>
    <row r="506" spans="1:18" ht="15" x14ac:dyDescent="0.2">
      <c r="A506" s="193" t="s">
        <v>2165</v>
      </c>
      <c r="B506" s="9" t="s">
        <v>3290</v>
      </c>
      <c r="C506" s="9" t="s">
        <v>3291</v>
      </c>
      <c r="D506" s="252">
        <v>4.2300000000000004</v>
      </c>
      <c r="E506" s="245">
        <v>2548</v>
      </c>
      <c r="F506" s="246">
        <v>2456</v>
      </c>
      <c r="G506" s="247">
        <v>1690</v>
      </c>
      <c r="H506" s="248">
        <v>2279</v>
      </c>
      <c r="I506" s="249">
        <v>2500</v>
      </c>
      <c r="J506" s="122" t="b">
        <f>IF(ISBLANK(CertifiedCrop[[#This Row],[1. Identifiant interne d’exploitation agricole*]]),"",IF(ISERROR(MATCH(CertifiedCrop[[#This Row],[1. Identifiant interne d’exploitation agricole*]],GroupMember[1. Identifiant interne d’exploitation agricole*],0)),FALSE,TRUE))</f>
        <v>1</v>
      </c>
      <c r="K506" s="122" t="b">
        <f t="array" ref="K506">IF(ISBLANK(CertifiedCrop[[#This Row],[2. Produit agricole certifié*]]),"",IF(ISERROR(MATCH(1,(#REF!=CertifiedCrop[[#This Row],[2. Produit agricole certifié*]])*(#REF!=CertifiedCrop[[#This Row],[3. Variété**]]),0)),FALSE,TRUE))</f>
        <v>0</v>
      </c>
      <c r="L506" s="20" t="str">
        <f t="shared" si="40"/>
        <v/>
      </c>
      <c r="M506" s="54" t="str">
        <f t="shared" si="41"/>
        <v>!</v>
      </c>
      <c r="N506" s="54" t="str">
        <f t="shared" si="42"/>
        <v>!</v>
      </c>
      <c r="O506" s="55">
        <f t="shared" si="43"/>
        <v>602.36406619385332</v>
      </c>
      <c r="P506" s="55">
        <f t="shared" si="44"/>
        <v>580.61465721040179</v>
      </c>
      <c r="Q506" s="9" t="str">
        <f ca="1">IFERROR((VLOOKUP(A506,GM_Table,8,FALSE)-SUMIFS(D:D,A:A,A506,B:B,B506,C:C,C506)),"")</f>
        <v/>
      </c>
      <c r="R506" s="9" t="str">
        <f ca="1">IFERROR(CONCATENATE(VLOOKUP(A506,GM_Table,12,FALSE)," ",(VLOOKUP(A506,GM_Table,13,FALSE))),"")</f>
        <v/>
      </c>
    </row>
    <row r="507" spans="1:18" ht="15" x14ac:dyDescent="0.2">
      <c r="A507" s="193" t="s">
        <v>2167</v>
      </c>
      <c r="B507" s="9" t="s">
        <v>3290</v>
      </c>
      <c r="C507" s="9" t="s">
        <v>3291</v>
      </c>
      <c r="D507" s="252">
        <v>3.82</v>
      </c>
      <c r="E507" s="245">
        <v>2167</v>
      </c>
      <c r="F507" s="246">
        <v>2088</v>
      </c>
      <c r="G507" s="247">
        <v>248</v>
      </c>
      <c r="H507" s="248">
        <v>1698</v>
      </c>
      <c r="I507" s="249">
        <v>2200</v>
      </c>
      <c r="J507" s="122" t="b">
        <f>IF(ISBLANK(CertifiedCrop[[#This Row],[1. Identifiant interne d’exploitation agricole*]]),"",IF(ISERROR(MATCH(CertifiedCrop[[#This Row],[1. Identifiant interne d’exploitation agricole*]],GroupMember[1. Identifiant interne d’exploitation agricole*],0)),FALSE,TRUE))</f>
        <v>1</v>
      </c>
      <c r="K507" s="122" t="b">
        <f t="array" ref="K507">IF(ISBLANK(CertifiedCrop[[#This Row],[2. Produit agricole certifié*]]),"",IF(ISERROR(MATCH(1,(#REF!=CertifiedCrop[[#This Row],[2. Produit agricole certifié*]])*(#REF!=CertifiedCrop[[#This Row],[3. Variété**]]),0)),FALSE,TRUE))</f>
        <v>0</v>
      </c>
      <c r="L507" s="20" t="str">
        <f t="shared" si="40"/>
        <v/>
      </c>
      <c r="M507" s="54" t="str">
        <f t="shared" si="41"/>
        <v>!</v>
      </c>
      <c r="N507" s="54" t="str">
        <f t="shared" si="42"/>
        <v>!</v>
      </c>
      <c r="O507" s="55">
        <f t="shared" si="43"/>
        <v>567.27748691099475</v>
      </c>
      <c r="P507" s="55">
        <f t="shared" si="44"/>
        <v>546.59685863874347</v>
      </c>
      <c r="Q507" s="9" t="str">
        <f ca="1">IFERROR((VLOOKUP(A507,GM_Table,8,FALSE)-SUMIFS(D:D,A:A,A507,B:B,B507,C:C,C507)),"")</f>
        <v/>
      </c>
      <c r="R507" s="9" t="str">
        <f ca="1">IFERROR(CONCATENATE(VLOOKUP(A507,GM_Table,12,FALSE)," ",(VLOOKUP(A507,GM_Table,13,FALSE))),"")</f>
        <v/>
      </c>
    </row>
    <row r="508" spans="1:18" ht="15" x14ac:dyDescent="0.2">
      <c r="A508" s="193" t="s">
        <v>2169</v>
      </c>
      <c r="B508" s="9" t="s">
        <v>3290</v>
      </c>
      <c r="C508" s="9" t="s">
        <v>3291</v>
      </c>
      <c r="D508" s="252">
        <v>2.56</v>
      </c>
      <c r="E508" s="245">
        <v>1517</v>
      </c>
      <c r="F508" s="246">
        <v>1478</v>
      </c>
      <c r="G508" s="247">
        <v>1041</v>
      </c>
      <c r="H508" s="248">
        <v>1404</v>
      </c>
      <c r="I508" s="249">
        <v>1500</v>
      </c>
      <c r="J508" s="122" t="b">
        <f>IF(ISBLANK(CertifiedCrop[[#This Row],[1. Identifiant interne d’exploitation agricole*]]),"",IF(ISERROR(MATCH(CertifiedCrop[[#This Row],[1. Identifiant interne d’exploitation agricole*]],GroupMember[1. Identifiant interne d’exploitation agricole*],0)),FALSE,TRUE))</f>
        <v>1</v>
      </c>
      <c r="K508" s="122" t="b">
        <f t="array" ref="K508">IF(ISBLANK(CertifiedCrop[[#This Row],[2. Produit agricole certifié*]]),"",IF(ISERROR(MATCH(1,(#REF!=CertifiedCrop[[#This Row],[2. Produit agricole certifié*]])*(#REF!=CertifiedCrop[[#This Row],[3. Variété**]]),0)),FALSE,TRUE))</f>
        <v>0</v>
      </c>
      <c r="L508" s="20" t="str">
        <f t="shared" si="40"/>
        <v/>
      </c>
      <c r="M508" s="54" t="str">
        <f t="shared" si="41"/>
        <v>!</v>
      </c>
      <c r="N508" s="54" t="str">
        <f t="shared" si="42"/>
        <v>!</v>
      </c>
      <c r="O508" s="55">
        <f t="shared" si="43"/>
        <v>592.578125</v>
      </c>
      <c r="P508" s="55">
        <f t="shared" si="44"/>
        <v>577.34375</v>
      </c>
      <c r="Q508" s="9" t="str">
        <f ca="1">IFERROR((VLOOKUP(A508,GM_Table,8,FALSE)-SUMIFS(D:D,A:A,A508,B:B,B508,C:C,C508)),"")</f>
        <v/>
      </c>
      <c r="R508" s="9" t="str">
        <f ca="1">IFERROR(CONCATENATE(VLOOKUP(A508,GM_Table,12,FALSE)," ",(VLOOKUP(A508,GM_Table,13,FALSE))),"")</f>
        <v/>
      </c>
    </row>
    <row r="509" spans="1:18" ht="15" x14ac:dyDescent="0.2">
      <c r="A509" s="193" t="s">
        <v>2173</v>
      </c>
      <c r="B509" s="9" t="s">
        <v>3290</v>
      </c>
      <c r="C509" s="9" t="s">
        <v>3291</v>
      </c>
      <c r="D509" s="252">
        <v>2.54</v>
      </c>
      <c r="E509" s="245">
        <v>1594</v>
      </c>
      <c r="F509" s="246">
        <v>1505</v>
      </c>
      <c r="G509" s="247">
        <v>1087</v>
      </c>
      <c r="H509" s="248">
        <v>1450</v>
      </c>
      <c r="I509" s="249">
        <v>1500</v>
      </c>
      <c r="J509" s="122" t="b">
        <f>IF(ISBLANK(CertifiedCrop[[#This Row],[1. Identifiant interne d’exploitation agricole*]]),"",IF(ISERROR(MATCH(CertifiedCrop[[#This Row],[1. Identifiant interne d’exploitation agricole*]],GroupMember[1. Identifiant interne d’exploitation agricole*],0)),FALSE,TRUE))</f>
        <v>1</v>
      </c>
      <c r="K509" s="122" t="b">
        <f t="array" ref="K509">IF(ISBLANK(CertifiedCrop[[#This Row],[2. Produit agricole certifié*]]),"",IF(ISERROR(MATCH(1,(#REF!=CertifiedCrop[[#This Row],[2. Produit agricole certifié*]])*(#REF!=CertifiedCrop[[#This Row],[3. Variété**]]),0)),FALSE,TRUE))</f>
        <v>0</v>
      </c>
      <c r="L509" s="20" t="str">
        <f t="shared" si="40"/>
        <v/>
      </c>
      <c r="M509" s="54" t="str">
        <f t="shared" si="41"/>
        <v>!</v>
      </c>
      <c r="N509" s="54" t="str">
        <f t="shared" si="42"/>
        <v>!</v>
      </c>
      <c r="O509" s="55">
        <f t="shared" si="43"/>
        <v>627.55905511811022</v>
      </c>
      <c r="P509" s="55">
        <f t="shared" si="44"/>
        <v>592.51968503937007</v>
      </c>
      <c r="Q509" s="9" t="str">
        <f ca="1">IFERROR((VLOOKUP(A509,GM_Table,8,FALSE)-SUMIFS(D:D,A:A,A509,B:B,B509,C:C,C509)),"")</f>
        <v/>
      </c>
      <c r="R509" s="9" t="str">
        <f ca="1">IFERROR(CONCATENATE(VLOOKUP(A509,GM_Table,12,FALSE)," ",(VLOOKUP(A509,GM_Table,13,FALSE))),"")</f>
        <v/>
      </c>
    </row>
    <row r="510" spans="1:18" ht="15" x14ac:dyDescent="0.2">
      <c r="A510" s="193" t="s">
        <v>2174</v>
      </c>
      <c r="B510" s="9" t="s">
        <v>3290</v>
      </c>
      <c r="C510" s="9" t="s">
        <v>3291</v>
      </c>
      <c r="D510" s="252">
        <v>2.77</v>
      </c>
      <c r="E510" s="245">
        <v>1450</v>
      </c>
      <c r="F510" s="246">
        <v>1421</v>
      </c>
      <c r="G510" s="247">
        <v>458</v>
      </c>
      <c r="H510" s="248">
        <v>1131</v>
      </c>
      <c r="I510" s="249">
        <v>1300</v>
      </c>
      <c r="J510" s="122" t="b">
        <f>IF(ISBLANK(CertifiedCrop[[#This Row],[1. Identifiant interne d’exploitation agricole*]]),"",IF(ISERROR(MATCH(CertifiedCrop[[#This Row],[1. Identifiant interne d’exploitation agricole*]],GroupMember[1. Identifiant interne d’exploitation agricole*],0)),FALSE,TRUE))</f>
        <v>1</v>
      </c>
      <c r="K510" s="122" t="b">
        <f t="array" ref="K510">IF(ISBLANK(CertifiedCrop[[#This Row],[2. Produit agricole certifié*]]),"",IF(ISERROR(MATCH(1,(#REF!=CertifiedCrop[[#This Row],[2. Produit agricole certifié*]])*(#REF!=CertifiedCrop[[#This Row],[3. Variété**]]),0)),FALSE,TRUE))</f>
        <v>0</v>
      </c>
      <c r="L510" s="20" t="str">
        <f t="shared" si="40"/>
        <v/>
      </c>
      <c r="M510" s="54" t="str">
        <f t="shared" si="41"/>
        <v>!</v>
      </c>
      <c r="N510" s="54" t="str">
        <f t="shared" si="42"/>
        <v>!</v>
      </c>
      <c r="O510" s="55">
        <f t="shared" si="43"/>
        <v>523.46570397111918</v>
      </c>
      <c r="P510" s="55">
        <f t="shared" si="44"/>
        <v>512.99638989169671</v>
      </c>
      <c r="Q510" s="9" t="str">
        <f ca="1">IFERROR((VLOOKUP(A510,GM_Table,8,FALSE)-SUMIFS(D:D,A:A,A510,B:B,B510,C:C,C510)),"")</f>
        <v/>
      </c>
      <c r="R510" s="9" t="str">
        <f ca="1">IFERROR(CONCATENATE(VLOOKUP(A510,GM_Table,12,FALSE)," ",(VLOOKUP(A510,GM_Table,13,FALSE))),"")</f>
        <v/>
      </c>
    </row>
    <row r="511" spans="1:18" ht="15" x14ac:dyDescent="0.2">
      <c r="A511" s="193" t="s">
        <v>2177</v>
      </c>
      <c r="B511" s="9" t="s">
        <v>3290</v>
      </c>
      <c r="C511" s="9" t="s">
        <v>3291</v>
      </c>
      <c r="D511" s="252">
        <v>1.44</v>
      </c>
      <c r="E511" s="221">
        <v>772</v>
      </c>
      <c r="F511" s="246">
        <v>756</v>
      </c>
      <c r="G511" s="247">
        <v>245</v>
      </c>
      <c r="H511" s="248">
        <v>423</v>
      </c>
      <c r="I511" s="249">
        <v>850</v>
      </c>
      <c r="J511" s="122" t="b">
        <f>IF(ISBLANK(CertifiedCrop[[#This Row],[1. Identifiant interne d’exploitation agricole*]]),"",IF(ISERROR(MATCH(CertifiedCrop[[#This Row],[1. Identifiant interne d’exploitation agricole*]],GroupMember[1. Identifiant interne d’exploitation agricole*],0)),FALSE,TRUE))</f>
        <v>1</v>
      </c>
      <c r="K511" s="122" t="b">
        <f t="array" ref="K511">IF(ISBLANK(CertifiedCrop[[#This Row],[2. Produit agricole certifié*]]),"",IF(ISERROR(MATCH(1,(#REF!=CertifiedCrop[[#This Row],[2. Produit agricole certifié*]])*(#REF!=CertifiedCrop[[#This Row],[3. Variété**]]),0)),FALSE,TRUE))</f>
        <v>0</v>
      </c>
      <c r="L511" s="20" t="str">
        <f t="shared" si="40"/>
        <v/>
      </c>
      <c r="M511" s="54" t="str">
        <f t="shared" si="41"/>
        <v>!</v>
      </c>
      <c r="N511" s="54" t="str">
        <f t="shared" si="42"/>
        <v>!</v>
      </c>
      <c r="O511" s="55">
        <f t="shared" si="43"/>
        <v>536.11111111111109</v>
      </c>
      <c r="P511" s="55">
        <f t="shared" si="44"/>
        <v>525</v>
      </c>
      <c r="Q511" s="9" t="str">
        <f ca="1">IFERROR((VLOOKUP(A511,GM_Table,8,FALSE)-SUMIFS(D:D,A:A,A511,B:B,B511,C:C,C511)),"")</f>
        <v/>
      </c>
      <c r="R511" s="9" t="str">
        <f ca="1">IFERROR(CONCATENATE(VLOOKUP(A511,GM_Table,12,FALSE)," ",(VLOOKUP(A511,GM_Table,13,FALSE))),"")</f>
        <v/>
      </c>
    </row>
    <row r="512" spans="1:18" ht="15" x14ac:dyDescent="0.2">
      <c r="A512" s="193" t="s">
        <v>2178</v>
      </c>
      <c r="B512" s="9" t="s">
        <v>3290</v>
      </c>
      <c r="C512" s="9" t="s">
        <v>3291</v>
      </c>
      <c r="D512" s="252">
        <v>2.12</v>
      </c>
      <c r="E512" s="245">
        <v>1215</v>
      </c>
      <c r="F512" s="246">
        <v>1165</v>
      </c>
      <c r="G512" s="247">
        <v>369</v>
      </c>
      <c r="H512" s="248">
        <v>1262</v>
      </c>
      <c r="I512" s="249">
        <v>1200</v>
      </c>
      <c r="J512" s="122" t="b">
        <f>IF(ISBLANK(CertifiedCrop[[#This Row],[1. Identifiant interne d’exploitation agricole*]]),"",IF(ISERROR(MATCH(CertifiedCrop[[#This Row],[1. Identifiant interne d’exploitation agricole*]],GroupMember[1. Identifiant interne d’exploitation agricole*],0)),FALSE,TRUE))</f>
        <v>1</v>
      </c>
      <c r="K512" s="122" t="b">
        <f t="array" ref="K512">IF(ISBLANK(CertifiedCrop[[#This Row],[2. Produit agricole certifié*]]),"",IF(ISERROR(MATCH(1,(#REF!=CertifiedCrop[[#This Row],[2. Produit agricole certifié*]])*(#REF!=CertifiedCrop[[#This Row],[3. Variété**]]),0)),FALSE,TRUE))</f>
        <v>0</v>
      </c>
      <c r="L512" s="20" t="str">
        <f t="shared" si="40"/>
        <v/>
      </c>
      <c r="M512" s="54" t="str">
        <f t="shared" si="41"/>
        <v>!</v>
      </c>
      <c r="N512" s="54" t="str">
        <f t="shared" si="42"/>
        <v>!</v>
      </c>
      <c r="O512" s="55">
        <f t="shared" si="43"/>
        <v>573.11320754716974</v>
      </c>
      <c r="P512" s="55">
        <f t="shared" si="44"/>
        <v>549.52830188679241</v>
      </c>
      <c r="Q512" s="9" t="str">
        <f ca="1">IFERROR((VLOOKUP(A512,GM_Table,8,FALSE)-SUMIFS(D:D,A:A,A512,B:B,B512,C:C,C512)),"")</f>
        <v/>
      </c>
      <c r="R512" s="9" t="str">
        <f ca="1">IFERROR(CONCATENATE(VLOOKUP(A512,GM_Table,12,FALSE)," ",(VLOOKUP(A512,GM_Table,13,FALSE))),"")</f>
        <v/>
      </c>
    </row>
    <row r="513" spans="1:18" ht="15" x14ac:dyDescent="0.2">
      <c r="A513" s="193" t="s">
        <v>2181</v>
      </c>
      <c r="B513" s="9" t="s">
        <v>3290</v>
      </c>
      <c r="C513" s="9" t="s">
        <v>3291</v>
      </c>
      <c r="D513" s="252">
        <v>3.9</v>
      </c>
      <c r="E513" s="245">
        <v>2056</v>
      </c>
      <c r="F513" s="246">
        <v>2009</v>
      </c>
      <c r="G513" s="247">
        <v>110</v>
      </c>
      <c r="H513" s="248">
        <v>1844</v>
      </c>
      <c r="I513" s="249">
        <v>2300</v>
      </c>
      <c r="J513" s="122" t="b">
        <f>IF(ISBLANK(CertifiedCrop[[#This Row],[1. Identifiant interne d’exploitation agricole*]]),"",IF(ISERROR(MATCH(CertifiedCrop[[#This Row],[1. Identifiant interne d’exploitation agricole*]],GroupMember[1. Identifiant interne d’exploitation agricole*],0)),FALSE,TRUE))</f>
        <v>1</v>
      </c>
      <c r="K513" s="122" t="b">
        <f t="array" ref="K513">IF(ISBLANK(CertifiedCrop[[#This Row],[2. Produit agricole certifié*]]),"",IF(ISERROR(MATCH(1,(#REF!=CertifiedCrop[[#This Row],[2. Produit agricole certifié*]])*(#REF!=CertifiedCrop[[#This Row],[3. Variété**]]),0)),FALSE,TRUE))</f>
        <v>0</v>
      </c>
      <c r="L513" s="20" t="str">
        <f t="shared" si="40"/>
        <v/>
      </c>
      <c r="M513" s="54" t="str">
        <f t="shared" si="41"/>
        <v>!</v>
      </c>
      <c r="N513" s="54" t="str">
        <f t="shared" si="42"/>
        <v>!</v>
      </c>
      <c r="O513" s="55">
        <f t="shared" si="43"/>
        <v>527.17948717948718</v>
      </c>
      <c r="P513" s="55">
        <f t="shared" si="44"/>
        <v>515.1282051282052</v>
      </c>
      <c r="Q513" s="9" t="str">
        <f ca="1">IFERROR((VLOOKUP(A513,GM_Table,8,FALSE)-SUMIFS(D:D,A:A,A513,B:B,B513,C:C,C513)),"")</f>
        <v/>
      </c>
      <c r="R513" s="9" t="str">
        <f ca="1">IFERROR(CONCATENATE(VLOOKUP(A513,GM_Table,12,FALSE)," ",(VLOOKUP(A513,GM_Table,13,FALSE))),"")</f>
        <v/>
      </c>
    </row>
    <row r="514" spans="1:18" ht="15" x14ac:dyDescent="0.2">
      <c r="A514" s="193" t="s">
        <v>2182</v>
      </c>
      <c r="B514" s="9" t="s">
        <v>3290</v>
      </c>
      <c r="C514" s="9" t="s">
        <v>3291</v>
      </c>
      <c r="D514" s="252">
        <v>4.0599999999999996</v>
      </c>
      <c r="E514" s="245">
        <v>2446</v>
      </c>
      <c r="F514" s="246">
        <v>2365</v>
      </c>
      <c r="G514" s="247">
        <v>259</v>
      </c>
      <c r="H514" s="248">
        <v>2230</v>
      </c>
      <c r="I514" s="249">
        <v>2000</v>
      </c>
      <c r="J514" s="122" t="b">
        <f>IF(ISBLANK(CertifiedCrop[[#This Row],[1. Identifiant interne d’exploitation agricole*]]),"",IF(ISERROR(MATCH(CertifiedCrop[[#This Row],[1. Identifiant interne d’exploitation agricole*]],GroupMember[1. Identifiant interne d’exploitation agricole*],0)),FALSE,TRUE))</f>
        <v>1</v>
      </c>
      <c r="K514" s="122" t="b">
        <f t="array" ref="K514">IF(ISBLANK(CertifiedCrop[[#This Row],[2. Produit agricole certifié*]]),"",IF(ISERROR(MATCH(1,(#REF!=CertifiedCrop[[#This Row],[2. Produit agricole certifié*]])*(#REF!=CertifiedCrop[[#This Row],[3. Variété**]]),0)),FALSE,TRUE))</f>
        <v>0</v>
      </c>
      <c r="L514" s="20" t="str">
        <f t="shared" si="40"/>
        <v/>
      </c>
      <c r="M514" s="54" t="str">
        <f t="shared" si="41"/>
        <v>!</v>
      </c>
      <c r="N514" s="54" t="str">
        <f t="shared" si="42"/>
        <v>!</v>
      </c>
      <c r="O514" s="55">
        <f t="shared" si="43"/>
        <v>602.46305418719214</v>
      </c>
      <c r="P514" s="55">
        <f t="shared" si="44"/>
        <v>582.51231527093603</v>
      </c>
      <c r="Q514" s="9" t="str">
        <f ca="1">IFERROR((VLOOKUP(A514,GM_Table,8,FALSE)-SUMIFS(D:D,A:A,A514,B:B,B514,C:C,C514)),"")</f>
        <v/>
      </c>
      <c r="R514" s="9" t="str">
        <f ca="1">IFERROR(CONCATENATE(VLOOKUP(A514,GM_Table,12,FALSE)," ",(VLOOKUP(A514,GM_Table,13,FALSE))),"")</f>
        <v/>
      </c>
    </row>
    <row r="515" spans="1:18" ht="15" x14ac:dyDescent="0.2">
      <c r="A515" s="193" t="s">
        <v>2184</v>
      </c>
      <c r="B515" s="9" t="s">
        <v>3290</v>
      </c>
      <c r="C515" s="9" t="s">
        <v>3291</v>
      </c>
      <c r="D515" s="252">
        <v>5.22</v>
      </c>
      <c r="E515" s="245">
        <v>3088</v>
      </c>
      <c r="F515" s="246">
        <v>2958</v>
      </c>
      <c r="G515" s="247">
        <v>424</v>
      </c>
      <c r="H515" s="248">
        <v>2315</v>
      </c>
      <c r="I515" s="249">
        <v>3100</v>
      </c>
      <c r="J515" s="122" t="b">
        <f>IF(ISBLANK(CertifiedCrop[[#This Row],[1. Identifiant interne d’exploitation agricole*]]),"",IF(ISERROR(MATCH(CertifiedCrop[[#This Row],[1. Identifiant interne d’exploitation agricole*]],GroupMember[1. Identifiant interne d’exploitation agricole*],0)),FALSE,TRUE))</f>
        <v>1</v>
      </c>
      <c r="K515" s="122" t="b">
        <f t="array" ref="K515">IF(ISBLANK(CertifiedCrop[[#This Row],[2. Produit agricole certifié*]]),"",IF(ISERROR(MATCH(1,(#REF!=CertifiedCrop[[#This Row],[2. Produit agricole certifié*]])*(#REF!=CertifiedCrop[[#This Row],[3. Variété**]]),0)),FALSE,TRUE))</f>
        <v>0</v>
      </c>
      <c r="L515" s="20" t="str">
        <f t="shared" si="40"/>
        <v/>
      </c>
      <c r="M515" s="54" t="str">
        <f t="shared" si="41"/>
        <v>!</v>
      </c>
      <c r="N515" s="54" t="str">
        <f t="shared" si="42"/>
        <v>!</v>
      </c>
      <c r="O515" s="55">
        <f t="shared" si="43"/>
        <v>591.57088122605364</v>
      </c>
      <c r="P515" s="55">
        <f t="shared" si="44"/>
        <v>566.66666666666674</v>
      </c>
      <c r="Q515" s="9" t="str">
        <f ca="1">IFERROR((VLOOKUP(A515,GM_Table,8,FALSE)-SUMIFS(D:D,A:A,A515,B:B,B515,C:C,C515)),"")</f>
        <v/>
      </c>
      <c r="R515" s="9" t="str">
        <f ca="1">IFERROR(CONCATENATE(VLOOKUP(A515,GM_Table,12,FALSE)," ",(VLOOKUP(A515,GM_Table,13,FALSE))),"")</f>
        <v/>
      </c>
    </row>
    <row r="516" spans="1:18" ht="15" x14ac:dyDescent="0.2">
      <c r="A516" s="193" t="s">
        <v>2186</v>
      </c>
      <c r="B516" s="9" t="s">
        <v>3290</v>
      </c>
      <c r="C516" s="9" t="s">
        <v>3291</v>
      </c>
      <c r="D516" s="252">
        <v>1.33</v>
      </c>
      <c r="E516" s="221">
        <v>755</v>
      </c>
      <c r="F516" s="246">
        <v>719</v>
      </c>
      <c r="G516" s="247">
        <v>594</v>
      </c>
      <c r="H516" s="248">
        <v>625</v>
      </c>
      <c r="I516" s="249">
        <v>750</v>
      </c>
      <c r="J516" s="122" t="b">
        <f>IF(ISBLANK(CertifiedCrop[[#This Row],[1. Identifiant interne d’exploitation agricole*]]),"",IF(ISERROR(MATCH(CertifiedCrop[[#This Row],[1. Identifiant interne d’exploitation agricole*]],GroupMember[1. Identifiant interne d’exploitation agricole*],0)),FALSE,TRUE))</f>
        <v>1</v>
      </c>
      <c r="K516" s="122" t="b">
        <f t="array" ref="K516">IF(ISBLANK(CertifiedCrop[[#This Row],[2. Produit agricole certifié*]]),"",IF(ISERROR(MATCH(1,(#REF!=CertifiedCrop[[#This Row],[2. Produit agricole certifié*]])*(#REF!=CertifiedCrop[[#This Row],[3. Variété**]]),0)),FALSE,TRUE))</f>
        <v>0</v>
      </c>
      <c r="L516" s="20" t="str">
        <f t="shared" si="40"/>
        <v/>
      </c>
      <c r="M516" s="54" t="str">
        <f t="shared" si="41"/>
        <v/>
      </c>
      <c r="N516" s="54" t="str">
        <f t="shared" si="42"/>
        <v/>
      </c>
      <c r="O516" s="55">
        <f t="shared" si="43"/>
        <v>567.66917293233075</v>
      </c>
      <c r="P516" s="55">
        <f t="shared" si="44"/>
        <v>540.6015037593985</v>
      </c>
      <c r="Q516" s="9" t="str">
        <f ca="1">IFERROR((VLOOKUP(A516,GM_Table,8,FALSE)-SUMIFS(D:D,A:A,A516,B:B,B516,C:C,C516)),"")</f>
        <v/>
      </c>
      <c r="R516" s="9" t="str">
        <f ca="1">IFERROR(CONCATENATE(VLOOKUP(A516,GM_Table,12,FALSE)," ",(VLOOKUP(A516,GM_Table,13,FALSE))),"")</f>
        <v/>
      </c>
    </row>
    <row r="517" spans="1:18" ht="15" x14ac:dyDescent="0.2">
      <c r="A517" s="193" t="s">
        <v>2189</v>
      </c>
      <c r="B517" s="9" t="s">
        <v>3290</v>
      </c>
      <c r="C517" s="9" t="s">
        <v>3291</v>
      </c>
      <c r="D517" s="252">
        <v>3.49</v>
      </c>
      <c r="E517" s="245">
        <v>2064</v>
      </c>
      <c r="F517" s="246">
        <v>1968</v>
      </c>
      <c r="G517" s="247">
        <v>1285</v>
      </c>
      <c r="H517" s="248">
        <v>1871</v>
      </c>
      <c r="I517" s="249">
        <v>2100</v>
      </c>
      <c r="J517" s="122" t="b">
        <f>IF(ISBLANK(CertifiedCrop[[#This Row],[1. Identifiant interne d’exploitation agricole*]]),"",IF(ISERROR(MATCH(CertifiedCrop[[#This Row],[1. Identifiant interne d’exploitation agricole*]],GroupMember[1. Identifiant interne d’exploitation agricole*],0)),FALSE,TRUE))</f>
        <v>1</v>
      </c>
      <c r="K517" s="122" t="b">
        <f t="array" ref="K517">IF(ISBLANK(CertifiedCrop[[#This Row],[2. Produit agricole certifié*]]),"",IF(ISERROR(MATCH(1,(#REF!=CertifiedCrop[[#This Row],[2. Produit agricole certifié*]])*(#REF!=CertifiedCrop[[#This Row],[3. Variété**]]),0)),FALSE,TRUE))</f>
        <v>0</v>
      </c>
      <c r="L517" s="20" t="str">
        <f t="shared" si="40"/>
        <v/>
      </c>
      <c r="M517" s="54" t="str">
        <f t="shared" si="41"/>
        <v>!</v>
      </c>
      <c r="N517" s="54" t="str">
        <f t="shared" si="42"/>
        <v>!</v>
      </c>
      <c r="O517" s="55">
        <f t="shared" si="43"/>
        <v>591.40401146131796</v>
      </c>
      <c r="P517" s="55">
        <f t="shared" si="44"/>
        <v>563.89684813753581</v>
      </c>
      <c r="Q517" s="9" t="str">
        <f ca="1">IFERROR((VLOOKUP(A517,GM_Table,8,FALSE)-SUMIFS(D:D,A:A,A517,B:B,B517,C:C,C517)),"")</f>
        <v/>
      </c>
      <c r="R517" s="9" t="str">
        <f ca="1">IFERROR(CONCATENATE(VLOOKUP(A517,GM_Table,12,FALSE)," ",(VLOOKUP(A517,GM_Table,13,FALSE))),"")</f>
        <v/>
      </c>
    </row>
    <row r="518" spans="1:18" ht="15" x14ac:dyDescent="0.2">
      <c r="A518" s="193" t="s">
        <v>2192</v>
      </c>
      <c r="B518" s="9" t="s">
        <v>3290</v>
      </c>
      <c r="C518" s="9" t="s">
        <v>3291</v>
      </c>
      <c r="D518" s="252">
        <v>10.27</v>
      </c>
      <c r="E518" s="245">
        <v>6095</v>
      </c>
      <c r="F518" s="246">
        <v>5626</v>
      </c>
      <c r="G518" s="247">
        <v>1641</v>
      </c>
      <c r="H518" s="248">
        <v>5513</v>
      </c>
      <c r="I518" s="249">
        <v>6100</v>
      </c>
      <c r="J518" s="122" t="b">
        <f>IF(ISBLANK(CertifiedCrop[[#This Row],[1. Identifiant interne d’exploitation agricole*]]),"",IF(ISERROR(MATCH(CertifiedCrop[[#This Row],[1. Identifiant interne d’exploitation agricole*]],GroupMember[1. Identifiant interne d’exploitation agricole*],0)),FALSE,TRUE))</f>
        <v>1</v>
      </c>
      <c r="K518" s="122" t="b">
        <f t="array" ref="K518">IF(ISBLANK(CertifiedCrop[[#This Row],[2. Produit agricole certifié*]]),"",IF(ISERROR(MATCH(1,(#REF!=CertifiedCrop[[#This Row],[2. Produit agricole certifié*]])*(#REF!=CertifiedCrop[[#This Row],[3. Variété**]]),0)),FALSE,TRUE))</f>
        <v>0</v>
      </c>
      <c r="L518" s="20" t="str">
        <f t="shared" si="40"/>
        <v/>
      </c>
      <c r="M518" s="54" t="str">
        <f t="shared" si="41"/>
        <v>!</v>
      </c>
      <c r="N518" s="54" t="str">
        <f t="shared" si="42"/>
        <v>!</v>
      </c>
      <c r="O518" s="55">
        <f t="shared" si="43"/>
        <v>593.47614410905555</v>
      </c>
      <c r="P518" s="55">
        <f t="shared" si="44"/>
        <v>547.80915287244409</v>
      </c>
      <c r="Q518" s="9" t="str">
        <f ca="1">IFERROR((VLOOKUP(A518,GM_Table,8,FALSE)-SUMIFS(D:D,A:A,A518,B:B,B518,C:C,C518)),"")</f>
        <v/>
      </c>
      <c r="R518" s="9" t="str">
        <f ca="1">IFERROR(CONCATENATE(VLOOKUP(A518,GM_Table,12,FALSE)," ",(VLOOKUP(A518,GM_Table,13,FALSE))),"")</f>
        <v/>
      </c>
    </row>
    <row r="519" spans="1:18" ht="15" x14ac:dyDescent="0.2">
      <c r="A519" s="193" t="s">
        <v>2194</v>
      </c>
      <c r="B519" s="9" t="s">
        <v>3290</v>
      </c>
      <c r="C519" s="9" t="s">
        <v>3291</v>
      </c>
      <c r="D519" s="252">
        <v>5.01</v>
      </c>
      <c r="E519" s="245">
        <v>2898</v>
      </c>
      <c r="F519" s="246">
        <v>2746</v>
      </c>
      <c r="G519" s="247">
        <v>379</v>
      </c>
      <c r="H519" s="248">
        <v>2149</v>
      </c>
      <c r="I519" s="249">
        <v>2800</v>
      </c>
      <c r="J519" s="122" t="b">
        <f>IF(ISBLANK(CertifiedCrop[[#This Row],[1. Identifiant interne d’exploitation agricole*]]),"",IF(ISERROR(MATCH(CertifiedCrop[[#This Row],[1. Identifiant interne d’exploitation agricole*]],GroupMember[1. Identifiant interne d’exploitation agricole*],0)),FALSE,TRUE))</f>
        <v>1</v>
      </c>
      <c r="K519" s="122" t="b">
        <f t="array" ref="K519">IF(ISBLANK(CertifiedCrop[[#This Row],[2. Produit agricole certifié*]]),"",IF(ISERROR(MATCH(1,(#REF!=CertifiedCrop[[#This Row],[2. Produit agricole certifié*]])*(#REF!=CertifiedCrop[[#This Row],[3. Variété**]]),0)),FALSE,TRUE))</f>
        <v>0</v>
      </c>
      <c r="L519" s="20" t="str">
        <f t="shared" si="40"/>
        <v/>
      </c>
      <c r="M519" s="54" t="str">
        <f t="shared" si="41"/>
        <v>!</v>
      </c>
      <c r="N519" s="54" t="str">
        <f t="shared" si="42"/>
        <v>!</v>
      </c>
      <c r="O519" s="55">
        <f t="shared" si="43"/>
        <v>578.44311377245515</v>
      </c>
      <c r="P519" s="55">
        <f t="shared" si="44"/>
        <v>548.10379241516966</v>
      </c>
      <c r="Q519" s="9" t="str">
        <f ca="1">IFERROR((VLOOKUP(A519,GM_Table,8,FALSE)-SUMIFS(D:D,A:A,A519,B:B,B519,C:C,C519)),"")</f>
        <v/>
      </c>
      <c r="R519" s="9" t="str">
        <f ca="1">IFERROR(CONCATENATE(VLOOKUP(A519,GM_Table,12,FALSE)," ",(VLOOKUP(A519,GM_Table,13,FALSE))),"")</f>
        <v/>
      </c>
    </row>
    <row r="520" spans="1:18" ht="15" x14ac:dyDescent="0.2">
      <c r="A520" s="193" t="s">
        <v>2196</v>
      </c>
      <c r="B520" s="9" t="s">
        <v>3290</v>
      </c>
      <c r="C520" s="9" t="s">
        <v>3291</v>
      </c>
      <c r="D520" s="252">
        <v>6.32</v>
      </c>
      <c r="E520" s="245">
        <v>3731</v>
      </c>
      <c r="F520" s="246">
        <v>3588</v>
      </c>
      <c r="G520" s="247">
        <v>1066</v>
      </c>
      <c r="H520" s="248">
        <v>2807</v>
      </c>
      <c r="I520" s="249">
        <v>3700</v>
      </c>
      <c r="J520" s="122" t="b">
        <f>IF(ISBLANK(CertifiedCrop[[#This Row],[1. Identifiant interne d’exploitation agricole*]]),"",IF(ISERROR(MATCH(CertifiedCrop[[#This Row],[1. Identifiant interne d’exploitation agricole*]],GroupMember[1. Identifiant interne d’exploitation agricole*],0)),FALSE,TRUE))</f>
        <v>1</v>
      </c>
      <c r="K520" s="122" t="b">
        <f t="array" ref="K520">IF(ISBLANK(CertifiedCrop[[#This Row],[2. Produit agricole certifié*]]),"",IF(ISERROR(MATCH(1,(#REF!=CertifiedCrop[[#This Row],[2. Produit agricole certifié*]])*(#REF!=CertifiedCrop[[#This Row],[3. Variété**]]),0)),FALSE,TRUE))</f>
        <v>0</v>
      </c>
      <c r="L520" s="20" t="str">
        <f t="shared" si="40"/>
        <v/>
      </c>
      <c r="M520" s="54" t="str">
        <f t="shared" si="41"/>
        <v>!</v>
      </c>
      <c r="N520" s="54" t="str">
        <f t="shared" si="42"/>
        <v>!</v>
      </c>
      <c r="O520" s="55">
        <f t="shared" si="43"/>
        <v>590.34810126582272</v>
      </c>
      <c r="P520" s="55">
        <f t="shared" si="44"/>
        <v>567.72151898734171</v>
      </c>
      <c r="Q520" s="9" t="str">
        <f ca="1">IFERROR((VLOOKUP(A520,GM_Table,8,FALSE)-SUMIFS(D:D,A:A,A520,B:B,B520,C:C,C520)),"")</f>
        <v/>
      </c>
      <c r="R520" s="9" t="str">
        <f ca="1">IFERROR(CONCATENATE(VLOOKUP(A520,GM_Table,12,FALSE)," ",(VLOOKUP(A520,GM_Table,13,FALSE))),"")</f>
        <v/>
      </c>
    </row>
    <row r="521" spans="1:18" ht="15" x14ac:dyDescent="0.2">
      <c r="A521" s="193" t="s">
        <v>2198</v>
      </c>
      <c r="B521" s="9" t="s">
        <v>3290</v>
      </c>
      <c r="C521" s="9" t="s">
        <v>3291</v>
      </c>
      <c r="D521" s="252">
        <v>3.38</v>
      </c>
      <c r="E521" s="245">
        <v>1962</v>
      </c>
      <c r="F521" s="246">
        <v>1874</v>
      </c>
      <c r="G521" s="247">
        <v>958</v>
      </c>
      <c r="H521" s="248">
        <v>1739</v>
      </c>
      <c r="I521" s="249">
        <v>2000</v>
      </c>
      <c r="J521" s="122" t="b">
        <f>IF(ISBLANK(CertifiedCrop[[#This Row],[1. Identifiant interne d’exploitation agricole*]]),"",IF(ISERROR(MATCH(CertifiedCrop[[#This Row],[1. Identifiant interne d’exploitation agricole*]],GroupMember[1. Identifiant interne d’exploitation agricole*],0)),FALSE,TRUE))</f>
        <v>1</v>
      </c>
      <c r="K521" s="122" t="b">
        <f t="array" ref="K521">IF(ISBLANK(CertifiedCrop[[#This Row],[2. Produit agricole certifié*]]),"",IF(ISERROR(MATCH(1,(#REF!=CertifiedCrop[[#This Row],[2. Produit agricole certifié*]])*(#REF!=CertifiedCrop[[#This Row],[3. Variété**]]),0)),FALSE,TRUE))</f>
        <v>0</v>
      </c>
      <c r="L521" s="20" t="str">
        <f t="shared" si="40"/>
        <v/>
      </c>
      <c r="M521" s="54" t="str">
        <f t="shared" si="41"/>
        <v>!</v>
      </c>
      <c r="N521" s="54" t="str">
        <f t="shared" si="42"/>
        <v>!</v>
      </c>
      <c r="O521" s="55">
        <f t="shared" si="43"/>
        <v>580.47337278106511</v>
      </c>
      <c r="P521" s="55">
        <f t="shared" si="44"/>
        <v>554.43786982248525</v>
      </c>
      <c r="Q521" s="9" t="str">
        <f ca="1">IFERROR((VLOOKUP(A521,GM_Table,8,FALSE)-SUMIFS(D:D,A:A,A521,B:B,B521,C:C,C521)),"")</f>
        <v/>
      </c>
      <c r="R521" s="9" t="str">
        <f ca="1">IFERROR(CONCATENATE(VLOOKUP(A521,GM_Table,12,FALSE)," ",(VLOOKUP(A521,GM_Table,13,FALSE))),"")</f>
        <v/>
      </c>
    </row>
    <row r="522" spans="1:18" ht="15" x14ac:dyDescent="0.2">
      <c r="A522" s="193" t="s">
        <v>2200</v>
      </c>
      <c r="B522" s="9" t="s">
        <v>3290</v>
      </c>
      <c r="C522" s="9" t="s">
        <v>3291</v>
      </c>
      <c r="D522" s="252">
        <v>5.54</v>
      </c>
      <c r="E522" s="245">
        <v>3277</v>
      </c>
      <c r="F522" s="246">
        <v>3156</v>
      </c>
      <c r="G522" s="247">
        <v>1136</v>
      </c>
      <c r="H522" s="248">
        <v>2228</v>
      </c>
      <c r="I522" s="249">
        <v>3300</v>
      </c>
      <c r="J522" s="122" t="b">
        <f>IF(ISBLANK(CertifiedCrop[[#This Row],[1. Identifiant interne d’exploitation agricole*]]),"",IF(ISERROR(MATCH(CertifiedCrop[[#This Row],[1. Identifiant interne d’exploitation agricole*]],GroupMember[1. Identifiant interne d’exploitation agricole*],0)),FALSE,TRUE))</f>
        <v>1</v>
      </c>
      <c r="K522" s="122" t="b">
        <f t="array" ref="K522">IF(ISBLANK(CertifiedCrop[[#This Row],[2. Produit agricole certifié*]]),"",IF(ISERROR(MATCH(1,(#REF!=CertifiedCrop[[#This Row],[2. Produit agricole certifié*]])*(#REF!=CertifiedCrop[[#This Row],[3. Variété**]]),0)),FALSE,TRUE))</f>
        <v>0</v>
      </c>
      <c r="L522" s="20" t="str">
        <f t="shared" si="40"/>
        <v/>
      </c>
      <c r="M522" s="54" t="str">
        <f t="shared" si="41"/>
        <v>!</v>
      </c>
      <c r="N522" s="54" t="str">
        <f t="shared" si="42"/>
        <v>!</v>
      </c>
      <c r="O522" s="55">
        <f t="shared" si="43"/>
        <v>591.51624548736459</v>
      </c>
      <c r="P522" s="55">
        <f t="shared" si="44"/>
        <v>569.67509025270761</v>
      </c>
      <c r="Q522" s="9" t="str">
        <f ca="1">IFERROR((VLOOKUP(A522,GM_Table,8,FALSE)-SUMIFS(D:D,A:A,A522,B:B,B522,C:C,C522)),"")</f>
        <v/>
      </c>
      <c r="R522" s="9" t="str">
        <f ca="1">IFERROR(CONCATENATE(VLOOKUP(A522,GM_Table,12,FALSE)," ",(VLOOKUP(A522,GM_Table,13,FALSE))),"")</f>
        <v/>
      </c>
    </row>
    <row r="523" spans="1:18" ht="15" x14ac:dyDescent="0.2">
      <c r="A523" s="193" t="s">
        <v>2201</v>
      </c>
      <c r="B523" s="9" t="s">
        <v>3290</v>
      </c>
      <c r="C523" s="9" t="s">
        <v>3291</v>
      </c>
      <c r="D523" s="252">
        <v>4.82</v>
      </c>
      <c r="E523" s="245">
        <v>3025</v>
      </c>
      <c r="F523" s="246">
        <v>2965</v>
      </c>
      <c r="G523" s="247">
        <v>721</v>
      </c>
      <c r="H523" s="248">
        <v>2963</v>
      </c>
      <c r="I523" s="249">
        <v>2700</v>
      </c>
      <c r="J523" s="122" t="b">
        <f>IF(ISBLANK(CertifiedCrop[[#This Row],[1. Identifiant interne d’exploitation agricole*]]),"",IF(ISERROR(MATCH(CertifiedCrop[[#This Row],[1. Identifiant interne d’exploitation agricole*]],GroupMember[1. Identifiant interne d’exploitation agricole*],0)),FALSE,TRUE))</f>
        <v>1</v>
      </c>
      <c r="K523" s="122" t="b">
        <f t="array" ref="K523">IF(ISBLANK(CertifiedCrop[[#This Row],[2. Produit agricole certifié*]]),"",IF(ISERROR(MATCH(1,(#REF!=CertifiedCrop[[#This Row],[2. Produit agricole certifié*]])*(#REF!=CertifiedCrop[[#This Row],[3. Variété**]]),0)),FALSE,TRUE))</f>
        <v>0</v>
      </c>
      <c r="L523" s="20" t="str">
        <f t="shared" si="40"/>
        <v/>
      </c>
      <c r="M523" s="54" t="str">
        <f t="shared" si="41"/>
        <v>!</v>
      </c>
      <c r="N523" s="54" t="str">
        <f t="shared" si="42"/>
        <v>!</v>
      </c>
      <c r="O523" s="55">
        <f t="shared" si="43"/>
        <v>627.59336099585062</v>
      </c>
      <c r="P523" s="55">
        <f t="shared" si="44"/>
        <v>615.14522821576759</v>
      </c>
      <c r="Q523" s="9" t="str">
        <f ca="1">IFERROR((VLOOKUP(A523,GM_Table,8,FALSE)-SUMIFS(D:D,A:A,A523,B:B,B523,C:C,C523)),"")</f>
        <v/>
      </c>
      <c r="R523" s="9" t="str">
        <f ca="1">IFERROR(CONCATENATE(VLOOKUP(A523,GM_Table,12,FALSE)," ",(VLOOKUP(A523,GM_Table,13,FALSE))),"")</f>
        <v/>
      </c>
    </row>
    <row r="524" spans="1:18" ht="15" x14ac:dyDescent="0.2">
      <c r="A524" s="193" t="s">
        <v>2203</v>
      </c>
      <c r="B524" s="9" t="s">
        <v>3290</v>
      </c>
      <c r="C524" s="9" t="s">
        <v>3291</v>
      </c>
      <c r="D524" s="252">
        <v>1.23</v>
      </c>
      <c r="E524" s="221">
        <v>648</v>
      </c>
      <c r="F524" s="246">
        <v>612</v>
      </c>
      <c r="G524" s="247">
        <v>448</v>
      </c>
      <c r="H524" s="248">
        <v>341</v>
      </c>
      <c r="I524" s="249">
        <v>700</v>
      </c>
      <c r="J524" s="122" t="b">
        <f>IF(ISBLANK(CertifiedCrop[[#This Row],[1. Identifiant interne d’exploitation agricole*]]),"",IF(ISERROR(MATCH(CertifiedCrop[[#This Row],[1. Identifiant interne d’exploitation agricole*]],GroupMember[1. Identifiant interne d’exploitation agricole*],0)),FALSE,TRUE))</f>
        <v>1</v>
      </c>
      <c r="K524" s="122" t="b">
        <f t="array" ref="K524">IF(ISBLANK(CertifiedCrop[[#This Row],[2. Produit agricole certifié*]]),"",IF(ISERROR(MATCH(1,(#REF!=CertifiedCrop[[#This Row],[2. Produit agricole certifié*]])*(#REF!=CertifiedCrop[[#This Row],[3. Variété**]]),0)),FALSE,TRUE))</f>
        <v>0</v>
      </c>
      <c r="L524" s="20" t="str">
        <f t="shared" si="40"/>
        <v/>
      </c>
      <c r="M524" s="54" t="str">
        <f t="shared" si="41"/>
        <v>!</v>
      </c>
      <c r="N524" s="54" t="str">
        <f t="shared" si="42"/>
        <v>!</v>
      </c>
      <c r="O524" s="55">
        <f t="shared" si="43"/>
        <v>526.82926829268297</v>
      </c>
      <c r="P524" s="55">
        <f t="shared" si="44"/>
        <v>497.5609756097561</v>
      </c>
      <c r="Q524" s="9" t="str">
        <f ca="1">IFERROR((VLOOKUP(A524,GM_Table,8,FALSE)-SUMIFS(D:D,A:A,A524,B:B,B524,C:C,C524)),"")</f>
        <v/>
      </c>
      <c r="R524" s="9" t="str">
        <f ca="1">IFERROR(CONCATENATE(VLOOKUP(A524,GM_Table,12,FALSE)," ",(VLOOKUP(A524,GM_Table,13,FALSE))),"")</f>
        <v/>
      </c>
    </row>
    <row r="525" spans="1:18" ht="15" x14ac:dyDescent="0.2">
      <c r="A525" s="193" t="s">
        <v>2205</v>
      </c>
      <c r="B525" s="9" t="s">
        <v>3290</v>
      </c>
      <c r="C525" s="9" t="s">
        <v>3291</v>
      </c>
      <c r="D525" s="252">
        <v>8.6999999999999993</v>
      </c>
      <c r="E525" s="245">
        <v>4919</v>
      </c>
      <c r="F525" s="246">
        <v>4874</v>
      </c>
      <c r="G525" s="247">
        <v>3482</v>
      </c>
      <c r="H525" s="248">
        <v>4128</v>
      </c>
      <c r="I525" s="249">
        <v>5300</v>
      </c>
      <c r="J525" s="122" t="b">
        <f>IF(ISBLANK(CertifiedCrop[[#This Row],[1. Identifiant interne d’exploitation agricole*]]),"",IF(ISERROR(MATCH(CertifiedCrop[[#This Row],[1. Identifiant interne d’exploitation agricole*]],GroupMember[1. Identifiant interne d’exploitation agricole*],0)),FALSE,TRUE))</f>
        <v>1</v>
      </c>
      <c r="K525" s="122" t="b">
        <f t="array" ref="K525">IF(ISBLANK(CertifiedCrop[[#This Row],[2. Produit agricole certifié*]]),"",IF(ISERROR(MATCH(1,(#REF!=CertifiedCrop[[#This Row],[2. Produit agricole certifié*]])*(#REF!=CertifiedCrop[[#This Row],[3. Variété**]]),0)),FALSE,TRUE))</f>
        <v>0</v>
      </c>
      <c r="L525" s="20" t="str">
        <f t="shared" si="40"/>
        <v/>
      </c>
      <c r="M525" s="54" t="str">
        <f t="shared" si="41"/>
        <v>!</v>
      </c>
      <c r="N525" s="54" t="str">
        <f t="shared" si="42"/>
        <v/>
      </c>
      <c r="O525" s="55">
        <f t="shared" si="43"/>
        <v>565.40229885057477</v>
      </c>
      <c r="P525" s="55">
        <f t="shared" si="44"/>
        <v>560.22988505747128</v>
      </c>
      <c r="Q525" s="9" t="str">
        <f ca="1">IFERROR((VLOOKUP(A525,GM_Table,8,FALSE)-SUMIFS(D:D,A:A,A525,B:B,B525,C:C,C525)),"")</f>
        <v/>
      </c>
      <c r="R525" s="9" t="str">
        <f ca="1">IFERROR(CONCATENATE(VLOOKUP(A525,GM_Table,12,FALSE)," ",(VLOOKUP(A525,GM_Table,13,FALSE))),"")</f>
        <v/>
      </c>
    </row>
    <row r="526" spans="1:18" ht="15" x14ac:dyDescent="0.2">
      <c r="A526" s="193" t="s">
        <v>2207</v>
      </c>
      <c r="B526" s="9" t="s">
        <v>3290</v>
      </c>
      <c r="C526" s="9" t="s">
        <v>3291</v>
      </c>
      <c r="D526" s="252">
        <v>7.59</v>
      </c>
      <c r="E526" s="245">
        <v>4809</v>
      </c>
      <c r="F526" s="246">
        <v>4722</v>
      </c>
      <c r="G526" s="247">
        <v>3027</v>
      </c>
      <c r="H526" s="248">
        <v>3847</v>
      </c>
      <c r="I526" s="249">
        <v>4800</v>
      </c>
      <c r="J526" s="122" t="b">
        <f>IF(ISBLANK(CertifiedCrop[[#This Row],[1. Identifiant interne d’exploitation agricole*]]),"",IF(ISERROR(MATCH(CertifiedCrop[[#This Row],[1. Identifiant interne d’exploitation agricole*]],GroupMember[1. Identifiant interne d’exploitation agricole*],0)),FALSE,TRUE))</f>
        <v>1</v>
      </c>
      <c r="K526" s="122" t="b">
        <f t="array" ref="K526">IF(ISBLANK(CertifiedCrop[[#This Row],[2. Produit agricole certifié*]]),"",IF(ISERROR(MATCH(1,(#REF!=CertifiedCrop[[#This Row],[2. Produit agricole certifié*]])*(#REF!=CertifiedCrop[[#This Row],[3. Variété**]]),0)),FALSE,TRUE))</f>
        <v>0</v>
      </c>
      <c r="L526" s="20" t="str">
        <f t="shared" si="40"/>
        <v/>
      </c>
      <c r="M526" s="54" t="str">
        <f t="shared" si="41"/>
        <v>!</v>
      </c>
      <c r="N526" s="54" t="str">
        <f t="shared" si="42"/>
        <v/>
      </c>
      <c r="O526" s="55">
        <f t="shared" si="43"/>
        <v>633.596837944664</v>
      </c>
      <c r="P526" s="55">
        <f t="shared" si="44"/>
        <v>622.13438735177863</v>
      </c>
      <c r="Q526" s="9" t="str">
        <f ca="1">IFERROR((VLOOKUP(A526,GM_Table,8,FALSE)-SUMIFS(D:D,A:A,A526,B:B,B526,C:C,C526)),"")</f>
        <v/>
      </c>
      <c r="R526" s="9" t="str">
        <f ca="1">IFERROR(CONCATENATE(VLOOKUP(A526,GM_Table,12,FALSE)," ",(VLOOKUP(A526,GM_Table,13,FALSE))),"")</f>
        <v/>
      </c>
    </row>
    <row r="527" spans="1:18" ht="15" x14ac:dyDescent="0.2">
      <c r="A527" s="193" t="s">
        <v>2209</v>
      </c>
      <c r="B527" s="9" t="s">
        <v>3290</v>
      </c>
      <c r="C527" s="9" t="s">
        <v>3291</v>
      </c>
      <c r="D527" s="252">
        <v>1.8</v>
      </c>
      <c r="E527" s="245">
        <v>1135</v>
      </c>
      <c r="F527" s="246">
        <v>1039</v>
      </c>
      <c r="G527" s="247">
        <v>1039</v>
      </c>
      <c r="H527" s="248">
        <v>680</v>
      </c>
      <c r="I527" s="249">
        <v>1100</v>
      </c>
      <c r="J527" s="122" t="b">
        <f>IF(ISBLANK(CertifiedCrop[[#This Row],[1. Identifiant interne d’exploitation agricole*]]),"",IF(ISERROR(MATCH(CertifiedCrop[[#This Row],[1. Identifiant interne d’exploitation agricole*]],GroupMember[1. Identifiant interne d’exploitation agricole*],0)),FALSE,TRUE))</f>
        <v>1</v>
      </c>
      <c r="K527" s="122" t="b">
        <f t="array" ref="K527">IF(ISBLANK(CertifiedCrop[[#This Row],[2. Produit agricole certifié*]]),"",IF(ISERROR(MATCH(1,(#REF!=CertifiedCrop[[#This Row],[2. Produit agricole certifié*]])*(#REF!=CertifiedCrop[[#This Row],[3. Variété**]]),0)),FALSE,TRUE))</f>
        <v>0</v>
      </c>
      <c r="L527" s="20" t="str">
        <f t="shared" si="40"/>
        <v/>
      </c>
      <c r="M527" s="54" t="str">
        <f t="shared" si="41"/>
        <v/>
      </c>
      <c r="N527" s="54" t="str">
        <f t="shared" si="42"/>
        <v>!</v>
      </c>
      <c r="O527" s="55">
        <f t="shared" si="43"/>
        <v>630.55555555555554</v>
      </c>
      <c r="P527" s="55">
        <f t="shared" si="44"/>
        <v>577.22222222222217</v>
      </c>
      <c r="Q527" s="9" t="str">
        <f ca="1">IFERROR((VLOOKUP(A527,GM_Table,8,FALSE)-SUMIFS(D:D,A:A,A527,B:B,B527,C:C,C527)),"")</f>
        <v/>
      </c>
      <c r="R527" s="9" t="str">
        <f ca="1">IFERROR(CONCATENATE(VLOOKUP(A527,GM_Table,12,FALSE)," ",(VLOOKUP(A527,GM_Table,13,FALSE))),"")</f>
        <v/>
      </c>
    </row>
    <row r="528" spans="1:18" ht="15" x14ac:dyDescent="0.2">
      <c r="A528" s="193" t="s">
        <v>2211</v>
      </c>
      <c r="B528" s="9" t="s">
        <v>3290</v>
      </c>
      <c r="C528" s="9" t="s">
        <v>3291</v>
      </c>
      <c r="D528" s="252">
        <v>2.5299999999999998</v>
      </c>
      <c r="E528" s="245">
        <v>1377</v>
      </c>
      <c r="F528" s="246">
        <v>1295</v>
      </c>
      <c r="G528" s="247">
        <v>804</v>
      </c>
      <c r="H528" s="248">
        <v>583</v>
      </c>
      <c r="I528" s="249">
        <v>1500</v>
      </c>
      <c r="J528" s="122" t="b">
        <f>IF(ISBLANK(CertifiedCrop[[#This Row],[1. Identifiant interne d’exploitation agricole*]]),"",IF(ISERROR(MATCH(CertifiedCrop[[#This Row],[1. Identifiant interne d’exploitation agricole*]],GroupMember[1. Identifiant interne d’exploitation agricole*],0)),FALSE,TRUE))</f>
        <v>1</v>
      </c>
      <c r="K528" s="122" t="b">
        <f t="array" ref="K528">IF(ISBLANK(CertifiedCrop[[#This Row],[2. Produit agricole certifié*]]),"",IF(ISERROR(MATCH(1,(#REF!=CertifiedCrop[[#This Row],[2. Produit agricole certifié*]])*(#REF!=CertifiedCrop[[#This Row],[3. Variété**]]),0)),FALSE,TRUE))</f>
        <v>0</v>
      </c>
      <c r="L528" s="20" t="str">
        <f t="shared" si="40"/>
        <v/>
      </c>
      <c r="M528" s="54" t="str">
        <f t="shared" si="41"/>
        <v>!</v>
      </c>
      <c r="N528" s="54" t="str">
        <f t="shared" si="42"/>
        <v>!</v>
      </c>
      <c r="O528" s="55">
        <f t="shared" si="43"/>
        <v>544.26877470355737</v>
      </c>
      <c r="P528" s="55">
        <f t="shared" si="44"/>
        <v>511.85770750988144</v>
      </c>
      <c r="Q528" s="9" t="str">
        <f ca="1">IFERROR((VLOOKUP(A528,GM_Table,8,FALSE)-SUMIFS(D:D,A:A,A528,B:B,B528,C:C,C528)),"")</f>
        <v/>
      </c>
      <c r="R528" s="9" t="str">
        <f ca="1">IFERROR(CONCATENATE(VLOOKUP(A528,GM_Table,12,FALSE)," ",(VLOOKUP(A528,GM_Table,13,FALSE))),"")</f>
        <v/>
      </c>
    </row>
    <row r="529" spans="1:18" ht="15" x14ac:dyDescent="0.2">
      <c r="A529" s="193" t="s">
        <v>2213</v>
      </c>
      <c r="B529" s="9" t="s">
        <v>3290</v>
      </c>
      <c r="C529" s="9" t="s">
        <v>3291</v>
      </c>
      <c r="D529" s="252">
        <v>3.86</v>
      </c>
      <c r="E529" s="245">
        <v>2270</v>
      </c>
      <c r="F529" s="246">
        <v>2178</v>
      </c>
      <c r="G529" s="247">
        <v>970</v>
      </c>
      <c r="H529" s="248">
        <v>1646</v>
      </c>
      <c r="I529" s="249">
        <v>2400</v>
      </c>
      <c r="J529" s="122" t="b">
        <f>IF(ISBLANK(CertifiedCrop[[#This Row],[1. Identifiant interne d’exploitation agricole*]]),"",IF(ISERROR(MATCH(CertifiedCrop[[#This Row],[1. Identifiant interne d’exploitation agricole*]],GroupMember[1. Identifiant interne d’exploitation agricole*],0)),FALSE,TRUE))</f>
        <v>1</v>
      </c>
      <c r="K529" s="122" t="b">
        <f t="array" ref="K529">IF(ISBLANK(CertifiedCrop[[#This Row],[2. Produit agricole certifié*]]),"",IF(ISERROR(MATCH(1,(#REF!=CertifiedCrop[[#This Row],[2. Produit agricole certifié*]])*(#REF!=CertifiedCrop[[#This Row],[3. Variété**]]),0)),FALSE,TRUE))</f>
        <v>0</v>
      </c>
      <c r="L529" s="20" t="str">
        <f t="shared" si="40"/>
        <v/>
      </c>
      <c r="M529" s="54" t="str">
        <f t="shared" si="41"/>
        <v>!</v>
      </c>
      <c r="N529" s="54" t="str">
        <f t="shared" si="42"/>
        <v>!</v>
      </c>
      <c r="O529" s="55">
        <f t="shared" si="43"/>
        <v>588.0829015544042</v>
      </c>
      <c r="P529" s="55">
        <f t="shared" si="44"/>
        <v>564.24870466321249</v>
      </c>
      <c r="Q529" s="9" t="str">
        <f ca="1">IFERROR((VLOOKUP(A529,GM_Table,8,FALSE)-SUMIFS(D:D,A:A,A529,B:B,B529,C:C,C529)),"")</f>
        <v/>
      </c>
      <c r="R529" s="9" t="str">
        <f ca="1">IFERROR(CONCATENATE(VLOOKUP(A529,GM_Table,12,FALSE)," ",(VLOOKUP(A529,GM_Table,13,FALSE))),"")</f>
        <v/>
      </c>
    </row>
    <row r="530" spans="1:18" ht="15" x14ac:dyDescent="0.2">
      <c r="A530" s="193" t="s">
        <v>2215</v>
      </c>
      <c r="B530" s="9" t="s">
        <v>3290</v>
      </c>
      <c r="C530" s="9" t="s">
        <v>3291</v>
      </c>
      <c r="D530" s="252">
        <v>5.74</v>
      </c>
      <c r="E530" s="245">
        <v>3372</v>
      </c>
      <c r="F530" s="246">
        <v>3262</v>
      </c>
      <c r="G530" s="247">
        <v>2256</v>
      </c>
      <c r="H530" s="248">
        <v>3008</v>
      </c>
      <c r="I530" s="249">
        <v>3400</v>
      </c>
      <c r="J530" s="122" t="b">
        <f>IF(ISBLANK(CertifiedCrop[[#This Row],[1. Identifiant interne d’exploitation agricole*]]),"",IF(ISERROR(MATCH(CertifiedCrop[[#This Row],[1. Identifiant interne d’exploitation agricole*]],GroupMember[1. Identifiant interne d’exploitation agricole*],0)),FALSE,TRUE))</f>
        <v>1</v>
      </c>
      <c r="K530" s="122" t="b">
        <f t="array" ref="K530">IF(ISBLANK(CertifiedCrop[[#This Row],[2. Produit agricole certifié*]]),"",IF(ISERROR(MATCH(1,(#REF!=CertifiedCrop[[#This Row],[2. Produit agricole certifié*]])*(#REF!=CertifiedCrop[[#This Row],[3. Variété**]]),0)),FALSE,TRUE))</f>
        <v>0</v>
      </c>
      <c r="L530" s="20" t="str">
        <f t="shared" si="40"/>
        <v/>
      </c>
      <c r="M530" s="54" t="str">
        <f t="shared" si="41"/>
        <v>!</v>
      </c>
      <c r="N530" s="54" t="str">
        <f t="shared" si="42"/>
        <v/>
      </c>
      <c r="O530" s="55">
        <f t="shared" si="43"/>
        <v>587.45644599303137</v>
      </c>
      <c r="P530" s="55">
        <f t="shared" si="44"/>
        <v>568.29268292682923</v>
      </c>
      <c r="Q530" s="9" t="str">
        <f ca="1">IFERROR((VLOOKUP(A530,GM_Table,8,FALSE)-SUMIFS(D:D,A:A,A530,B:B,B530,C:C,C530)),"")</f>
        <v/>
      </c>
      <c r="R530" s="9" t="str">
        <f ca="1">IFERROR(CONCATENATE(VLOOKUP(A530,GM_Table,12,FALSE)," ",(VLOOKUP(A530,GM_Table,13,FALSE))),"")</f>
        <v/>
      </c>
    </row>
    <row r="531" spans="1:18" ht="15" x14ac:dyDescent="0.2">
      <c r="A531" s="193" t="s">
        <v>2216</v>
      </c>
      <c r="B531" s="9" t="s">
        <v>3290</v>
      </c>
      <c r="C531" s="9" t="s">
        <v>3291</v>
      </c>
      <c r="D531" s="252">
        <v>3.15</v>
      </c>
      <c r="E531" s="245">
        <v>1702</v>
      </c>
      <c r="F531" s="246">
        <v>1599</v>
      </c>
      <c r="G531" s="247">
        <v>769</v>
      </c>
      <c r="H531" s="248">
        <v>1334</v>
      </c>
      <c r="I531" s="249">
        <v>2000</v>
      </c>
      <c r="J531" s="122" t="b">
        <f>IF(ISBLANK(CertifiedCrop[[#This Row],[1. Identifiant interne d’exploitation agricole*]]),"",IF(ISERROR(MATCH(CertifiedCrop[[#This Row],[1. Identifiant interne d’exploitation agricole*]],GroupMember[1. Identifiant interne d’exploitation agricole*],0)),FALSE,TRUE))</f>
        <v>1</v>
      </c>
      <c r="K531" s="122" t="b">
        <f t="array" ref="K531">IF(ISBLANK(CertifiedCrop[[#This Row],[2. Produit agricole certifié*]]),"",IF(ISERROR(MATCH(1,(#REF!=CertifiedCrop[[#This Row],[2. Produit agricole certifié*]])*(#REF!=CertifiedCrop[[#This Row],[3. Variété**]]),0)),FALSE,TRUE))</f>
        <v>0</v>
      </c>
      <c r="L531" s="20" t="str">
        <f t="shared" si="40"/>
        <v/>
      </c>
      <c r="M531" s="54" t="str">
        <f t="shared" si="41"/>
        <v>!</v>
      </c>
      <c r="N531" s="54" t="str">
        <f t="shared" si="42"/>
        <v>!</v>
      </c>
      <c r="O531" s="55">
        <f t="shared" si="43"/>
        <v>540.31746031746036</v>
      </c>
      <c r="P531" s="55">
        <f t="shared" si="44"/>
        <v>507.61904761904765</v>
      </c>
      <c r="Q531" s="9" t="str">
        <f ca="1">IFERROR((VLOOKUP(A531,GM_Table,8,FALSE)-SUMIFS(D:D,A:A,A531,B:B,B531,C:C,C531)),"")</f>
        <v/>
      </c>
      <c r="R531" s="9" t="str">
        <f ca="1">IFERROR(CONCATENATE(VLOOKUP(A531,GM_Table,12,FALSE)," ",(VLOOKUP(A531,GM_Table,13,FALSE))),"")</f>
        <v/>
      </c>
    </row>
    <row r="532" spans="1:18" ht="15" x14ac:dyDescent="0.2">
      <c r="A532" s="193" t="s">
        <v>2218</v>
      </c>
      <c r="B532" s="9" t="s">
        <v>3290</v>
      </c>
      <c r="C532" s="9" t="s">
        <v>3291</v>
      </c>
      <c r="D532" s="252">
        <v>10.37</v>
      </c>
      <c r="E532" s="245">
        <v>5500</v>
      </c>
      <c r="F532" s="246">
        <v>5334</v>
      </c>
      <c r="G532" s="247">
        <v>211</v>
      </c>
      <c r="H532" s="248">
        <v>4427</v>
      </c>
      <c r="I532" s="249">
        <v>6500</v>
      </c>
      <c r="J532" s="122" t="b">
        <f>IF(ISBLANK(CertifiedCrop[[#This Row],[1. Identifiant interne d’exploitation agricole*]]),"",IF(ISERROR(MATCH(CertifiedCrop[[#This Row],[1. Identifiant interne d’exploitation agricole*]],GroupMember[1. Identifiant interne d’exploitation agricole*],0)),FALSE,TRUE))</f>
        <v>1</v>
      </c>
      <c r="K532" s="122" t="b">
        <f t="array" ref="K532">IF(ISBLANK(CertifiedCrop[[#This Row],[2. Produit agricole certifié*]]),"",IF(ISERROR(MATCH(1,(#REF!=CertifiedCrop[[#This Row],[2. Produit agricole certifié*]])*(#REF!=CertifiedCrop[[#This Row],[3. Variété**]]),0)),FALSE,TRUE))</f>
        <v>0</v>
      </c>
      <c r="L532" s="20" t="str">
        <f t="shared" si="40"/>
        <v/>
      </c>
      <c r="M532" s="54" t="str">
        <f t="shared" si="41"/>
        <v>!</v>
      </c>
      <c r="N532" s="54" t="str">
        <f t="shared" si="42"/>
        <v>!</v>
      </c>
      <c r="O532" s="55">
        <f t="shared" si="43"/>
        <v>530.37608486017359</v>
      </c>
      <c r="P532" s="55">
        <f t="shared" si="44"/>
        <v>514.36837029893934</v>
      </c>
      <c r="Q532" s="9" t="str">
        <f ca="1">IFERROR((VLOOKUP(A532,GM_Table,8,FALSE)-SUMIFS(D:D,A:A,A532,B:B,B532,C:C,C532)),"")</f>
        <v/>
      </c>
      <c r="R532" s="9" t="str">
        <f ca="1">IFERROR(CONCATENATE(VLOOKUP(A532,GM_Table,12,FALSE)," ",(VLOOKUP(A532,GM_Table,13,FALSE))),"")</f>
        <v/>
      </c>
    </row>
    <row r="533" spans="1:18" ht="15" x14ac:dyDescent="0.2">
      <c r="A533" s="193" t="s">
        <v>2220</v>
      </c>
      <c r="B533" s="9" t="s">
        <v>3290</v>
      </c>
      <c r="C533" s="9" t="s">
        <v>3291</v>
      </c>
      <c r="D533" s="252">
        <v>1.87</v>
      </c>
      <c r="E533" s="245">
        <v>1073</v>
      </c>
      <c r="F533" s="246">
        <v>989</v>
      </c>
      <c r="G533" s="247">
        <v>554</v>
      </c>
      <c r="H533" s="248">
        <v>279</v>
      </c>
      <c r="I533" s="249">
        <v>1000</v>
      </c>
      <c r="J533" s="122" t="b">
        <f>IF(ISBLANK(CertifiedCrop[[#This Row],[1. Identifiant interne d’exploitation agricole*]]),"",IF(ISERROR(MATCH(CertifiedCrop[[#This Row],[1. Identifiant interne d’exploitation agricole*]],GroupMember[1. Identifiant interne d’exploitation agricole*],0)),FALSE,TRUE))</f>
        <v>1</v>
      </c>
      <c r="K533" s="122" t="b">
        <f t="array" ref="K533">IF(ISBLANK(CertifiedCrop[[#This Row],[2. Produit agricole certifié*]]),"",IF(ISERROR(MATCH(1,(#REF!=CertifiedCrop[[#This Row],[2. Produit agricole certifié*]])*(#REF!=CertifiedCrop[[#This Row],[3. Variété**]]),0)),FALSE,TRUE))</f>
        <v>0</v>
      </c>
      <c r="L533" s="20" t="str">
        <f t="shared" si="40"/>
        <v/>
      </c>
      <c r="M533" s="54" t="str">
        <f t="shared" si="41"/>
        <v>!</v>
      </c>
      <c r="N533" s="54" t="str">
        <f t="shared" si="42"/>
        <v>!</v>
      </c>
      <c r="O533" s="55">
        <f t="shared" si="43"/>
        <v>573.79679144385022</v>
      </c>
      <c r="P533" s="55">
        <f t="shared" si="44"/>
        <v>528.87700534759358</v>
      </c>
      <c r="Q533" s="9" t="str">
        <f ca="1">IFERROR((VLOOKUP(A533,GM_Table,8,FALSE)-SUMIFS(D:D,A:A,A533,B:B,B533,C:C,C533)),"")</f>
        <v/>
      </c>
      <c r="R533" s="9" t="str">
        <f ca="1">IFERROR(CONCATENATE(VLOOKUP(A533,GM_Table,12,FALSE)," ",(VLOOKUP(A533,GM_Table,13,FALSE))),"")</f>
        <v/>
      </c>
    </row>
    <row r="534" spans="1:18" ht="15" x14ac:dyDescent="0.2">
      <c r="A534" s="193" t="s">
        <v>2222</v>
      </c>
      <c r="B534" s="9" t="s">
        <v>3290</v>
      </c>
      <c r="C534" s="9" t="s">
        <v>3291</v>
      </c>
      <c r="D534" s="252">
        <v>0.72</v>
      </c>
      <c r="E534" s="221">
        <v>449</v>
      </c>
      <c r="F534" s="246">
        <v>421</v>
      </c>
      <c r="G534" s="247">
        <v>326</v>
      </c>
      <c r="H534" s="248">
        <v>369</v>
      </c>
      <c r="I534" s="249">
        <v>450</v>
      </c>
      <c r="J534" s="122" t="b">
        <f>IF(ISBLANK(CertifiedCrop[[#This Row],[1. Identifiant interne d’exploitation agricole*]]),"",IF(ISERROR(MATCH(CertifiedCrop[[#This Row],[1. Identifiant interne d’exploitation agricole*]],GroupMember[1. Identifiant interne d’exploitation agricole*],0)),FALSE,TRUE))</f>
        <v>1</v>
      </c>
      <c r="K534" s="122" t="b">
        <f t="array" ref="K534">IF(ISBLANK(CertifiedCrop[[#This Row],[2. Produit agricole certifié*]]),"",IF(ISERROR(MATCH(1,(#REF!=CertifiedCrop[[#This Row],[2. Produit agricole certifié*]])*(#REF!=CertifiedCrop[[#This Row],[3. Variété**]]),0)),FALSE,TRUE))</f>
        <v>0</v>
      </c>
      <c r="L534" s="20" t="str">
        <f t="shared" si="40"/>
        <v/>
      </c>
      <c r="M534" s="54" t="str">
        <f t="shared" si="41"/>
        <v>!</v>
      </c>
      <c r="N534" s="54" t="str">
        <f t="shared" si="42"/>
        <v/>
      </c>
      <c r="O534" s="55">
        <f t="shared" si="43"/>
        <v>623.61111111111109</v>
      </c>
      <c r="P534" s="55">
        <f t="shared" si="44"/>
        <v>584.72222222222229</v>
      </c>
      <c r="Q534" s="9" t="str">
        <f ca="1">IFERROR((VLOOKUP(A534,GM_Table,8,FALSE)-SUMIFS(D:D,A:A,A534,B:B,B534,C:C,C534)),"")</f>
        <v/>
      </c>
      <c r="R534" s="9" t="str">
        <f ca="1">IFERROR(CONCATENATE(VLOOKUP(A534,GM_Table,12,FALSE)," ",(VLOOKUP(A534,GM_Table,13,FALSE))),"")</f>
        <v/>
      </c>
    </row>
    <row r="535" spans="1:18" ht="15" x14ac:dyDescent="0.2">
      <c r="A535" s="193" t="s">
        <v>2223</v>
      </c>
      <c r="B535" s="9" t="s">
        <v>3290</v>
      </c>
      <c r="C535" s="9" t="s">
        <v>3291</v>
      </c>
      <c r="D535" s="252">
        <v>1.36</v>
      </c>
      <c r="E535" s="221">
        <v>838</v>
      </c>
      <c r="F535" s="246">
        <v>809</v>
      </c>
      <c r="G535" s="247">
        <v>705</v>
      </c>
      <c r="H535" s="248">
        <v>705</v>
      </c>
      <c r="I535" s="249">
        <v>750</v>
      </c>
      <c r="J535" s="122" t="b">
        <f>IF(ISBLANK(CertifiedCrop[[#This Row],[1. Identifiant interne d’exploitation agricole*]]),"",IF(ISERROR(MATCH(CertifiedCrop[[#This Row],[1. Identifiant interne d’exploitation agricole*]],GroupMember[1. Identifiant interne d’exploitation agricole*],0)),FALSE,TRUE))</f>
        <v>1</v>
      </c>
      <c r="K535" s="122" t="b">
        <f t="array" ref="K535">IF(ISBLANK(CertifiedCrop[[#This Row],[2. Produit agricole certifié*]]),"",IF(ISERROR(MATCH(1,(#REF!=CertifiedCrop[[#This Row],[2. Produit agricole certifié*]])*(#REF!=CertifiedCrop[[#This Row],[3. Variété**]]),0)),FALSE,TRUE))</f>
        <v>0</v>
      </c>
      <c r="L535" s="20" t="str">
        <f t="shared" si="40"/>
        <v/>
      </c>
      <c r="M535" s="54" t="str">
        <f t="shared" si="41"/>
        <v/>
      </c>
      <c r="N535" s="54" t="str">
        <f t="shared" si="42"/>
        <v/>
      </c>
      <c r="O535" s="55">
        <f t="shared" si="43"/>
        <v>616.17647058823525</v>
      </c>
      <c r="P535" s="55">
        <f t="shared" si="44"/>
        <v>594.85294117647049</v>
      </c>
      <c r="Q535" s="9" t="str">
        <f ca="1">IFERROR((VLOOKUP(A535,GM_Table,8,FALSE)-SUMIFS(D:D,A:A,A535,B:B,B535,C:C,C535)),"")</f>
        <v/>
      </c>
      <c r="R535" s="9" t="str">
        <f ca="1">IFERROR(CONCATENATE(VLOOKUP(A535,GM_Table,12,FALSE)," ",(VLOOKUP(A535,GM_Table,13,FALSE))),"")</f>
        <v/>
      </c>
    </row>
    <row r="536" spans="1:18" ht="15" x14ac:dyDescent="0.2">
      <c r="A536" s="193" t="s">
        <v>2225</v>
      </c>
      <c r="B536" s="9" t="s">
        <v>3290</v>
      </c>
      <c r="C536" s="9" t="s">
        <v>3291</v>
      </c>
      <c r="D536" s="252">
        <v>1.86</v>
      </c>
      <c r="E536" s="245">
        <v>1015</v>
      </c>
      <c r="F536" s="246">
        <v>968</v>
      </c>
      <c r="G536" s="247">
        <v>835</v>
      </c>
      <c r="H536" s="248">
        <v>591</v>
      </c>
      <c r="I536" s="249">
        <v>1100</v>
      </c>
      <c r="J536" s="122" t="b">
        <f>IF(ISBLANK(CertifiedCrop[[#This Row],[1. Identifiant interne d’exploitation agricole*]]),"",IF(ISERROR(MATCH(CertifiedCrop[[#This Row],[1. Identifiant interne d’exploitation agricole*]],GroupMember[1. Identifiant interne d’exploitation agricole*],0)),FALSE,TRUE))</f>
        <v>1</v>
      </c>
      <c r="K536" s="122" t="b">
        <f t="array" ref="K536">IF(ISBLANK(CertifiedCrop[[#This Row],[2. Produit agricole certifié*]]),"",IF(ISERROR(MATCH(1,(#REF!=CertifiedCrop[[#This Row],[2. Produit agricole certifié*]])*(#REF!=CertifiedCrop[[#This Row],[3. Variété**]]),0)),FALSE,TRUE))</f>
        <v>0</v>
      </c>
      <c r="L536" s="20" t="str">
        <f t="shared" si="40"/>
        <v/>
      </c>
      <c r="M536" s="54" t="str">
        <f t="shared" si="41"/>
        <v/>
      </c>
      <c r="N536" s="54" t="str">
        <f t="shared" si="42"/>
        <v>!</v>
      </c>
      <c r="O536" s="55">
        <f t="shared" si="43"/>
        <v>545.69892473118273</v>
      </c>
      <c r="P536" s="55">
        <f t="shared" si="44"/>
        <v>520.43010752688167</v>
      </c>
      <c r="Q536" s="9" t="str">
        <f ca="1">IFERROR((VLOOKUP(A536,GM_Table,8,FALSE)-SUMIFS(D:D,A:A,A536,B:B,B536,C:C,C536)),"")</f>
        <v/>
      </c>
      <c r="R536" s="9" t="str">
        <f ca="1">IFERROR(CONCATENATE(VLOOKUP(A536,GM_Table,12,FALSE)," ",(VLOOKUP(A536,GM_Table,13,FALSE))),"")</f>
        <v/>
      </c>
    </row>
    <row r="537" spans="1:18" ht="15" x14ac:dyDescent="0.2">
      <c r="A537" s="193" t="s">
        <v>2228</v>
      </c>
      <c r="B537" s="9" t="s">
        <v>3290</v>
      </c>
      <c r="C537" s="9" t="s">
        <v>3291</v>
      </c>
      <c r="D537" s="252">
        <v>8.4499999999999993</v>
      </c>
      <c r="E537" s="245">
        <v>5100</v>
      </c>
      <c r="F537" s="246">
        <v>4878</v>
      </c>
      <c r="G537" s="247">
        <v>1748</v>
      </c>
      <c r="H537" s="248">
        <v>4177</v>
      </c>
      <c r="I537" s="249">
        <v>4600</v>
      </c>
      <c r="J537" s="122" t="b">
        <f>IF(ISBLANK(CertifiedCrop[[#This Row],[1. Identifiant interne d’exploitation agricole*]]),"",IF(ISERROR(MATCH(CertifiedCrop[[#This Row],[1. Identifiant interne d’exploitation agricole*]],GroupMember[1. Identifiant interne d’exploitation agricole*],0)),FALSE,TRUE))</f>
        <v>1</v>
      </c>
      <c r="K537" s="122" t="b">
        <f t="array" ref="K537">IF(ISBLANK(CertifiedCrop[[#This Row],[2. Produit agricole certifié*]]),"",IF(ISERROR(MATCH(1,(#REF!=CertifiedCrop[[#This Row],[2. Produit agricole certifié*]])*(#REF!=CertifiedCrop[[#This Row],[3. Variété**]]),0)),FALSE,TRUE))</f>
        <v>0</v>
      </c>
      <c r="L537" s="20" t="str">
        <f t="shared" si="40"/>
        <v/>
      </c>
      <c r="M537" s="54" t="str">
        <f t="shared" si="41"/>
        <v>!</v>
      </c>
      <c r="N537" s="54" t="str">
        <f t="shared" si="42"/>
        <v>!</v>
      </c>
      <c r="O537" s="55">
        <f t="shared" si="43"/>
        <v>603.5502958579882</v>
      </c>
      <c r="P537" s="55">
        <f t="shared" si="44"/>
        <v>577.27810650887579</v>
      </c>
      <c r="Q537" s="9" t="str">
        <f ca="1">IFERROR((VLOOKUP(A537,GM_Table,8,FALSE)-SUMIFS(D:D,A:A,A537,B:B,B537,C:C,C537)),"")</f>
        <v/>
      </c>
      <c r="R537" s="9" t="str">
        <f ca="1">IFERROR(CONCATENATE(VLOOKUP(A537,GM_Table,12,FALSE)," ",(VLOOKUP(A537,GM_Table,13,FALSE))),"")</f>
        <v/>
      </c>
    </row>
    <row r="538" spans="1:18" ht="15" x14ac:dyDescent="0.2">
      <c r="A538" s="193" t="s">
        <v>2230</v>
      </c>
      <c r="B538" s="9" t="s">
        <v>3290</v>
      </c>
      <c r="C538" s="9" t="s">
        <v>3291</v>
      </c>
      <c r="D538" s="252">
        <v>3.86</v>
      </c>
      <c r="E538" s="245">
        <v>2457</v>
      </c>
      <c r="F538" s="246">
        <v>2305</v>
      </c>
      <c r="G538" s="247">
        <v>1379</v>
      </c>
      <c r="H538" s="248">
        <v>1989</v>
      </c>
      <c r="I538" s="249">
        <v>2300</v>
      </c>
      <c r="J538" s="122" t="b">
        <f>IF(ISBLANK(CertifiedCrop[[#This Row],[1. Identifiant interne d’exploitation agricole*]]),"",IF(ISERROR(MATCH(CertifiedCrop[[#This Row],[1. Identifiant interne d’exploitation agricole*]],GroupMember[1. Identifiant interne d’exploitation agricole*],0)),FALSE,TRUE))</f>
        <v>1</v>
      </c>
      <c r="K538" s="122" t="b">
        <f t="array" ref="K538">IF(ISBLANK(CertifiedCrop[[#This Row],[2. Produit agricole certifié*]]),"",IF(ISERROR(MATCH(1,(#REF!=CertifiedCrop[[#This Row],[2. Produit agricole certifié*]])*(#REF!=CertifiedCrop[[#This Row],[3. Variété**]]),0)),FALSE,TRUE))</f>
        <v>0</v>
      </c>
      <c r="L538" s="20" t="str">
        <f t="shared" si="40"/>
        <v/>
      </c>
      <c r="M538" s="54" t="str">
        <f t="shared" si="41"/>
        <v>!</v>
      </c>
      <c r="N538" s="54" t="str">
        <f t="shared" si="42"/>
        <v>!</v>
      </c>
      <c r="O538" s="55">
        <f t="shared" si="43"/>
        <v>636.52849740932641</v>
      </c>
      <c r="P538" s="55">
        <f t="shared" si="44"/>
        <v>597.15025906735752</v>
      </c>
      <c r="Q538" s="9" t="str">
        <f ca="1">IFERROR((VLOOKUP(A538,GM_Table,8,FALSE)-SUMIFS(D:D,A:A,A538,B:B,B538,C:C,C538)),"")</f>
        <v/>
      </c>
      <c r="R538" s="9" t="str">
        <f ca="1">IFERROR(CONCATENATE(VLOOKUP(A538,GM_Table,12,FALSE)," ",(VLOOKUP(A538,GM_Table,13,FALSE))),"")</f>
        <v/>
      </c>
    </row>
    <row r="539" spans="1:18" ht="15" x14ac:dyDescent="0.2">
      <c r="A539" s="193" t="s">
        <v>2231</v>
      </c>
      <c r="B539" s="9" t="s">
        <v>3290</v>
      </c>
      <c r="C539" s="9" t="s">
        <v>3291</v>
      </c>
      <c r="D539" s="252">
        <v>4.1399999999999997</v>
      </c>
      <c r="E539" s="245">
        <v>2607</v>
      </c>
      <c r="F539" s="246">
        <v>2545</v>
      </c>
      <c r="G539" s="247">
        <v>320</v>
      </c>
      <c r="H539" s="248">
        <v>2469</v>
      </c>
      <c r="I539" s="249">
        <v>2000</v>
      </c>
      <c r="J539" s="122" t="b">
        <f>IF(ISBLANK(CertifiedCrop[[#This Row],[1. Identifiant interne d’exploitation agricole*]]),"",IF(ISERROR(MATCH(CertifiedCrop[[#This Row],[1. Identifiant interne d’exploitation agricole*]],GroupMember[1. Identifiant interne d’exploitation agricole*],0)),FALSE,TRUE))</f>
        <v>1</v>
      </c>
      <c r="K539" s="122" t="b">
        <f t="array" ref="K539">IF(ISBLANK(CertifiedCrop[[#This Row],[2. Produit agricole certifié*]]),"",IF(ISERROR(MATCH(1,(#REF!=CertifiedCrop[[#This Row],[2. Produit agricole certifié*]])*(#REF!=CertifiedCrop[[#This Row],[3. Variété**]]),0)),FALSE,TRUE))</f>
        <v>0</v>
      </c>
      <c r="L539" s="20" t="str">
        <f t="shared" si="40"/>
        <v/>
      </c>
      <c r="M539" s="54" t="str">
        <f t="shared" si="41"/>
        <v>!</v>
      </c>
      <c r="N539" s="54" t="str">
        <f t="shared" si="42"/>
        <v>!</v>
      </c>
      <c r="O539" s="55">
        <f t="shared" si="43"/>
        <v>629.71014492753625</v>
      </c>
      <c r="P539" s="55">
        <f t="shared" si="44"/>
        <v>614.73429951690821</v>
      </c>
      <c r="Q539" s="9" t="str">
        <f ca="1">IFERROR((VLOOKUP(A539,GM_Table,8,FALSE)-SUMIFS(D:D,A:A,A539,B:B,B539,C:C,C539)),"")</f>
        <v/>
      </c>
      <c r="R539" s="9" t="str">
        <f ca="1">IFERROR(CONCATENATE(VLOOKUP(A539,GM_Table,12,FALSE)," ",(VLOOKUP(A539,GM_Table,13,FALSE))),"")</f>
        <v/>
      </c>
    </row>
    <row r="540" spans="1:18" ht="15" x14ac:dyDescent="0.2">
      <c r="A540" s="193" t="s">
        <v>2232</v>
      </c>
      <c r="B540" s="9" t="s">
        <v>3290</v>
      </c>
      <c r="C540" s="9" t="s">
        <v>3291</v>
      </c>
      <c r="D540" s="252">
        <v>2.69</v>
      </c>
      <c r="E540" s="245">
        <v>1618</v>
      </c>
      <c r="F540" s="246">
        <v>1496</v>
      </c>
      <c r="G540" s="247">
        <v>847</v>
      </c>
      <c r="H540" s="248">
        <v>1179</v>
      </c>
      <c r="I540" s="249">
        <v>1500</v>
      </c>
      <c r="J540" s="122" t="b">
        <f>IF(ISBLANK(CertifiedCrop[[#This Row],[1. Identifiant interne d’exploitation agricole*]]),"",IF(ISERROR(MATCH(CertifiedCrop[[#This Row],[1. Identifiant interne d’exploitation agricole*]],GroupMember[1. Identifiant interne d’exploitation agricole*],0)),FALSE,TRUE))</f>
        <v>1</v>
      </c>
      <c r="K540" s="122" t="b">
        <f t="array" ref="K540">IF(ISBLANK(CertifiedCrop[[#This Row],[2. Produit agricole certifié*]]),"",IF(ISERROR(MATCH(1,(#REF!=CertifiedCrop[[#This Row],[2. Produit agricole certifié*]])*(#REF!=CertifiedCrop[[#This Row],[3. Variété**]]),0)),FALSE,TRUE))</f>
        <v>0</v>
      </c>
      <c r="L540" s="20" t="str">
        <f t="shared" si="40"/>
        <v/>
      </c>
      <c r="M540" s="54" t="str">
        <f t="shared" si="41"/>
        <v>!</v>
      </c>
      <c r="N540" s="54" t="str">
        <f t="shared" si="42"/>
        <v>!</v>
      </c>
      <c r="O540" s="55">
        <f t="shared" si="43"/>
        <v>601.48698884758369</v>
      </c>
      <c r="P540" s="55">
        <f t="shared" si="44"/>
        <v>556.13382899628255</v>
      </c>
      <c r="Q540" s="9" t="str">
        <f ca="1">IFERROR((VLOOKUP(A540,GM_Table,8,FALSE)-SUMIFS(D:D,A:A,A540,B:B,B540,C:C,C540)),"")</f>
        <v/>
      </c>
      <c r="R540" s="9" t="str">
        <f ca="1">IFERROR(CONCATENATE(VLOOKUP(A540,GM_Table,12,FALSE)," ",(VLOOKUP(A540,GM_Table,13,FALSE))),"")</f>
        <v/>
      </c>
    </row>
    <row r="541" spans="1:18" ht="15" x14ac:dyDescent="0.2">
      <c r="A541" s="193" t="s">
        <v>2234</v>
      </c>
      <c r="B541" s="9" t="s">
        <v>3290</v>
      </c>
      <c r="C541" s="9" t="s">
        <v>3291</v>
      </c>
      <c r="D541" s="252">
        <v>5.82</v>
      </c>
      <c r="E541" s="245">
        <v>3600</v>
      </c>
      <c r="F541" s="246">
        <v>3415</v>
      </c>
      <c r="G541" s="247">
        <v>246</v>
      </c>
      <c r="H541" s="248">
        <v>3091</v>
      </c>
      <c r="I541" s="249">
        <v>3500</v>
      </c>
      <c r="J541" s="122" t="b">
        <f>IF(ISBLANK(CertifiedCrop[[#This Row],[1. Identifiant interne d’exploitation agricole*]]),"",IF(ISERROR(MATCH(CertifiedCrop[[#This Row],[1. Identifiant interne d’exploitation agricole*]],GroupMember[1. Identifiant interne d’exploitation agricole*],0)),FALSE,TRUE))</f>
        <v>1</v>
      </c>
      <c r="K541" s="122" t="b">
        <f t="array" ref="K541">IF(ISBLANK(CertifiedCrop[[#This Row],[2. Produit agricole certifié*]]),"",IF(ISERROR(MATCH(1,(#REF!=CertifiedCrop[[#This Row],[2. Produit agricole certifié*]])*(#REF!=CertifiedCrop[[#This Row],[3. Variété**]]),0)),FALSE,TRUE))</f>
        <v>0</v>
      </c>
      <c r="L541" s="20" t="str">
        <f t="shared" si="40"/>
        <v/>
      </c>
      <c r="M541" s="54" t="str">
        <f t="shared" si="41"/>
        <v>!</v>
      </c>
      <c r="N541" s="54" t="str">
        <f t="shared" si="42"/>
        <v>!</v>
      </c>
      <c r="O541" s="55">
        <f t="shared" si="43"/>
        <v>618.5567010309278</v>
      </c>
      <c r="P541" s="55">
        <f t="shared" si="44"/>
        <v>586.76975945017182</v>
      </c>
      <c r="Q541" s="9" t="str">
        <f ca="1">IFERROR((VLOOKUP(A541,GM_Table,8,FALSE)-SUMIFS(D:D,A:A,A541,B:B,B541,C:C,C541)),"")</f>
        <v/>
      </c>
      <c r="R541" s="9" t="str">
        <f ca="1">IFERROR(CONCATENATE(VLOOKUP(A541,GM_Table,12,FALSE)," ",(VLOOKUP(A541,GM_Table,13,FALSE))),"")</f>
        <v/>
      </c>
    </row>
    <row r="542" spans="1:18" ht="15" x14ac:dyDescent="0.2">
      <c r="A542" s="193" t="s">
        <v>2237</v>
      </c>
      <c r="B542" s="9" t="s">
        <v>3290</v>
      </c>
      <c r="C542" s="9" t="s">
        <v>3291</v>
      </c>
      <c r="D542" s="252">
        <v>3.13</v>
      </c>
      <c r="E542" s="245">
        <v>2792</v>
      </c>
      <c r="F542" s="246">
        <v>2596</v>
      </c>
      <c r="G542" s="247">
        <v>482</v>
      </c>
      <c r="H542" s="248">
        <v>1776</v>
      </c>
      <c r="I542" s="249">
        <v>2000</v>
      </c>
      <c r="J542" s="122" t="b">
        <f>IF(ISBLANK(CertifiedCrop[[#This Row],[1. Identifiant interne d’exploitation agricole*]]),"",IF(ISERROR(MATCH(CertifiedCrop[[#This Row],[1. Identifiant interne d’exploitation agricole*]],GroupMember[1. Identifiant interne d’exploitation agricole*],0)),FALSE,TRUE))</f>
        <v>1</v>
      </c>
      <c r="K542" s="122" t="b">
        <f t="array" ref="K542">IF(ISBLANK(CertifiedCrop[[#This Row],[2. Produit agricole certifié*]]),"",IF(ISERROR(MATCH(1,(#REF!=CertifiedCrop[[#This Row],[2. Produit agricole certifié*]])*(#REF!=CertifiedCrop[[#This Row],[3. Variété**]]),0)),FALSE,TRUE))</f>
        <v>0</v>
      </c>
      <c r="L542" s="20" t="str">
        <f t="shared" si="40"/>
        <v/>
      </c>
      <c r="M542" s="54" t="str">
        <f t="shared" si="41"/>
        <v>!</v>
      </c>
      <c r="N542" s="54" t="str">
        <f t="shared" si="42"/>
        <v>!</v>
      </c>
      <c r="O542" s="55">
        <f t="shared" si="43"/>
        <v>892.01277955271564</v>
      </c>
      <c r="P542" s="55">
        <f t="shared" si="44"/>
        <v>829.39297124600637</v>
      </c>
      <c r="Q542" s="9" t="str">
        <f ca="1">IFERROR((VLOOKUP(A542,GM_Table,8,FALSE)-SUMIFS(D:D,A:A,A542,B:B,B542,C:C,C542)),"")</f>
        <v/>
      </c>
      <c r="R542" s="9" t="str">
        <f ca="1">IFERROR(CONCATENATE(VLOOKUP(A542,GM_Table,12,FALSE)," ",(VLOOKUP(A542,GM_Table,13,FALSE))),"")</f>
        <v/>
      </c>
    </row>
    <row r="543" spans="1:18" ht="15" x14ac:dyDescent="0.2">
      <c r="A543" s="193" t="s">
        <v>2239</v>
      </c>
      <c r="B543" s="9" t="s">
        <v>3290</v>
      </c>
      <c r="C543" s="9" t="s">
        <v>3291</v>
      </c>
      <c r="D543" s="252">
        <v>4.76</v>
      </c>
      <c r="E543" s="245">
        <v>3012</v>
      </c>
      <c r="F543" s="246">
        <v>2878</v>
      </c>
      <c r="G543" s="247">
        <v>1669</v>
      </c>
      <c r="H543" s="248">
        <v>2817</v>
      </c>
      <c r="I543" s="249">
        <v>2900</v>
      </c>
      <c r="J543" s="122" t="b">
        <f>IF(ISBLANK(CertifiedCrop[[#This Row],[1. Identifiant interne d’exploitation agricole*]]),"",IF(ISERROR(MATCH(CertifiedCrop[[#This Row],[1. Identifiant interne d’exploitation agricole*]],GroupMember[1. Identifiant interne d’exploitation agricole*],0)),FALSE,TRUE))</f>
        <v>1</v>
      </c>
      <c r="K543" s="122" t="b">
        <f t="array" ref="K543">IF(ISBLANK(CertifiedCrop[[#This Row],[2. Produit agricole certifié*]]),"",IF(ISERROR(MATCH(1,(#REF!=CertifiedCrop[[#This Row],[2. Produit agricole certifié*]])*(#REF!=CertifiedCrop[[#This Row],[3. Variété**]]),0)),FALSE,TRUE))</f>
        <v>0</v>
      </c>
      <c r="L543" s="20" t="str">
        <f t="shared" si="40"/>
        <v/>
      </c>
      <c r="M543" s="54" t="str">
        <f t="shared" si="41"/>
        <v>!</v>
      </c>
      <c r="N543" s="54" t="str">
        <f t="shared" si="42"/>
        <v>!</v>
      </c>
      <c r="O543" s="55">
        <f t="shared" si="43"/>
        <v>632.77310924369749</v>
      </c>
      <c r="P543" s="55">
        <f t="shared" si="44"/>
        <v>604.62184873949582</v>
      </c>
      <c r="Q543" s="9" t="str">
        <f ca="1">IFERROR((VLOOKUP(A543,GM_Table,8,FALSE)-SUMIFS(D:D,A:A,A543,B:B,B543,C:C,C543)),"")</f>
        <v/>
      </c>
      <c r="R543" s="9" t="str">
        <f ca="1">IFERROR(CONCATENATE(VLOOKUP(A543,GM_Table,12,FALSE)," ",(VLOOKUP(A543,GM_Table,13,FALSE))),"")</f>
        <v/>
      </c>
    </row>
    <row r="544" spans="1:18" ht="15" x14ac:dyDescent="0.2">
      <c r="A544" s="193" t="s">
        <v>2240</v>
      </c>
      <c r="B544" s="9" t="s">
        <v>3290</v>
      </c>
      <c r="C544" s="9" t="s">
        <v>3291</v>
      </c>
      <c r="D544" s="252">
        <v>3.04</v>
      </c>
      <c r="E544" s="245">
        <v>1676</v>
      </c>
      <c r="F544" s="246">
        <v>1596</v>
      </c>
      <c r="G544" s="247">
        <v>514</v>
      </c>
      <c r="H544" s="248">
        <v>1061</v>
      </c>
      <c r="I544" s="249">
        <v>1800</v>
      </c>
      <c r="J544" s="122" t="b">
        <f>IF(ISBLANK(CertifiedCrop[[#This Row],[1. Identifiant interne d’exploitation agricole*]]),"",IF(ISERROR(MATCH(CertifiedCrop[[#This Row],[1. Identifiant interne d’exploitation agricole*]],GroupMember[1. Identifiant interne d’exploitation agricole*],0)),FALSE,TRUE))</f>
        <v>1</v>
      </c>
      <c r="K544" s="122" t="b">
        <f t="array" ref="K544">IF(ISBLANK(CertifiedCrop[[#This Row],[2. Produit agricole certifié*]]),"",IF(ISERROR(MATCH(1,(#REF!=CertifiedCrop[[#This Row],[2. Produit agricole certifié*]])*(#REF!=CertifiedCrop[[#This Row],[3. Variété**]]),0)),FALSE,TRUE))</f>
        <v>0</v>
      </c>
      <c r="L544" s="20" t="str">
        <f t="shared" si="40"/>
        <v/>
      </c>
      <c r="M544" s="54" t="str">
        <f t="shared" si="41"/>
        <v>!</v>
      </c>
      <c r="N544" s="54" t="str">
        <f t="shared" si="42"/>
        <v>!</v>
      </c>
      <c r="O544" s="55">
        <f t="shared" si="43"/>
        <v>551.31578947368416</v>
      </c>
      <c r="P544" s="55">
        <f t="shared" si="44"/>
        <v>525</v>
      </c>
      <c r="Q544" s="9" t="str">
        <f ca="1">IFERROR((VLOOKUP(A544,GM_Table,8,FALSE)-SUMIFS(D:D,A:A,A544,B:B,B544,C:C,C544)),"")</f>
        <v/>
      </c>
      <c r="R544" s="9" t="str">
        <f ca="1">IFERROR(CONCATENATE(VLOOKUP(A544,GM_Table,12,FALSE)," ",(VLOOKUP(A544,GM_Table,13,FALSE))),"")</f>
        <v/>
      </c>
    </row>
    <row r="545" spans="1:18" ht="15" x14ac:dyDescent="0.2">
      <c r="A545" s="193" t="s">
        <v>2242</v>
      </c>
      <c r="B545" s="9" t="s">
        <v>3290</v>
      </c>
      <c r="C545" s="9" t="s">
        <v>3291</v>
      </c>
      <c r="D545" s="252">
        <v>4.46</v>
      </c>
      <c r="E545" s="245">
        <v>2530</v>
      </c>
      <c r="F545" s="246">
        <v>2473</v>
      </c>
      <c r="G545" s="247">
        <v>542</v>
      </c>
      <c r="H545" s="248">
        <v>2262</v>
      </c>
      <c r="I545" s="249">
        <v>2700</v>
      </c>
      <c r="J545" s="122" t="b">
        <f>IF(ISBLANK(CertifiedCrop[[#This Row],[1. Identifiant interne d’exploitation agricole*]]),"",IF(ISERROR(MATCH(CertifiedCrop[[#This Row],[1. Identifiant interne d’exploitation agricole*]],GroupMember[1. Identifiant interne d’exploitation agricole*],0)),FALSE,TRUE))</f>
        <v>1</v>
      </c>
      <c r="K545" s="122" t="b">
        <f t="array" ref="K545">IF(ISBLANK(CertifiedCrop[[#This Row],[2. Produit agricole certifié*]]),"",IF(ISERROR(MATCH(1,(#REF!=CertifiedCrop[[#This Row],[2. Produit agricole certifié*]])*(#REF!=CertifiedCrop[[#This Row],[3. Variété**]]),0)),FALSE,TRUE))</f>
        <v>0</v>
      </c>
      <c r="L545" s="20" t="str">
        <f t="shared" si="40"/>
        <v/>
      </c>
      <c r="M545" s="54" t="str">
        <f t="shared" si="41"/>
        <v>!</v>
      </c>
      <c r="N545" s="54" t="str">
        <f t="shared" si="42"/>
        <v>!</v>
      </c>
      <c r="O545" s="55">
        <f t="shared" si="43"/>
        <v>567.2645739910314</v>
      </c>
      <c r="P545" s="55">
        <f t="shared" si="44"/>
        <v>554.48430493273543</v>
      </c>
      <c r="Q545" s="9" t="str">
        <f ca="1">IFERROR((VLOOKUP(A545,GM_Table,8,FALSE)-SUMIFS(D:D,A:A,A545,B:B,B545,C:C,C545)),"")</f>
        <v/>
      </c>
      <c r="R545" s="9" t="str">
        <f ca="1">IFERROR(CONCATENATE(VLOOKUP(A545,GM_Table,12,FALSE)," ",(VLOOKUP(A545,GM_Table,13,FALSE))),"")</f>
        <v/>
      </c>
    </row>
    <row r="546" spans="1:18" ht="15" x14ac:dyDescent="0.2">
      <c r="A546" s="193" t="s">
        <v>2243</v>
      </c>
      <c r="B546" s="9" t="s">
        <v>3290</v>
      </c>
      <c r="C546" s="9" t="s">
        <v>3291</v>
      </c>
      <c r="D546" s="252">
        <v>1.18</v>
      </c>
      <c r="E546" s="221">
        <v>750</v>
      </c>
      <c r="F546" s="246">
        <v>718</v>
      </c>
      <c r="G546" s="247">
        <v>425</v>
      </c>
      <c r="H546" s="248">
        <v>659</v>
      </c>
      <c r="I546" s="249">
        <v>700</v>
      </c>
      <c r="J546" s="122" t="b">
        <f>IF(ISBLANK(CertifiedCrop[[#This Row],[1. Identifiant interne d’exploitation agricole*]]),"",IF(ISERROR(MATCH(CertifiedCrop[[#This Row],[1. Identifiant interne d’exploitation agricole*]],GroupMember[1. Identifiant interne d’exploitation agricole*],0)),FALSE,TRUE))</f>
        <v>1</v>
      </c>
      <c r="K546" s="122" t="b">
        <f t="array" ref="K546">IF(ISBLANK(CertifiedCrop[[#This Row],[2. Produit agricole certifié*]]),"",IF(ISERROR(MATCH(1,(#REF!=CertifiedCrop[[#This Row],[2. Produit agricole certifié*]])*(#REF!=CertifiedCrop[[#This Row],[3. Variété**]]),0)),FALSE,TRUE))</f>
        <v>0</v>
      </c>
      <c r="L546" s="20" t="str">
        <f t="shared" si="40"/>
        <v/>
      </c>
      <c r="M546" s="54" t="str">
        <f t="shared" si="41"/>
        <v>!</v>
      </c>
      <c r="N546" s="54" t="str">
        <f t="shared" si="42"/>
        <v>!</v>
      </c>
      <c r="O546" s="55">
        <f t="shared" si="43"/>
        <v>635.59322033898309</v>
      </c>
      <c r="P546" s="55">
        <f t="shared" si="44"/>
        <v>608.47457627118649</v>
      </c>
      <c r="Q546" s="9" t="str">
        <f ca="1">IFERROR((VLOOKUP(A546,GM_Table,8,FALSE)-SUMIFS(D:D,A:A,A546,B:B,B546,C:C,C546)),"")</f>
        <v/>
      </c>
      <c r="R546" s="9" t="str">
        <f ca="1">IFERROR(CONCATENATE(VLOOKUP(A546,GM_Table,12,FALSE)," ",(VLOOKUP(A546,GM_Table,13,FALSE))),"")</f>
        <v/>
      </c>
    </row>
    <row r="547" spans="1:18" ht="15" x14ac:dyDescent="0.2">
      <c r="A547" s="193" t="s">
        <v>2245</v>
      </c>
      <c r="B547" s="9" t="s">
        <v>3290</v>
      </c>
      <c r="C547" s="9" t="s">
        <v>3291</v>
      </c>
      <c r="D547" s="252">
        <v>2.35</v>
      </c>
      <c r="E547" s="245">
        <v>1392</v>
      </c>
      <c r="F547" s="246">
        <v>1269</v>
      </c>
      <c r="G547" s="247">
        <v>238</v>
      </c>
      <c r="H547" s="248">
        <v>893</v>
      </c>
      <c r="I547" s="249">
        <v>1400</v>
      </c>
      <c r="J547" s="122" t="b">
        <f>IF(ISBLANK(CertifiedCrop[[#This Row],[1. Identifiant interne d’exploitation agricole*]]),"",IF(ISERROR(MATCH(CertifiedCrop[[#This Row],[1. Identifiant interne d’exploitation agricole*]],GroupMember[1. Identifiant interne d’exploitation agricole*],0)),FALSE,TRUE))</f>
        <v>1</v>
      </c>
      <c r="K547" s="122" t="b">
        <f t="array" ref="K547">IF(ISBLANK(CertifiedCrop[[#This Row],[2. Produit agricole certifié*]]),"",IF(ISERROR(MATCH(1,(#REF!=CertifiedCrop[[#This Row],[2. Produit agricole certifié*]])*(#REF!=CertifiedCrop[[#This Row],[3. Variété**]]),0)),FALSE,TRUE))</f>
        <v>0</v>
      </c>
      <c r="L547" s="20" t="str">
        <f t="shared" si="40"/>
        <v/>
      </c>
      <c r="M547" s="54" t="str">
        <f t="shared" si="41"/>
        <v>!</v>
      </c>
      <c r="N547" s="54" t="str">
        <f t="shared" si="42"/>
        <v>!</v>
      </c>
      <c r="O547" s="55">
        <f t="shared" si="43"/>
        <v>592.34042553191489</v>
      </c>
      <c r="P547" s="55">
        <f t="shared" si="44"/>
        <v>540</v>
      </c>
      <c r="Q547" s="9" t="str">
        <f ca="1">IFERROR((VLOOKUP(A547,GM_Table,8,FALSE)-SUMIFS(D:D,A:A,A547,B:B,B547,C:C,C547)),"")</f>
        <v/>
      </c>
      <c r="R547" s="9" t="str">
        <f ca="1">IFERROR(CONCATENATE(VLOOKUP(A547,GM_Table,12,FALSE)," ",(VLOOKUP(A547,GM_Table,13,FALSE))),"")</f>
        <v/>
      </c>
    </row>
    <row r="548" spans="1:18" ht="15" x14ac:dyDescent="0.2">
      <c r="A548" s="193" t="s">
        <v>2247</v>
      </c>
      <c r="B548" s="9" t="s">
        <v>3290</v>
      </c>
      <c r="C548" s="9" t="s">
        <v>3291</v>
      </c>
      <c r="D548" s="252">
        <v>3.52</v>
      </c>
      <c r="E548" s="245">
        <v>2231</v>
      </c>
      <c r="F548" s="246">
        <v>2145</v>
      </c>
      <c r="G548" s="247">
        <v>527</v>
      </c>
      <c r="H548" s="248">
        <v>2012</v>
      </c>
      <c r="I548" s="249">
        <v>2200</v>
      </c>
      <c r="J548" s="122" t="b">
        <f>IF(ISBLANK(CertifiedCrop[[#This Row],[1. Identifiant interne d’exploitation agricole*]]),"",IF(ISERROR(MATCH(CertifiedCrop[[#This Row],[1. Identifiant interne d’exploitation agricole*]],GroupMember[1. Identifiant interne d’exploitation agricole*],0)),FALSE,TRUE))</f>
        <v>1</v>
      </c>
      <c r="K548" s="122" t="b">
        <f t="array" ref="K548">IF(ISBLANK(CertifiedCrop[[#This Row],[2. Produit agricole certifié*]]),"",IF(ISERROR(MATCH(1,(#REF!=CertifiedCrop[[#This Row],[2. Produit agricole certifié*]])*(#REF!=CertifiedCrop[[#This Row],[3. Variété**]]),0)),FALSE,TRUE))</f>
        <v>0</v>
      </c>
      <c r="L548" s="20" t="str">
        <f t="shared" si="40"/>
        <v/>
      </c>
      <c r="M548" s="54" t="str">
        <f t="shared" si="41"/>
        <v>!</v>
      </c>
      <c r="N548" s="54" t="str">
        <f t="shared" si="42"/>
        <v>!</v>
      </c>
      <c r="O548" s="55">
        <f t="shared" si="43"/>
        <v>633.80681818181813</v>
      </c>
      <c r="P548" s="55">
        <f t="shared" si="44"/>
        <v>609.375</v>
      </c>
      <c r="Q548" s="9" t="str">
        <f ca="1">IFERROR((VLOOKUP(A548,GM_Table,8,FALSE)-SUMIFS(D:D,A:A,A548,B:B,B548,C:C,C548)),"")</f>
        <v/>
      </c>
      <c r="R548" s="9" t="str">
        <f ca="1">IFERROR(CONCATENATE(VLOOKUP(A548,GM_Table,12,FALSE)," ",(VLOOKUP(A548,GM_Table,13,FALSE))),"")</f>
        <v/>
      </c>
    </row>
    <row r="549" spans="1:18" ht="15" x14ac:dyDescent="0.2">
      <c r="A549" s="193" t="s">
        <v>2250</v>
      </c>
      <c r="B549" s="9" t="s">
        <v>3290</v>
      </c>
      <c r="C549" s="9" t="s">
        <v>3291</v>
      </c>
      <c r="D549" s="252">
        <v>3.22</v>
      </c>
      <c r="E549" s="245">
        <v>1717</v>
      </c>
      <c r="F549" s="246">
        <v>1628</v>
      </c>
      <c r="G549" s="247">
        <v>634</v>
      </c>
      <c r="H549" s="248">
        <v>1267</v>
      </c>
      <c r="I549" s="249">
        <v>2000</v>
      </c>
      <c r="J549" s="122" t="b">
        <f>IF(ISBLANK(CertifiedCrop[[#This Row],[1. Identifiant interne d’exploitation agricole*]]),"",IF(ISERROR(MATCH(CertifiedCrop[[#This Row],[1. Identifiant interne d’exploitation agricole*]],GroupMember[1. Identifiant interne d’exploitation agricole*],0)),FALSE,TRUE))</f>
        <v>1</v>
      </c>
      <c r="K549" s="122" t="b">
        <f t="array" ref="K549">IF(ISBLANK(CertifiedCrop[[#This Row],[2. Produit agricole certifié*]]),"",IF(ISERROR(MATCH(1,(#REF!=CertifiedCrop[[#This Row],[2. Produit agricole certifié*]])*(#REF!=CertifiedCrop[[#This Row],[3. Variété**]]),0)),FALSE,TRUE))</f>
        <v>0</v>
      </c>
      <c r="L549" s="20" t="str">
        <f t="shared" si="40"/>
        <v/>
      </c>
      <c r="M549" s="54" t="str">
        <f t="shared" si="41"/>
        <v>!</v>
      </c>
      <c r="N549" s="54" t="str">
        <f t="shared" si="42"/>
        <v>!</v>
      </c>
      <c r="O549" s="55">
        <f t="shared" si="43"/>
        <v>533.22981366459624</v>
      </c>
      <c r="P549" s="55">
        <f t="shared" si="44"/>
        <v>505.59006211180122</v>
      </c>
      <c r="Q549" s="9" t="str">
        <f ca="1">IFERROR((VLOOKUP(A549,GM_Table,8,FALSE)-SUMIFS(D:D,A:A,A549,B:B,B549,C:C,C549)),"")</f>
        <v/>
      </c>
      <c r="R549" s="9" t="str">
        <f ca="1">IFERROR(CONCATENATE(VLOOKUP(A549,GM_Table,12,FALSE)," ",(VLOOKUP(A549,GM_Table,13,FALSE))),"")</f>
        <v/>
      </c>
    </row>
    <row r="550" spans="1:18" ht="15" x14ac:dyDescent="0.2">
      <c r="A550" s="193" t="s">
        <v>2251</v>
      </c>
      <c r="B550" s="9" t="s">
        <v>3290</v>
      </c>
      <c r="C550" s="9" t="s">
        <v>3291</v>
      </c>
      <c r="D550" s="252">
        <v>0.57999999999999996</v>
      </c>
      <c r="E550" s="221">
        <v>290</v>
      </c>
      <c r="F550" s="246">
        <v>285</v>
      </c>
      <c r="G550" s="247">
        <v>148</v>
      </c>
      <c r="H550" s="248">
        <v>162</v>
      </c>
      <c r="I550" s="249">
        <v>325</v>
      </c>
      <c r="J550" s="122" t="b">
        <f>IF(ISBLANK(CertifiedCrop[[#This Row],[1. Identifiant interne d’exploitation agricole*]]),"",IF(ISERROR(MATCH(CertifiedCrop[[#This Row],[1. Identifiant interne d’exploitation agricole*]],GroupMember[1. Identifiant interne d’exploitation agricole*],0)),FALSE,TRUE))</f>
        <v>1</v>
      </c>
      <c r="K550" s="122" t="b">
        <f t="array" ref="K550">IF(ISBLANK(CertifiedCrop[[#This Row],[2. Produit agricole certifié*]]),"",IF(ISERROR(MATCH(1,(#REF!=CertifiedCrop[[#This Row],[2. Produit agricole certifié*]])*(#REF!=CertifiedCrop[[#This Row],[3. Variété**]]),0)),FALSE,TRUE))</f>
        <v>0</v>
      </c>
      <c r="L550" s="20" t="str">
        <f t="shared" si="40"/>
        <v/>
      </c>
      <c r="M550" s="54" t="str">
        <f t="shared" si="41"/>
        <v>!</v>
      </c>
      <c r="N550" s="54" t="str">
        <f t="shared" si="42"/>
        <v/>
      </c>
      <c r="O550" s="55">
        <f t="shared" si="43"/>
        <v>500.00000000000006</v>
      </c>
      <c r="P550" s="55">
        <f t="shared" si="44"/>
        <v>491.37931034482762</v>
      </c>
      <c r="Q550" s="9" t="str">
        <f ca="1">IFERROR((VLOOKUP(A550,GM_Table,8,FALSE)-SUMIFS(D:D,A:A,A550,B:B,B550,C:C,C550)),"")</f>
        <v/>
      </c>
      <c r="R550" s="9" t="str">
        <f ca="1">IFERROR(CONCATENATE(VLOOKUP(A550,GM_Table,12,FALSE)," ",(VLOOKUP(A550,GM_Table,13,FALSE))),"")</f>
        <v/>
      </c>
    </row>
    <row r="551" spans="1:18" ht="15" x14ac:dyDescent="0.2">
      <c r="A551" s="193" t="s">
        <v>2253</v>
      </c>
      <c r="B551" s="9" t="s">
        <v>3290</v>
      </c>
      <c r="C551" s="9" t="s">
        <v>3291</v>
      </c>
      <c r="D551" s="252">
        <v>4.7300000000000004</v>
      </c>
      <c r="E551" s="245">
        <v>2684</v>
      </c>
      <c r="F551" s="246">
        <v>2545</v>
      </c>
      <c r="G551" s="247">
        <v>780</v>
      </c>
      <c r="H551" s="248">
        <v>2288</v>
      </c>
      <c r="I551" s="249">
        <v>3000</v>
      </c>
      <c r="J551" s="122" t="b">
        <f>IF(ISBLANK(CertifiedCrop[[#This Row],[1. Identifiant interne d’exploitation agricole*]]),"",IF(ISERROR(MATCH(CertifiedCrop[[#This Row],[1. Identifiant interne d’exploitation agricole*]],GroupMember[1. Identifiant interne d’exploitation agricole*],0)),FALSE,TRUE))</f>
        <v>1</v>
      </c>
      <c r="K551" s="122" t="b">
        <f t="array" ref="K551">IF(ISBLANK(CertifiedCrop[[#This Row],[2. Produit agricole certifié*]]),"",IF(ISERROR(MATCH(1,(#REF!=CertifiedCrop[[#This Row],[2. Produit agricole certifié*]])*(#REF!=CertifiedCrop[[#This Row],[3. Variété**]]),0)),FALSE,TRUE))</f>
        <v>0</v>
      </c>
      <c r="L551" s="20" t="str">
        <f t="shared" si="40"/>
        <v/>
      </c>
      <c r="M551" s="54" t="str">
        <f t="shared" si="41"/>
        <v>!</v>
      </c>
      <c r="N551" s="54" t="str">
        <f t="shared" si="42"/>
        <v>!</v>
      </c>
      <c r="O551" s="55">
        <f t="shared" si="43"/>
        <v>567.44186046511618</v>
      </c>
      <c r="P551" s="55">
        <f t="shared" si="44"/>
        <v>538.05496828752644</v>
      </c>
      <c r="Q551" s="9" t="str">
        <f ca="1">IFERROR((VLOOKUP(A551,GM_Table,8,FALSE)-SUMIFS(D:D,A:A,A551,B:B,B551,C:C,C551)),"")</f>
        <v/>
      </c>
      <c r="R551" s="9" t="str">
        <f ca="1">IFERROR(CONCATENATE(VLOOKUP(A551,GM_Table,12,FALSE)," ",(VLOOKUP(A551,GM_Table,13,FALSE))),"")</f>
        <v/>
      </c>
    </row>
    <row r="552" spans="1:18" ht="15" x14ac:dyDescent="0.2">
      <c r="A552" s="193" t="s">
        <v>2254</v>
      </c>
      <c r="B552" s="9" t="s">
        <v>3290</v>
      </c>
      <c r="C552" s="9" t="s">
        <v>3291</v>
      </c>
      <c r="D552" s="252">
        <v>1.45</v>
      </c>
      <c r="E552" s="221">
        <v>839</v>
      </c>
      <c r="F552" s="246">
        <v>813</v>
      </c>
      <c r="G552" s="247">
        <v>547</v>
      </c>
      <c r="H552" s="248">
        <v>406</v>
      </c>
      <c r="I552" s="249">
        <v>900</v>
      </c>
      <c r="J552" s="122" t="b">
        <f>IF(ISBLANK(CertifiedCrop[[#This Row],[1. Identifiant interne d’exploitation agricole*]]),"",IF(ISERROR(MATCH(CertifiedCrop[[#This Row],[1. Identifiant interne d’exploitation agricole*]],GroupMember[1. Identifiant interne d’exploitation agricole*],0)),FALSE,TRUE))</f>
        <v>1</v>
      </c>
      <c r="K552" s="122" t="b">
        <f t="array" ref="K552">IF(ISBLANK(CertifiedCrop[[#This Row],[2. Produit agricole certifié*]]),"",IF(ISERROR(MATCH(1,(#REF!=CertifiedCrop[[#This Row],[2. Produit agricole certifié*]])*(#REF!=CertifiedCrop[[#This Row],[3. Variété**]]),0)),FALSE,TRUE))</f>
        <v>0</v>
      </c>
      <c r="L552" s="20" t="str">
        <f t="shared" si="40"/>
        <v/>
      </c>
      <c r="M552" s="54" t="str">
        <f t="shared" si="41"/>
        <v>!</v>
      </c>
      <c r="N552" s="54" t="str">
        <f t="shared" si="42"/>
        <v>!</v>
      </c>
      <c r="O552" s="55">
        <f t="shared" si="43"/>
        <v>578.62068965517244</v>
      </c>
      <c r="P552" s="55">
        <f t="shared" si="44"/>
        <v>560.68965517241384</v>
      </c>
      <c r="Q552" s="9" t="str">
        <f ca="1">IFERROR((VLOOKUP(A552,GM_Table,8,FALSE)-SUMIFS(D:D,A:A,A552,B:B,B552,C:C,C552)),"")</f>
        <v/>
      </c>
      <c r="R552" s="9" t="str">
        <f ca="1">IFERROR(CONCATENATE(VLOOKUP(A552,GM_Table,12,FALSE)," ",(VLOOKUP(A552,GM_Table,13,FALSE))),"")</f>
        <v/>
      </c>
    </row>
    <row r="553" spans="1:18" ht="15" x14ac:dyDescent="0.2">
      <c r="A553" s="193" t="s">
        <v>2256</v>
      </c>
      <c r="B553" s="9" t="s">
        <v>3290</v>
      </c>
      <c r="C553" s="9" t="s">
        <v>3291</v>
      </c>
      <c r="D553" s="252">
        <v>1.81</v>
      </c>
      <c r="E553" s="245">
        <v>1145</v>
      </c>
      <c r="F553" s="246">
        <v>1108</v>
      </c>
      <c r="G553" s="247">
        <v>999</v>
      </c>
      <c r="H553" s="248">
        <v>756</v>
      </c>
      <c r="I553" s="249">
        <v>1000</v>
      </c>
      <c r="J553" s="122" t="b">
        <f>IF(ISBLANK(CertifiedCrop[[#This Row],[1. Identifiant interne d’exploitation agricole*]]),"",IF(ISERROR(MATCH(CertifiedCrop[[#This Row],[1. Identifiant interne d’exploitation agricole*]],GroupMember[1. Identifiant interne d’exploitation agricole*],0)),FALSE,TRUE))</f>
        <v>1</v>
      </c>
      <c r="K553" s="122" t="b">
        <f t="array" ref="K553">IF(ISBLANK(CertifiedCrop[[#This Row],[2. Produit agricole certifié*]]),"",IF(ISERROR(MATCH(1,(#REF!=CertifiedCrop[[#This Row],[2. Produit agricole certifié*]])*(#REF!=CertifiedCrop[[#This Row],[3. Variété**]]),0)),FALSE,TRUE))</f>
        <v>0</v>
      </c>
      <c r="L553" s="20" t="str">
        <f t="shared" si="40"/>
        <v/>
      </c>
      <c r="M553" s="54" t="str">
        <f t="shared" si="41"/>
        <v/>
      </c>
      <c r="N553" s="54" t="str">
        <f t="shared" si="42"/>
        <v>!</v>
      </c>
      <c r="O553" s="55">
        <f t="shared" si="43"/>
        <v>632.59668508287291</v>
      </c>
      <c r="P553" s="55">
        <f t="shared" si="44"/>
        <v>612.15469613259665</v>
      </c>
      <c r="Q553" s="9" t="str">
        <f ca="1">IFERROR((VLOOKUP(A553,GM_Table,8,FALSE)-SUMIFS(D:D,A:A,A553,B:B,B553,C:C,C553)),"")</f>
        <v/>
      </c>
      <c r="R553" s="9" t="str">
        <f ca="1">IFERROR(CONCATENATE(VLOOKUP(A553,GM_Table,12,FALSE)," ",(VLOOKUP(A553,GM_Table,13,FALSE))),"")</f>
        <v/>
      </c>
    </row>
    <row r="554" spans="1:18" ht="15" x14ac:dyDescent="0.2">
      <c r="A554" s="193" t="s">
        <v>2258</v>
      </c>
      <c r="B554" s="9" t="s">
        <v>3290</v>
      </c>
      <c r="C554" s="9" t="s">
        <v>3291</v>
      </c>
      <c r="D554" s="252">
        <v>1.3</v>
      </c>
      <c r="E554" s="221">
        <v>796</v>
      </c>
      <c r="F554" s="246">
        <v>769</v>
      </c>
      <c r="G554" s="247">
        <v>389</v>
      </c>
      <c r="H554" s="248">
        <v>389</v>
      </c>
      <c r="I554" s="249">
        <v>750</v>
      </c>
      <c r="J554" s="122" t="b">
        <f>IF(ISBLANK(CertifiedCrop[[#This Row],[1. Identifiant interne d’exploitation agricole*]]),"",IF(ISERROR(MATCH(CertifiedCrop[[#This Row],[1. Identifiant interne d’exploitation agricole*]],GroupMember[1. Identifiant interne d’exploitation agricole*],0)),FALSE,TRUE))</f>
        <v>1</v>
      </c>
      <c r="K554" s="122" t="b">
        <f t="array" ref="K554">IF(ISBLANK(CertifiedCrop[[#This Row],[2. Produit agricole certifié*]]),"",IF(ISERROR(MATCH(1,(#REF!=CertifiedCrop[[#This Row],[2. Produit agricole certifié*]])*(#REF!=CertifiedCrop[[#This Row],[3. Variété**]]),0)),FALSE,TRUE))</f>
        <v>0</v>
      </c>
      <c r="L554" s="20" t="str">
        <f t="shared" si="40"/>
        <v/>
      </c>
      <c r="M554" s="54" t="str">
        <f t="shared" si="41"/>
        <v>!</v>
      </c>
      <c r="N554" s="54" t="str">
        <f t="shared" si="42"/>
        <v/>
      </c>
      <c r="O554" s="55">
        <f t="shared" si="43"/>
        <v>612.30769230769226</v>
      </c>
      <c r="P554" s="55">
        <f t="shared" si="44"/>
        <v>591.53846153846155</v>
      </c>
      <c r="Q554" s="9" t="str">
        <f ca="1">IFERROR((VLOOKUP(A554,GM_Table,8,FALSE)-SUMIFS(D:D,A:A,A554,B:B,B554,C:C,C554)),"")</f>
        <v/>
      </c>
      <c r="R554" s="9" t="str">
        <f ca="1">IFERROR(CONCATENATE(VLOOKUP(A554,GM_Table,12,FALSE)," ",(VLOOKUP(A554,GM_Table,13,FALSE))),"")</f>
        <v/>
      </c>
    </row>
    <row r="555" spans="1:18" ht="15" x14ac:dyDescent="0.2">
      <c r="A555" s="193" t="s">
        <v>2260</v>
      </c>
      <c r="B555" s="9" t="s">
        <v>3290</v>
      </c>
      <c r="C555" s="9" t="s">
        <v>3291</v>
      </c>
      <c r="D555" s="252">
        <v>6.16</v>
      </c>
      <c r="E555" s="245">
        <v>3409</v>
      </c>
      <c r="F555" s="246">
        <v>3362</v>
      </c>
      <c r="G555" s="247">
        <v>811</v>
      </c>
      <c r="H555" s="248">
        <v>2883</v>
      </c>
      <c r="I555" s="249">
        <v>3800</v>
      </c>
      <c r="J555" s="122" t="b">
        <f>IF(ISBLANK(CertifiedCrop[[#This Row],[1. Identifiant interne d’exploitation agricole*]]),"",IF(ISERROR(MATCH(CertifiedCrop[[#This Row],[1. Identifiant interne d’exploitation agricole*]],GroupMember[1. Identifiant interne d’exploitation agricole*],0)),FALSE,TRUE))</f>
        <v>1</v>
      </c>
      <c r="K555" s="122" t="b">
        <f t="array" ref="K555">IF(ISBLANK(CertifiedCrop[[#This Row],[2. Produit agricole certifié*]]),"",IF(ISERROR(MATCH(1,(#REF!=CertifiedCrop[[#This Row],[2. Produit agricole certifié*]])*(#REF!=CertifiedCrop[[#This Row],[3. Variété**]]),0)),FALSE,TRUE))</f>
        <v>0</v>
      </c>
      <c r="L555" s="20" t="str">
        <f t="shared" si="40"/>
        <v/>
      </c>
      <c r="M555" s="54" t="str">
        <f t="shared" si="41"/>
        <v>!</v>
      </c>
      <c r="N555" s="54" t="str">
        <f t="shared" si="42"/>
        <v>!</v>
      </c>
      <c r="O555" s="55">
        <f t="shared" si="43"/>
        <v>553.40909090909088</v>
      </c>
      <c r="P555" s="55">
        <f t="shared" si="44"/>
        <v>545.77922077922074</v>
      </c>
      <c r="Q555" s="9" t="str">
        <f ca="1">IFERROR((VLOOKUP(A555,GM_Table,8,FALSE)-SUMIFS(D:D,A:A,A555,B:B,B555,C:C,C555)),"")</f>
        <v/>
      </c>
      <c r="R555" s="9" t="str">
        <f ca="1">IFERROR(CONCATENATE(VLOOKUP(A555,GM_Table,12,FALSE)," ",(VLOOKUP(A555,GM_Table,13,FALSE))),"")</f>
        <v/>
      </c>
    </row>
    <row r="556" spans="1:18" ht="15" x14ac:dyDescent="0.2">
      <c r="A556" s="193" t="s">
        <v>2262</v>
      </c>
      <c r="B556" s="9" t="s">
        <v>3290</v>
      </c>
      <c r="C556" s="9" t="s">
        <v>3291</v>
      </c>
      <c r="D556" s="252">
        <v>2.54</v>
      </c>
      <c r="E556" s="245">
        <v>1531</v>
      </c>
      <c r="F556" s="246">
        <v>1399</v>
      </c>
      <c r="G556" s="247">
        <v>591</v>
      </c>
      <c r="H556" s="248">
        <v>1369</v>
      </c>
      <c r="I556" s="249">
        <v>1600</v>
      </c>
      <c r="J556" s="122" t="b">
        <f>IF(ISBLANK(CertifiedCrop[[#This Row],[1. Identifiant interne d’exploitation agricole*]]),"",IF(ISERROR(MATCH(CertifiedCrop[[#This Row],[1. Identifiant interne d’exploitation agricole*]],GroupMember[1. Identifiant interne d’exploitation agricole*],0)),FALSE,TRUE))</f>
        <v>1</v>
      </c>
      <c r="K556" s="122" t="b">
        <f t="array" ref="K556">IF(ISBLANK(CertifiedCrop[[#This Row],[2. Produit agricole certifié*]]),"",IF(ISERROR(MATCH(1,(#REF!=CertifiedCrop[[#This Row],[2. Produit agricole certifié*]])*(#REF!=CertifiedCrop[[#This Row],[3. Variété**]]),0)),FALSE,TRUE))</f>
        <v>0</v>
      </c>
      <c r="L556" s="20" t="str">
        <f t="shared" si="40"/>
        <v/>
      </c>
      <c r="M556" s="54" t="str">
        <f t="shared" si="41"/>
        <v>!</v>
      </c>
      <c r="N556" s="54" t="str">
        <f t="shared" si="42"/>
        <v>!</v>
      </c>
      <c r="O556" s="55">
        <f t="shared" si="43"/>
        <v>602.75590551181097</v>
      </c>
      <c r="P556" s="55">
        <f t="shared" si="44"/>
        <v>550.7874015748032</v>
      </c>
      <c r="Q556" s="9" t="str">
        <f ca="1">IFERROR((VLOOKUP(A556,GM_Table,8,FALSE)-SUMIFS(D:D,A:A,A556,B:B,B556,C:C,C556)),"")</f>
        <v/>
      </c>
      <c r="R556" s="9" t="str">
        <f ca="1">IFERROR(CONCATENATE(VLOOKUP(A556,GM_Table,12,FALSE)," ",(VLOOKUP(A556,GM_Table,13,FALSE))),"")</f>
        <v/>
      </c>
    </row>
    <row r="557" spans="1:18" ht="15" x14ac:dyDescent="0.2">
      <c r="A557" s="193" t="s">
        <v>2265</v>
      </c>
      <c r="B557" s="9" t="s">
        <v>3290</v>
      </c>
      <c r="C557" s="9" t="s">
        <v>3291</v>
      </c>
      <c r="D557" s="252">
        <v>2.25</v>
      </c>
      <c r="E557" s="245">
        <v>1234</v>
      </c>
      <c r="F557" s="246">
        <v>1205</v>
      </c>
      <c r="G557" s="247">
        <v>277</v>
      </c>
      <c r="H557" s="248">
        <v>746</v>
      </c>
      <c r="I557" s="249">
        <v>1400</v>
      </c>
      <c r="J557" s="122" t="b">
        <f>IF(ISBLANK(CertifiedCrop[[#This Row],[1. Identifiant interne d’exploitation agricole*]]),"",IF(ISERROR(MATCH(CertifiedCrop[[#This Row],[1. Identifiant interne d’exploitation agricole*]],GroupMember[1. Identifiant interne d’exploitation agricole*],0)),FALSE,TRUE))</f>
        <v>1</v>
      </c>
      <c r="K557" s="122" t="b">
        <f t="array" ref="K557">IF(ISBLANK(CertifiedCrop[[#This Row],[2. Produit agricole certifié*]]),"",IF(ISERROR(MATCH(1,(#REF!=CertifiedCrop[[#This Row],[2. Produit agricole certifié*]])*(#REF!=CertifiedCrop[[#This Row],[3. Variété**]]),0)),FALSE,TRUE))</f>
        <v>0</v>
      </c>
      <c r="L557" s="20" t="str">
        <f t="shared" si="40"/>
        <v/>
      </c>
      <c r="M557" s="54" t="str">
        <f t="shared" si="41"/>
        <v>!</v>
      </c>
      <c r="N557" s="54" t="str">
        <f t="shared" si="42"/>
        <v>!</v>
      </c>
      <c r="O557" s="55">
        <f t="shared" si="43"/>
        <v>548.44444444444446</v>
      </c>
      <c r="P557" s="55">
        <f t="shared" si="44"/>
        <v>535.55555555555554</v>
      </c>
      <c r="Q557" s="9" t="str">
        <f ca="1">IFERROR((VLOOKUP(A557,GM_Table,8,FALSE)-SUMIFS(D:D,A:A,A557,B:B,B557,C:C,C557)),"")</f>
        <v/>
      </c>
      <c r="R557" s="9" t="str">
        <f ca="1">IFERROR(CONCATENATE(VLOOKUP(A557,GM_Table,12,FALSE)," ",(VLOOKUP(A557,GM_Table,13,FALSE))),"")</f>
        <v/>
      </c>
    </row>
    <row r="558" spans="1:18" ht="15" x14ac:dyDescent="0.2">
      <c r="A558" s="193" t="s">
        <v>2267</v>
      </c>
      <c r="B558" s="9" t="s">
        <v>3290</v>
      </c>
      <c r="C558" s="9" t="s">
        <v>3291</v>
      </c>
      <c r="D558" s="252">
        <v>2.52</v>
      </c>
      <c r="E558" s="245">
        <v>1584</v>
      </c>
      <c r="F558" s="246">
        <v>1462</v>
      </c>
      <c r="G558" s="247">
        <v>450</v>
      </c>
      <c r="H558" s="248">
        <v>1163</v>
      </c>
      <c r="I558" s="249">
        <v>1500</v>
      </c>
      <c r="J558" s="122" t="b">
        <f>IF(ISBLANK(CertifiedCrop[[#This Row],[1. Identifiant interne d’exploitation agricole*]]),"",IF(ISERROR(MATCH(CertifiedCrop[[#This Row],[1. Identifiant interne d’exploitation agricole*]],GroupMember[1. Identifiant interne d’exploitation agricole*],0)),FALSE,TRUE))</f>
        <v>1</v>
      </c>
      <c r="K558" s="122" t="b">
        <f t="array" ref="K558">IF(ISBLANK(CertifiedCrop[[#This Row],[2. Produit agricole certifié*]]),"",IF(ISERROR(MATCH(1,(#REF!=CertifiedCrop[[#This Row],[2. Produit agricole certifié*]])*(#REF!=CertifiedCrop[[#This Row],[3. Variété**]]),0)),FALSE,TRUE))</f>
        <v>0</v>
      </c>
      <c r="L558" s="20" t="str">
        <f t="shared" si="40"/>
        <v/>
      </c>
      <c r="M558" s="54" t="str">
        <f t="shared" si="41"/>
        <v>!</v>
      </c>
      <c r="N558" s="54" t="str">
        <f t="shared" si="42"/>
        <v>!</v>
      </c>
      <c r="O558" s="55">
        <f t="shared" si="43"/>
        <v>628.57142857142856</v>
      </c>
      <c r="P558" s="55">
        <f t="shared" si="44"/>
        <v>580.15873015873012</v>
      </c>
      <c r="Q558" s="9" t="str">
        <f ca="1">IFERROR((VLOOKUP(A558,GM_Table,8,FALSE)-SUMIFS(D:D,A:A,A558,B:B,B558,C:C,C558)),"")</f>
        <v/>
      </c>
      <c r="R558" s="9" t="str">
        <f ca="1">IFERROR(CONCATENATE(VLOOKUP(A558,GM_Table,12,FALSE)," ",(VLOOKUP(A558,GM_Table,13,FALSE))),"")</f>
        <v/>
      </c>
    </row>
    <row r="559" spans="1:18" ht="15" x14ac:dyDescent="0.2">
      <c r="A559" s="193" t="s">
        <v>2268</v>
      </c>
      <c r="B559" s="9" t="s">
        <v>3290</v>
      </c>
      <c r="C559" s="9" t="s">
        <v>3291</v>
      </c>
      <c r="D559" s="252">
        <v>2.58</v>
      </c>
      <c r="E559" s="245">
        <v>1617</v>
      </c>
      <c r="F559" s="246">
        <v>1587</v>
      </c>
      <c r="G559" s="247">
        <v>1517</v>
      </c>
      <c r="H559" s="248">
        <v>1258</v>
      </c>
      <c r="I559" s="249">
        <v>1600</v>
      </c>
      <c r="J559" s="122" t="b">
        <f>IF(ISBLANK(CertifiedCrop[[#This Row],[1. Identifiant interne d’exploitation agricole*]]),"",IF(ISERROR(MATCH(CertifiedCrop[[#This Row],[1. Identifiant interne d’exploitation agricole*]],GroupMember[1. Identifiant interne d’exploitation agricole*],0)),FALSE,TRUE))</f>
        <v>1</v>
      </c>
      <c r="K559" s="122" t="b">
        <f t="array" ref="K559">IF(ISBLANK(CertifiedCrop[[#This Row],[2. Produit agricole certifié*]]),"",IF(ISERROR(MATCH(1,(#REF!=CertifiedCrop[[#This Row],[2. Produit agricole certifié*]])*(#REF!=CertifiedCrop[[#This Row],[3. Variété**]]),0)),FALSE,TRUE))</f>
        <v>0</v>
      </c>
      <c r="L559" s="20" t="str">
        <f t="shared" si="40"/>
        <v/>
      </c>
      <c r="M559" s="54" t="str">
        <f t="shared" si="41"/>
        <v/>
      </c>
      <c r="N559" s="54" t="str">
        <f t="shared" si="42"/>
        <v/>
      </c>
      <c r="O559" s="55">
        <f t="shared" si="43"/>
        <v>626.74418604651157</v>
      </c>
      <c r="P559" s="55">
        <f t="shared" si="44"/>
        <v>615.11627906976742</v>
      </c>
      <c r="Q559" s="9" t="str">
        <f ca="1">IFERROR((VLOOKUP(A559,GM_Table,8,FALSE)-SUMIFS(D:D,A:A,A559,B:B,B559,C:C,C559)),"")</f>
        <v/>
      </c>
      <c r="R559" s="9" t="str">
        <f ca="1">IFERROR(CONCATENATE(VLOOKUP(A559,GM_Table,12,FALSE)," ",(VLOOKUP(A559,GM_Table,13,FALSE))),"")</f>
        <v/>
      </c>
    </row>
    <row r="560" spans="1:18" ht="15" x14ac:dyDescent="0.2">
      <c r="A560" s="193" t="s">
        <v>2270</v>
      </c>
      <c r="B560" s="9" t="s">
        <v>3290</v>
      </c>
      <c r="C560" s="9" t="s">
        <v>3291</v>
      </c>
      <c r="D560" s="252">
        <v>1.77</v>
      </c>
      <c r="E560" s="245">
        <v>1122</v>
      </c>
      <c r="F560" s="246">
        <v>1068</v>
      </c>
      <c r="G560" s="247">
        <v>562</v>
      </c>
      <c r="H560" s="248">
        <v>989</v>
      </c>
      <c r="I560" s="249">
        <v>1100</v>
      </c>
      <c r="J560" s="122" t="b">
        <f>IF(ISBLANK(CertifiedCrop[[#This Row],[1. Identifiant interne d’exploitation agricole*]]),"",IF(ISERROR(MATCH(CertifiedCrop[[#This Row],[1. Identifiant interne d’exploitation agricole*]],GroupMember[1. Identifiant interne d’exploitation agricole*],0)),FALSE,TRUE))</f>
        <v>1</v>
      </c>
      <c r="K560" s="122" t="b">
        <f t="array" ref="K560">IF(ISBLANK(CertifiedCrop[[#This Row],[2. Produit agricole certifié*]]),"",IF(ISERROR(MATCH(1,(#REF!=CertifiedCrop[[#This Row],[2. Produit agricole certifié*]])*(#REF!=CertifiedCrop[[#This Row],[3. Variété**]]),0)),FALSE,TRUE))</f>
        <v>0</v>
      </c>
      <c r="L560" s="20" t="str">
        <f t="shared" si="40"/>
        <v/>
      </c>
      <c r="M560" s="54" t="str">
        <f t="shared" si="41"/>
        <v>!</v>
      </c>
      <c r="N560" s="54" t="str">
        <f t="shared" si="42"/>
        <v>!</v>
      </c>
      <c r="O560" s="55">
        <f t="shared" si="43"/>
        <v>633.89830508474574</v>
      </c>
      <c r="P560" s="55">
        <f t="shared" si="44"/>
        <v>603.38983050847457</v>
      </c>
      <c r="Q560" s="9" t="str">
        <f ca="1">IFERROR((VLOOKUP(A560,GM_Table,8,FALSE)-SUMIFS(D:D,A:A,A560,B:B,B560,C:C,C560)),"")</f>
        <v/>
      </c>
      <c r="R560" s="9" t="str">
        <f ca="1">IFERROR(CONCATENATE(VLOOKUP(A560,GM_Table,12,FALSE)," ",(VLOOKUP(A560,GM_Table,13,FALSE))),"")</f>
        <v/>
      </c>
    </row>
    <row r="561" spans="1:18" ht="15" x14ac:dyDescent="0.2">
      <c r="A561" s="193" t="s">
        <v>2271</v>
      </c>
      <c r="B561" s="9" t="s">
        <v>3290</v>
      </c>
      <c r="C561" s="9" t="s">
        <v>3291</v>
      </c>
      <c r="D561" s="252">
        <v>1.79</v>
      </c>
      <c r="E561" s="245">
        <v>1022</v>
      </c>
      <c r="F561" s="246">
        <v>1041</v>
      </c>
      <c r="G561" s="247">
        <v>394</v>
      </c>
      <c r="H561" s="248">
        <v>943</v>
      </c>
      <c r="I561" s="249">
        <v>1000</v>
      </c>
      <c r="J561" s="122" t="b">
        <f>IF(ISBLANK(CertifiedCrop[[#This Row],[1. Identifiant interne d’exploitation agricole*]]),"",IF(ISERROR(MATCH(CertifiedCrop[[#This Row],[1. Identifiant interne d’exploitation agricole*]],GroupMember[1. Identifiant interne d’exploitation agricole*],0)),FALSE,TRUE))</f>
        <v>1</v>
      </c>
      <c r="K561" s="122" t="b">
        <f t="array" ref="K561">IF(ISBLANK(CertifiedCrop[[#This Row],[2. Produit agricole certifié*]]),"",IF(ISERROR(MATCH(1,(#REF!=CertifiedCrop[[#This Row],[2. Produit agricole certifié*]])*(#REF!=CertifiedCrop[[#This Row],[3. Variété**]]),0)),FALSE,TRUE))</f>
        <v>0</v>
      </c>
      <c r="L561" s="20" t="str">
        <f t="shared" si="40"/>
        <v/>
      </c>
      <c r="M561" s="54" t="str">
        <f t="shared" si="41"/>
        <v>!</v>
      </c>
      <c r="N561" s="54" t="str">
        <f t="shared" si="42"/>
        <v>!</v>
      </c>
      <c r="O561" s="55">
        <f t="shared" si="43"/>
        <v>570.949720670391</v>
      </c>
      <c r="P561" s="55">
        <f t="shared" si="44"/>
        <v>581.56424581005581</v>
      </c>
      <c r="Q561" s="9" t="str">
        <f ca="1">IFERROR((VLOOKUP(A561,GM_Table,8,FALSE)-SUMIFS(D:D,A:A,A561,B:B,B561,C:C,C561)),"")</f>
        <v/>
      </c>
      <c r="R561" s="9" t="str">
        <f ca="1">IFERROR(CONCATENATE(VLOOKUP(A561,GM_Table,12,FALSE)," ",(VLOOKUP(A561,GM_Table,13,FALSE))),"")</f>
        <v/>
      </c>
    </row>
    <row r="562" spans="1:18" ht="15" x14ac:dyDescent="0.2">
      <c r="A562" s="193" t="s">
        <v>2273</v>
      </c>
      <c r="B562" s="9" t="s">
        <v>3290</v>
      </c>
      <c r="C562" s="9" t="s">
        <v>3291</v>
      </c>
      <c r="D562" s="252">
        <v>2.21</v>
      </c>
      <c r="E562" s="245">
        <v>1289</v>
      </c>
      <c r="F562" s="246">
        <v>1175</v>
      </c>
      <c r="G562" s="247">
        <v>1175</v>
      </c>
      <c r="H562" s="248">
        <v>1157</v>
      </c>
      <c r="I562" s="249">
        <v>1200</v>
      </c>
      <c r="J562" s="122" t="b">
        <f>IF(ISBLANK(CertifiedCrop[[#This Row],[1. Identifiant interne d’exploitation agricole*]]),"",IF(ISERROR(MATCH(CertifiedCrop[[#This Row],[1. Identifiant interne d’exploitation agricole*]],GroupMember[1. Identifiant interne d’exploitation agricole*],0)),FALSE,TRUE))</f>
        <v>1</v>
      </c>
      <c r="K562" s="122" t="b">
        <f t="array" ref="K562">IF(ISBLANK(CertifiedCrop[[#This Row],[2. Produit agricole certifié*]]),"",IF(ISERROR(MATCH(1,(#REF!=CertifiedCrop[[#This Row],[2. Produit agricole certifié*]])*(#REF!=CertifiedCrop[[#This Row],[3. Variété**]]),0)),FALSE,TRUE))</f>
        <v>0</v>
      </c>
      <c r="L562" s="20" t="str">
        <f t="shared" si="40"/>
        <v/>
      </c>
      <c r="M562" s="54" t="str">
        <f t="shared" si="41"/>
        <v/>
      </c>
      <c r="N562" s="54" t="str">
        <f t="shared" si="42"/>
        <v/>
      </c>
      <c r="O562" s="55">
        <f t="shared" si="43"/>
        <v>583.25791855203624</v>
      </c>
      <c r="P562" s="55">
        <f t="shared" si="44"/>
        <v>531.67420814479635</v>
      </c>
      <c r="Q562" s="9" t="str">
        <f ca="1">IFERROR((VLOOKUP(A562,GM_Table,8,FALSE)-SUMIFS(D:D,A:A,A562,B:B,B562,C:C,C562)),"")</f>
        <v/>
      </c>
      <c r="R562" s="9" t="str">
        <f ca="1">IFERROR(CONCATENATE(VLOOKUP(A562,GM_Table,12,FALSE)," ",(VLOOKUP(A562,GM_Table,13,FALSE))),"")</f>
        <v/>
      </c>
    </row>
    <row r="563" spans="1:18" ht="15" x14ac:dyDescent="0.2">
      <c r="A563" s="193" t="s">
        <v>2274</v>
      </c>
      <c r="B563" s="9" t="s">
        <v>3290</v>
      </c>
      <c r="C563" s="9" t="s">
        <v>3291</v>
      </c>
      <c r="D563" s="252">
        <v>1.75</v>
      </c>
      <c r="E563" s="221">
        <v>938</v>
      </c>
      <c r="F563" s="246">
        <v>874</v>
      </c>
      <c r="G563" s="247">
        <v>874</v>
      </c>
      <c r="H563" s="248">
        <v>347</v>
      </c>
      <c r="I563" s="249">
        <v>1000</v>
      </c>
      <c r="J563" s="122" t="b">
        <f>IF(ISBLANK(CertifiedCrop[[#This Row],[1. Identifiant interne d’exploitation agricole*]]),"",IF(ISERROR(MATCH(CertifiedCrop[[#This Row],[1. Identifiant interne d’exploitation agricole*]],GroupMember[1. Identifiant interne d’exploitation agricole*],0)),FALSE,TRUE))</f>
        <v>1</v>
      </c>
      <c r="K563" s="122" t="b">
        <f t="array" ref="K563">IF(ISBLANK(CertifiedCrop[[#This Row],[2. Produit agricole certifié*]]),"",IF(ISERROR(MATCH(1,(#REF!=CertifiedCrop[[#This Row],[2. Produit agricole certifié*]])*(#REF!=CertifiedCrop[[#This Row],[3. Variété**]]),0)),FALSE,TRUE))</f>
        <v>0</v>
      </c>
      <c r="L563" s="20" t="str">
        <f t="shared" ref="L563:L626" si="45">IF((F563-G563)&lt;0,"!","")</f>
        <v/>
      </c>
      <c r="M563" s="54" t="str">
        <f t="shared" ref="M563:M626" si="46">IFERROR(IF((F563-G563)/G563&gt;25%,"!",IF((F563-G563)/G563&lt;-25%,"!","")),"")</f>
        <v/>
      </c>
      <c r="N563" s="54" t="str">
        <f t="shared" ref="N563:N626" si="47">IFERROR(IF((G563-H563)/H563&gt;25%,"!",IF((G563-H563)/H563&lt;-25%,"!","")),"")</f>
        <v>!</v>
      </c>
      <c r="O563" s="55">
        <f t="shared" ref="O563:O626" si="48">IFERROR(E563/D563,"")</f>
        <v>536</v>
      </c>
      <c r="P563" s="55">
        <f t="shared" ref="P563:P626" si="49">IFERROR(F563/D563,"")</f>
        <v>499.42857142857144</v>
      </c>
      <c r="Q563" s="9" t="str">
        <f ca="1">IFERROR((VLOOKUP(A563,GM_Table,8,FALSE)-SUMIFS(D:D,A:A,A563,B:B,B563,C:C,C563)),"")</f>
        <v/>
      </c>
      <c r="R563" s="9" t="str">
        <f ca="1">IFERROR(CONCATENATE(VLOOKUP(A563,GM_Table,12,FALSE)," ",(VLOOKUP(A563,GM_Table,13,FALSE))),"")</f>
        <v/>
      </c>
    </row>
    <row r="564" spans="1:18" ht="15" x14ac:dyDescent="0.2">
      <c r="A564" s="193" t="s">
        <v>2276</v>
      </c>
      <c r="B564" s="9" t="s">
        <v>3290</v>
      </c>
      <c r="C564" s="9" t="s">
        <v>3291</v>
      </c>
      <c r="D564" s="252">
        <v>5.0199999999999996</v>
      </c>
      <c r="E564" s="245">
        <v>2511</v>
      </c>
      <c r="F564" s="246">
        <v>2465</v>
      </c>
      <c r="G564" s="247">
        <v>1659</v>
      </c>
      <c r="H564" s="248">
        <v>1922</v>
      </c>
      <c r="I564" s="249">
        <v>3100</v>
      </c>
      <c r="J564" s="122" t="b">
        <f>IF(ISBLANK(CertifiedCrop[[#This Row],[1. Identifiant interne d’exploitation agricole*]]),"",IF(ISERROR(MATCH(CertifiedCrop[[#This Row],[1. Identifiant interne d’exploitation agricole*]],GroupMember[1. Identifiant interne d’exploitation agricole*],0)),FALSE,TRUE))</f>
        <v>1</v>
      </c>
      <c r="K564" s="122" t="b">
        <f t="array" ref="K564">IF(ISBLANK(CertifiedCrop[[#This Row],[2. Produit agricole certifié*]]),"",IF(ISERROR(MATCH(1,(#REF!=CertifiedCrop[[#This Row],[2. Produit agricole certifié*]])*(#REF!=CertifiedCrop[[#This Row],[3. Variété**]]),0)),FALSE,TRUE))</f>
        <v>0</v>
      </c>
      <c r="L564" s="20" t="str">
        <f t="shared" si="45"/>
        <v/>
      </c>
      <c r="M564" s="54" t="str">
        <f t="shared" si="46"/>
        <v>!</v>
      </c>
      <c r="N564" s="54" t="str">
        <f t="shared" si="47"/>
        <v/>
      </c>
      <c r="O564" s="55">
        <f t="shared" si="48"/>
        <v>500.19920318725104</v>
      </c>
      <c r="P564" s="55">
        <f t="shared" si="49"/>
        <v>491.03585657370525</v>
      </c>
      <c r="Q564" s="9" t="str">
        <f ca="1">IFERROR((VLOOKUP(A564,GM_Table,8,FALSE)-SUMIFS(D:D,A:A,A564,B:B,B564,C:C,C564)),"")</f>
        <v/>
      </c>
      <c r="R564" s="9" t="str">
        <f ca="1">IFERROR(CONCATENATE(VLOOKUP(A564,GM_Table,12,FALSE)," ",(VLOOKUP(A564,GM_Table,13,FALSE))),"")</f>
        <v/>
      </c>
    </row>
    <row r="565" spans="1:18" ht="15" x14ac:dyDescent="0.2">
      <c r="A565" s="193" t="s">
        <v>2278</v>
      </c>
      <c r="B565" s="9" t="s">
        <v>3290</v>
      </c>
      <c r="C565" s="9" t="s">
        <v>3291</v>
      </c>
      <c r="D565" s="252">
        <v>4.03</v>
      </c>
      <c r="E565" s="245">
        <v>2545</v>
      </c>
      <c r="F565" s="246">
        <v>2419</v>
      </c>
      <c r="G565" s="247">
        <v>1491</v>
      </c>
      <c r="H565" s="248">
        <v>2314</v>
      </c>
      <c r="I565" s="249">
        <v>2500</v>
      </c>
      <c r="J565" s="122" t="b">
        <f>IF(ISBLANK(CertifiedCrop[[#This Row],[1. Identifiant interne d’exploitation agricole*]]),"",IF(ISERROR(MATCH(CertifiedCrop[[#This Row],[1. Identifiant interne d’exploitation agricole*]],GroupMember[1. Identifiant interne d’exploitation agricole*],0)),FALSE,TRUE))</f>
        <v>1</v>
      </c>
      <c r="K565" s="122" t="b">
        <f t="array" ref="K565">IF(ISBLANK(CertifiedCrop[[#This Row],[2. Produit agricole certifié*]]),"",IF(ISERROR(MATCH(1,(#REF!=CertifiedCrop[[#This Row],[2. Produit agricole certifié*]])*(#REF!=CertifiedCrop[[#This Row],[3. Variété**]]),0)),FALSE,TRUE))</f>
        <v>0</v>
      </c>
      <c r="L565" s="20" t="str">
        <f t="shared" si="45"/>
        <v/>
      </c>
      <c r="M565" s="54" t="str">
        <f t="shared" si="46"/>
        <v>!</v>
      </c>
      <c r="N565" s="54" t="str">
        <f t="shared" si="47"/>
        <v>!</v>
      </c>
      <c r="O565" s="55">
        <f t="shared" si="48"/>
        <v>631.51364764267987</v>
      </c>
      <c r="P565" s="55">
        <f t="shared" si="49"/>
        <v>600.24813895781631</v>
      </c>
      <c r="Q565" s="9" t="str">
        <f ca="1">IFERROR((VLOOKUP(A565,GM_Table,8,FALSE)-SUMIFS(D:D,A:A,A565,B:B,B565,C:C,C565)),"")</f>
        <v/>
      </c>
      <c r="R565" s="9" t="str">
        <f ca="1">IFERROR(CONCATENATE(VLOOKUP(A565,GM_Table,12,FALSE)," ",(VLOOKUP(A565,GM_Table,13,FALSE))),"")</f>
        <v/>
      </c>
    </row>
    <row r="566" spans="1:18" ht="15" x14ac:dyDescent="0.2">
      <c r="A566" s="193" t="s">
        <v>2281</v>
      </c>
      <c r="B566" s="9" t="s">
        <v>3290</v>
      </c>
      <c r="C566" s="9" t="s">
        <v>3291</v>
      </c>
      <c r="D566" s="252">
        <v>2.12</v>
      </c>
      <c r="E566" s="245">
        <v>1330</v>
      </c>
      <c r="F566" s="246">
        <v>1284</v>
      </c>
      <c r="G566" s="247">
        <v>357</v>
      </c>
      <c r="H566" s="248">
        <v>1105</v>
      </c>
      <c r="I566" s="249">
        <v>1200</v>
      </c>
      <c r="J566" s="122" t="b">
        <f>IF(ISBLANK(CertifiedCrop[[#This Row],[1. Identifiant interne d’exploitation agricole*]]),"",IF(ISERROR(MATCH(CertifiedCrop[[#This Row],[1. Identifiant interne d’exploitation agricole*]],GroupMember[1. Identifiant interne d’exploitation agricole*],0)),FALSE,TRUE))</f>
        <v>1</v>
      </c>
      <c r="K566" s="122" t="b">
        <f t="array" ref="K566">IF(ISBLANK(CertifiedCrop[[#This Row],[2. Produit agricole certifié*]]),"",IF(ISERROR(MATCH(1,(#REF!=CertifiedCrop[[#This Row],[2. Produit agricole certifié*]])*(#REF!=CertifiedCrop[[#This Row],[3. Variété**]]),0)),FALSE,TRUE))</f>
        <v>0</v>
      </c>
      <c r="L566" s="20" t="str">
        <f t="shared" si="45"/>
        <v/>
      </c>
      <c r="M566" s="54" t="str">
        <f t="shared" si="46"/>
        <v>!</v>
      </c>
      <c r="N566" s="54" t="str">
        <f t="shared" si="47"/>
        <v>!</v>
      </c>
      <c r="O566" s="55">
        <f t="shared" si="48"/>
        <v>627.35849056603774</v>
      </c>
      <c r="P566" s="55">
        <f t="shared" si="49"/>
        <v>605.66037735849056</v>
      </c>
      <c r="Q566" s="9" t="str">
        <f ca="1">IFERROR((VLOOKUP(A566,GM_Table,8,FALSE)-SUMIFS(D:D,A:A,A566,B:B,B566,C:C,C566)),"")</f>
        <v/>
      </c>
      <c r="R566" s="9" t="str">
        <f ca="1">IFERROR(CONCATENATE(VLOOKUP(A566,GM_Table,12,FALSE)," ",(VLOOKUP(A566,GM_Table,13,FALSE))),"")</f>
        <v/>
      </c>
    </row>
    <row r="567" spans="1:18" ht="15" x14ac:dyDescent="0.2">
      <c r="A567" s="193" t="s">
        <v>2282</v>
      </c>
      <c r="B567" s="9" t="s">
        <v>3290</v>
      </c>
      <c r="C567" s="9" t="s">
        <v>3291</v>
      </c>
      <c r="D567" s="252">
        <v>3.21</v>
      </c>
      <c r="E567" s="245">
        <v>1934</v>
      </c>
      <c r="F567" s="246">
        <v>1845</v>
      </c>
      <c r="G567" s="247">
        <v>1100</v>
      </c>
      <c r="H567" s="248">
        <v>1315</v>
      </c>
      <c r="I567" s="249">
        <v>2000</v>
      </c>
      <c r="J567" s="122" t="b">
        <f>IF(ISBLANK(CertifiedCrop[[#This Row],[1. Identifiant interne d’exploitation agricole*]]),"",IF(ISERROR(MATCH(CertifiedCrop[[#This Row],[1. Identifiant interne d’exploitation agricole*]],GroupMember[1. Identifiant interne d’exploitation agricole*],0)),FALSE,TRUE))</f>
        <v>1</v>
      </c>
      <c r="K567" s="122" t="b">
        <f t="array" ref="K567">IF(ISBLANK(CertifiedCrop[[#This Row],[2. Produit agricole certifié*]]),"",IF(ISERROR(MATCH(1,(#REF!=CertifiedCrop[[#This Row],[2. Produit agricole certifié*]])*(#REF!=CertifiedCrop[[#This Row],[3. Variété**]]),0)),FALSE,TRUE))</f>
        <v>0</v>
      </c>
      <c r="L567" s="20" t="str">
        <f t="shared" si="45"/>
        <v/>
      </c>
      <c r="M567" s="54" t="str">
        <f t="shared" si="46"/>
        <v>!</v>
      </c>
      <c r="N567" s="54" t="str">
        <f t="shared" si="47"/>
        <v/>
      </c>
      <c r="O567" s="55">
        <f t="shared" si="48"/>
        <v>602.49221183800626</v>
      </c>
      <c r="P567" s="55">
        <f t="shared" si="49"/>
        <v>574.76635514018687</v>
      </c>
      <c r="Q567" s="9" t="str">
        <f ca="1">IFERROR((VLOOKUP(A567,GM_Table,8,FALSE)-SUMIFS(D:D,A:A,A567,B:B,B567,C:C,C567)),"")</f>
        <v/>
      </c>
      <c r="R567" s="9" t="str">
        <f ca="1">IFERROR(CONCATENATE(VLOOKUP(A567,GM_Table,12,FALSE)," ",(VLOOKUP(A567,GM_Table,13,FALSE))),"")</f>
        <v/>
      </c>
    </row>
    <row r="568" spans="1:18" ht="15" x14ac:dyDescent="0.2">
      <c r="A568" s="193" t="s">
        <v>2284</v>
      </c>
      <c r="B568" s="9" t="s">
        <v>3290</v>
      </c>
      <c r="C568" s="9" t="s">
        <v>3291</v>
      </c>
      <c r="D568" s="252">
        <v>2.78</v>
      </c>
      <c r="E568" s="245">
        <v>1558</v>
      </c>
      <c r="F568" s="246">
        <v>1479</v>
      </c>
      <c r="G568" s="247">
        <v>788</v>
      </c>
      <c r="H568" s="248">
        <v>1375</v>
      </c>
      <c r="I568" s="249">
        <v>1600</v>
      </c>
      <c r="J568" s="122" t="b">
        <f>IF(ISBLANK(CertifiedCrop[[#This Row],[1. Identifiant interne d’exploitation agricole*]]),"",IF(ISERROR(MATCH(CertifiedCrop[[#This Row],[1. Identifiant interne d’exploitation agricole*]],GroupMember[1. Identifiant interne d’exploitation agricole*],0)),FALSE,TRUE))</f>
        <v>1</v>
      </c>
      <c r="K568" s="122" t="b">
        <f t="array" ref="K568">IF(ISBLANK(CertifiedCrop[[#This Row],[2. Produit agricole certifié*]]),"",IF(ISERROR(MATCH(1,(#REF!=CertifiedCrop[[#This Row],[2. Produit agricole certifié*]])*(#REF!=CertifiedCrop[[#This Row],[3. Variété**]]),0)),FALSE,TRUE))</f>
        <v>0</v>
      </c>
      <c r="L568" s="20" t="str">
        <f t="shared" si="45"/>
        <v/>
      </c>
      <c r="M568" s="54" t="str">
        <f t="shared" si="46"/>
        <v>!</v>
      </c>
      <c r="N568" s="54" t="str">
        <f t="shared" si="47"/>
        <v>!</v>
      </c>
      <c r="O568" s="55">
        <f t="shared" si="48"/>
        <v>560.43165467625909</v>
      </c>
      <c r="P568" s="55">
        <f t="shared" si="49"/>
        <v>532.01438848920873</v>
      </c>
      <c r="Q568" s="9" t="str">
        <f ca="1">IFERROR((VLOOKUP(A568,GM_Table,8,FALSE)-SUMIFS(D:D,A:A,A568,B:B,B568,C:C,C568)),"")</f>
        <v/>
      </c>
      <c r="R568" s="9" t="str">
        <f ca="1">IFERROR(CONCATENATE(VLOOKUP(A568,GM_Table,12,FALSE)," ",(VLOOKUP(A568,GM_Table,13,FALSE))),"")</f>
        <v/>
      </c>
    </row>
    <row r="569" spans="1:18" ht="15" x14ac:dyDescent="0.2">
      <c r="A569" s="193" t="s">
        <v>2286</v>
      </c>
      <c r="B569" s="9" t="s">
        <v>3290</v>
      </c>
      <c r="C569" s="9" t="s">
        <v>3291</v>
      </c>
      <c r="D569" s="252">
        <v>7.1</v>
      </c>
      <c r="E569" s="245">
        <v>4107</v>
      </c>
      <c r="F569" s="246">
        <v>4021</v>
      </c>
      <c r="G569" s="247">
        <v>600</v>
      </c>
      <c r="H569" s="248">
        <v>3482</v>
      </c>
      <c r="I569" s="249">
        <v>4300</v>
      </c>
      <c r="J569" s="122" t="b">
        <f>IF(ISBLANK(CertifiedCrop[[#This Row],[1. Identifiant interne d’exploitation agricole*]]),"",IF(ISERROR(MATCH(CertifiedCrop[[#This Row],[1. Identifiant interne d’exploitation agricole*]],GroupMember[1. Identifiant interne d’exploitation agricole*],0)),FALSE,TRUE))</f>
        <v>1</v>
      </c>
      <c r="K569" s="122" t="b">
        <f t="array" ref="K569">IF(ISBLANK(CertifiedCrop[[#This Row],[2. Produit agricole certifié*]]),"",IF(ISERROR(MATCH(1,(#REF!=CertifiedCrop[[#This Row],[2. Produit agricole certifié*]])*(#REF!=CertifiedCrop[[#This Row],[3. Variété**]]),0)),FALSE,TRUE))</f>
        <v>0</v>
      </c>
      <c r="L569" s="20" t="str">
        <f t="shared" si="45"/>
        <v/>
      </c>
      <c r="M569" s="54" t="str">
        <f t="shared" si="46"/>
        <v>!</v>
      </c>
      <c r="N569" s="54" t="str">
        <f t="shared" si="47"/>
        <v>!</v>
      </c>
      <c r="O569" s="55">
        <f t="shared" si="48"/>
        <v>578.45070422535218</v>
      </c>
      <c r="P569" s="55">
        <f t="shared" si="49"/>
        <v>566.33802816901414</v>
      </c>
      <c r="Q569" s="9" t="str">
        <f ca="1">IFERROR((VLOOKUP(A569,GM_Table,8,FALSE)-SUMIFS(D:D,A:A,A569,B:B,B569,C:C,C569)),"")</f>
        <v/>
      </c>
      <c r="R569" s="9" t="str">
        <f ca="1">IFERROR(CONCATENATE(VLOOKUP(A569,GM_Table,12,FALSE)," ",(VLOOKUP(A569,GM_Table,13,FALSE))),"")</f>
        <v/>
      </c>
    </row>
    <row r="570" spans="1:18" ht="15" x14ac:dyDescent="0.2">
      <c r="A570" s="193" t="s">
        <v>2288</v>
      </c>
      <c r="B570" s="9" t="s">
        <v>3290</v>
      </c>
      <c r="C570" s="9" t="s">
        <v>3291</v>
      </c>
      <c r="D570" s="252">
        <v>2.11</v>
      </c>
      <c r="E570" s="245">
        <v>1324</v>
      </c>
      <c r="F570" s="246">
        <v>1252</v>
      </c>
      <c r="G570" s="247">
        <v>280</v>
      </c>
      <c r="H570" s="248">
        <v>858</v>
      </c>
      <c r="I570" s="249">
        <v>1300</v>
      </c>
      <c r="J570" s="122" t="b">
        <f>IF(ISBLANK(CertifiedCrop[[#This Row],[1. Identifiant interne d’exploitation agricole*]]),"",IF(ISERROR(MATCH(CertifiedCrop[[#This Row],[1. Identifiant interne d’exploitation agricole*]],GroupMember[1. Identifiant interne d’exploitation agricole*],0)),FALSE,TRUE))</f>
        <v>1</v>
      </c>
      <c r="K570" s="122" t="b">
        <f t="array" ref="K570">IF(ISBLANK(CertifiedCrop[[#This Row],[2. Produit agricole certifié*]]),"",IF(ISERROR(MATCH(1,(#REF!=CertifiedCrop[[#This Row],[2. Produit agricole certifié*]])*(#REF!=CertifiedCrop[[#This Row],[3. Variété**]]),0)),FALSE,TRUE))</f>
        <v>0</v>
      </c>
      <c r="L570" s="20" t="str">
        <f t="shared" si="45"/>
        <v/>
      </c>
      <c r="M570" s="54" t="str">
        <f t="shared" si="46"/>
        <v>!</v>
      </c>
      <c r="N570" s="54" t="str">
        <f t="shared" si="47"/>
        <v>!</v>
      </c>
      <c r="O570" s="55">
        <f t="shared" si="48"/>
        <v>627.48815165876783</v>
      </c>
      <c r="P570" s="55">
        <f t="shared" si="49"/>
        <v>593.3649289099526</v>
      </c>
      <c r="Q570" s="9" t="str">
        <f ca="1">IFERROR((VLOOKUP(A570,GM_Table,8,FALSE)-SUMIFS(D:D,A:A,A570,B:B,B570,C:C,C570)),"")</f>
        <v/>
      </c>
      <c r="R570" s="9" t="str">
        <f ca="1">IFERROR(CONCATENATE(VLOOKUP(A570,GM_Table,12,FALSE)," ",(VLOOKUP(A570,GM_Table,13,FALSE))),"")</f>
        <v/>
      </c>
    </row>
    <row r="571" spans="1:18" ht="15" x14ac:dyDescent="0.2">
      <c r="A571" s="193" t="s">
        <v>2290</v>
      </c>
      <c r="B571" s="9" t="s">
        <v>3290</v>
      </c>
      <c r="C571" s="9" t="s">
        <v>3291</v>
      </c>
      <c r="D571" s="252">
        <v>2.6</v>
      </c>
      <c r="E571" s="245">
        <v>1629</v>
      </c>
      <c r="F571" s="246">
        <v>1498</v>
      </c>
      <c r="G571" s="247">
        <v>1498</v>
      </c>
      <c r="H571" s="248">
        <v>1451</v>
      </c>
      <c r="I571" s="249">
        <v>1600</v>
      </c>
      <c r="J571" s="122" t="b">
        <f>IF(ISBLANK(CertifiedCrop[[#This Row],[1. Identifiant interne d’exploitation agricole*]]),"",IF(ISERROR(MATCH(CertifiedCrop[[#This Row],[1. Identifiant interne d’exploitation agricole*]],GroupMember[1. Identifiant interne d’exploitation agricole*],0)),FALSE,TRUE))</f>
        <v>1</v>
      </c>
      <c r="K571" s="122" t="b">
        <f t="array" ref="K571">IF(ISBLANK(CertifiedCrop[[#This Row],[2. Produit agricole certifié*]]),"",IF(ISERROR(MATCH(1,(#REF!=CertifiedCrop[[#This Row],[2. Produit agricole certifié*]])*(#REF!=CertifiedCrop[[#This Row],[3. Variété**]]),0)),FALSE,TRUE))</f>
        <v>0</v>
      </c>
      <c r="L571" s="20" t="str">
        <f t="shared" si="45"/>
        <v/>
      </c>
      <c r="M571" s="54" t="str">
        <f t="shared" si="46"/>
        <v/>
      </c>
      <c r="N571" s="54" t="str">
        <f t="shared" si="47"/>
        <v/>
      </c>
      <c r="O571" s="55">
        <f t="shared" si="48"/>
        <v>626.53846153846155</v>
      </c>
      <c r="P571" s="55">
        <f t="shared" si="49"/>
        <v>576.15384615384619</v>
      </c>
      <c r="Q571" s="9" t="str">
        <f ca="1">IFERROR((VLOOKUP(A571,GM_Table,8,FALSE)-SUMIFS(D:D,A:A,A571,B:B,B571,C:C,C571)),"")</f>
        <v/>
      </c>
      <c r="R571" s="9" t="str">
        <f ca="1">IFERROR(CONCATENATE(VLOOKUP(A571,GM_Table,12,FALSE)," ",(VLOOKUP(A571,GM_Table,13,FALSE))),"")</f>
        <v/>
      </c>
    </row>
    <row r="572" spans="1:18" ht="15" x14ac:dyDescent="0.2">
      <c r="A572" s="193" t="s">
        <v>2292</v>
      </c>
      <c r="B572" s="9" t="s">
        <v>3290</v>
      </c>
      <c r="C572" s="9" t="s">
        <v>3291</v>
      </c>
      <c r="D572" s="252">
        <v>1.39</v>
      </c>
      <c r="E572" s="221">
        <v>837</v>
      </c>
      <c r="F572" s="246">
        <v>807</v>
      </c>
      <c r="G572" s="247">
        <v>421</v>
      </c>
      <c r="H572" s="248">
        <v>421</v>
      </c>
      <c r="I572" s="249">
        <v>800</v>
      </c>
      <c r="J572" s="122" t="b">
        <f>IF(ISBLANK(CertifiedCrop[[#This Row],[1. Identifiant interne d’exploitation agricole*]]),"",IF(ISERROR(MATCH(CertifiedCrop[[#This Row],[1. Identifiant interne d’exploitation agricole*]],GroupMember[1. Identifiant interne d’exploitation agricole*],0)),FALSE,TRUE))</f>
        <v>1</v>
      </c>
      <c r="K572" s="122" t="b">
        <f t="array" ref="K572">IF(ISBLANK(CertifiedCrop[[#This Row],[2. Produit agricole certifié*]]),"",IF(ISERROR(MATCH(1,(#REF!=CertifiedCrop[[#This Row],[2. Produit agricole certifié*]])*(#REF!=CertifiedCrop[[#This Row],[3. Variété**]]),0)),FALSE,TRUE))</f>
        <v>0</v>
      </c>
      <c r="L572" s="20" t="str">
        <f t="shared" si="45"/>
        <v/>
      </c>
      <c r="M572" s="54" t="str">
        <f t="shared" si="46"/>
        <v>!</v>
      </c>
      <c r="N572" s="54" t="str">
        <f t="shared" si="47"/>
        <v/>
      </c>
      <c r="O572" s="55">
        <f t="shared" si="48"/>
        <v>602.15827338129498</v>
      </c>
      <c r="P572" s="55">
        <f t="shared" si="49"/>
        <v>580.57553956834533</v>
      </c>
      <c r="Q572" s="9" t="str">
        <f ca="1">IFERROR((VLOOKUP(A572,GM_Table,8,FALSE)-SUMIFS(D:D,A:A,A572,B:B,B572,C:C,C572)),"")</f>
        <v/>
      </c>
      <c r="R572" s="9" t="str">
        <f ca="1">IFERROR(CONCATENATE(VLOOKUP(A572,GM_Table,12,FALSE)," ",(VLOOKUP(A572,GM_Table,13,FALSE))),"")</f>
        <v/>
      </c>
    </row>
    <row r="573" spans="1:18" ht="15" x14ac:dyDescent="0.2">
      <c r="A573" s="193" t="s">
        <v>2295</v>
      </c>
      <c r="B573" s="9" t="s">
        <v>3290</v>
      </c>
      <c r="C573" s="9" t="s">
        <v>3291</v>
      </c>
      <c r="D573" s="252">
        <v>1.62</v>
      </c>
      <c r="E573" s="221">
        <v>937</v>
      </c>
      <c r="F573" s="246">
        <v>908</v>
      </c>
      <c r="G573" s="247">
        <v>497</v>
      </c>
      <c r="H573" s="248">
        <v>749</v>
      </c>
      <c r="I573" s="249">
        <v>1000</v>
      </c>
      <c r="J573" s="122" t="b">
        <f>IF(ISBLANK(CertifiedCrop[[#This Row],[1. Identifiant interne d’exploitation agricole*]]),"",IF(ISERROR(MATCH(CertifiedCrop[[#This Row],[1. Identifiant interne d’exploitation agricole*]],GroupMember[1. Identifiant interne d’exploitation agricole*],0)),FALSE,TRUE))</f>
        <v>1</v>
      </c>
      <c r="K573" s="122" t="b">
        <f t="array" ref="K573">IF(ISBLANK(CertifiedCrop[[#This Row],[2. Produit agricole certifié*]]),"",IF(ISERROR(MATCH(1,(#REF!=CertifiedCrop[[#This Row],[2. Produit agricole certifié*]])*(#REF!=CertifiedCrop[[#This Row],[3. Variété**]]),0)),FALSE,TRUE))</f>
        <v>0</v>
      </c>
      <c r="L573" s="20" t="str">
        <f t="shared" si="45"/>
        <v/>
      </c>
      <c r="M573" s="54" t="str">
        <f t="shared" si="46"/>
        <v>!</v>
      </c>
      <c r="N573" s="54" t="str">
        <f t="shared" si="47"/>
        <v>!</v>
      </c>
      <c r="O573" s="55">
        <f t="shared" si="48"/>
        <v>578.39506172839504</v>
      </c>
      <c r="P573" s="55">
        <f t="shared" si="49"/>
        <v>560.49382716049377</v>
      </c>
      <c r="Q573" s="9" t="str">
        <f ca="1">IFERROR((VLOOKUP(A573,GM_Table,8,FALSE)-SUMIFS(D:D,A:A,A573,B:B,B573,C:C,C573)),"")</f>
        <v/>
      </c>
      <c r="R573" s="9" t="str">
        <f ca="1">IFERROR(CONCATENATE(VLOOKUP(A573,GM_Table,12,FALSE)," ",(VLOOKUP(A573,GM_Table,13,FALSE))),"")</f>
        <v/>
      </c>
    </row>
    <row r="574" spans="1:18" ht="15" x14ac:dyDescent="0.2">
      <c r="A574" s="193" t="s">
        <v>2296</v>
      </c>
      <c r="B574" s="9" t="s">
        <v>3290</v>
      </c>
      <c r="C574" s="9" t="s">
        <v>3291</v>
      </c>
      <c r="D574" s="252">
        <v>2.14</v>
      </c>
      <c r="E574" s="245">
        <v>1285</v>
      </c>
      <c r="F574" s="246">
        <v>1187</v>
      </c>
      <c r="G574" s="247">
        <v>870</v>
      </c>
      <c r="H574" s="248">
        <v>1115</v>
      </c>
      <c r="I574" s="249">
        <v>1300</v>
      </c>
      <c r="J574" s="122" t="b">
        <f>IF(ISBLANK(CertifiedCrop[[#This Row],[1. Identifiant interne d’exploitation agricole*]]),"",IF(ISERROR(MATCH(CertifiedCrop[[#This Row],[1. Identifiant interne d’exploitation agricole*]],GroupMember[1. Identifiant interne d’exploitation agricole*],0)),FALSE,TRUE))</f>
        <v>1</v>
      </c>
      <c r="K574" s="122" t="b">
        <f t="array" ref="K574">IF(ISBLANK(CertifiedCrop[[#This Row],[2. Produit agricole certifié*]]),"",IF(ISERROR(MATCH(1,(#REF!=CertifiedCrop[[#This Row],[2. Produit agricole certifié*]])*(#REF!=CertifiedCrop[[#This Row],[3. Variété**]]),0)),FALSE,TRUE))</f>
        <v>0</v>
      </c>
      <c r="L574" s="20" t="str">
        <f t="shared" si="45"/>
        <v/>
      </c>
      <c r="M574" s="54" t="str">
        <f t="shared" si="46"/>
        <v>!</v>
      </c>
      <c r="N574" s="54" t="str">
        <f t="shared" si="47"/>
        <v/>
      </c>
      <c r="O574" s="55">
        <f t="shared" si="48"/>
        <v>600.46728971962614</v>
      </c>
      <c r="P574" s="55">
        <f t="shared" si="49"/>
        <v>554.6728971962616</v>
      </c>
      <c r="Q574" s="9" t="str">
        <f ca="1">IFERROR((VLOOKUP(A574,GM_Table,8,FALSE)-SUMIFS(D:D,A:A,A574,B:B,B574,C:C,C574)),"")</f>
        <v/>
      </c>
      <c r="R574" s="9" t="str">
        <f ca="1">IFERROR(CONCATENATE(VLOOKUP(A574,GM_Table,12,FALSE)," ",(VLOOKUP(A574,GM_Table,13,FALSE))),"")</f>
        <v/>
      </c>
    </row>
    <row r="575" spans="1:18" ht="15" x14ac:dyDescent="0.2">
      <c r="A575" s="193" t="s">
        <v>2299</v>
      </c>
      <c r="B575" s="9" t="s">
        <v>3290</v>
      </c>
      <c r="C575" s="9" t="s">
        <v>3291</v>
      </c>
      <c r="D575" s="252">
        <v>3.84</v>
      </c>
      <c r="E575" s="245">
        <v>2272</v>
      </c>
      <c r="F575" s="246">
        <v>2132</v>
      </c>
      <c r="G575" s="247">
        <v>1606</v>
      </c>
      <c r="H575" s="248">
        <v>1734</v>
      </c>
      <c r="I575" s="249">
        <v>2200</v>
      </c>
      <c r="J575" s="122" t="b">
        <f>IF(ISBLANK(CertifiedCrop[[#This Row],[1. Identifiant interne d’exploitation agricole*]]),"",IF(ISERROR(MATCH(CertifiedCrop[[#This Row],[1. Identifiant interne d’exploitation agricole*]],GroupMember[1. Identifiant interne d’exploitation agricole*],0)),FALSE,TRUE))</f>
        <v>1</v>
      </c>
      <c r="K575" s="122" t="b">
        <f t="array" ref="K575">IF(ISBLANK(CertifiedCrop[[#This Row],[2. Produit agricole certifié*]]),"",IF(ISERROR(MATCH(1,(#REF!=CertifiedCrop[[#This Row],[2. Produit agricole certifié*]])*(#REF!=CertifiedCrop[[#This Row],[3. Variété**]]),0)),FALSE,TRUE))</f>
        <v>0</v>
      </c>
      <c r="L575" s="20" t="str">
        <f t="shared" si="45"/>
        <v/>
      </c>
      <c r="M575" s="54" t="str">
        <f t="shared" si="46"/>
        <v>!</v>
      </c>
      <c r="N575" s="54" t="str">
        <f t="shared" si="47"/>
        <v/>
      </c>
      <c r="O575" s="55">
        <f t="shared" si="48"/>
        <v>591.66666666666674</v>
      </c>
      <c r="P575" s="55">
        <f t="shared" si="49"/>
        <v>555.20833333333337</v>
      </c>
      <c r="Q575" s="9" t="str">
        <f ca="1">IFERROR((VLOOKUP(A575,GM_Table,8,FALSE)-SUMIFS(D:D,A:A,A575,B:B,B575,C:C,C575)),"")</f>
        <v/>
      </c>
      <c r="R575" s="9" t="str">
        <f ca="1">IFERROR(CONCATENATE(VLOOKUP(A575,GM_Table,12,FALSE)," ",(VLOOKUP(A575,GM_Table,13,FALSE))),"")</f>
        <v/>
      </c>
    </row>
    <row r="576" spans="1:18" ht="15" x14ac:dyDescent="0.2">
      <c r="A576" s="193" t="s">
        <v>2301</v>
      </c>
      <c r="B576" s="9" t="s">
        <v>3290</v>
      </c>
      <c r="C576" s="9" t="s">
        <v>3291</v>
      </c>
      <c r="D576" s="252">
        <v>4.03</v>
      </c>
      <c r="E576" s="245">
        <v>2378</v>
      </c>
      <c r="F576" s="246">
        <v>2256</v>
      </c>
      <c r="G576" s="247">
        <v>421</v>
      </c>
      <c r="H576" s="248">
        <v>2330</v>
      </c>
      <c r="I576" s="249">
        <v>2400</v>
      </c>
      <c r="J576" s="122" t="b">
        <f>IF(ISBLANK(CertifiedCrop[[#This Row],[1. Identifiant interne d’exploitation agricole*]]),"",IF(ISERROR(MATCH(CertifiedCrop[[#This Row],[1. Identifiant interne d’exploitation agricole*]],GroupMember[1. Identifiant interne d’exploitation agricole*],0)),FALSE,TRUE))</f>
        <v>1</v>
      </c>
      <c r="K576" s="122" t="b">
        <f t="array" ref="K576">IF(ISBLANK(CertifiedCrop[[#This Row],[2. Produit agricole certifié*]]),"",IF(ISERROR(MATCH(1,(#REF!=CertifiedCrop[[#This Row],[2. Produit agricole certifié*]])*(#REF!=CertifiedCrop[[#This Row],[3. Variété**]]),0)),FALSE,TRUE))</f>
        <v>0</v>
      </c>
      <c r="L576" s="20" t="str">
        <f t="shared" si="45"/>
        <v/>
      </c>
      <c r="M576" s="54" t="str">
        <f t="shared" si="46"/>
        <v>!</v>
      </c>
      <c r="N576" s="54" t="str">
        <f t="shared" si="47"/>
        <v>!</v>
      </c>
      <c r="O576" s="55">
        <f t="shared" si="48"/>
        <v>590.07444168734492</v>
      </c>
      <c r="P576" s="55">
        <f t="shared" si="49"/>
        <v>559.80148883374682</v>
      </c>
      <c r="Q576" s="9" t="str">
        <f ca="1">IFERROR((VLOOKUP(A576,GM_Table,8,FALSE)-SUMIFS(D:D,A:A,A576,B:B,B576,C:C,C576)),"")</f>
        <v/>
      </c>
      <c r="R576" s="9" t="str">
        <f ca="1">IFERROR(CONCATENATE(VLOOKUP(A576,GM_Table,12,FALSE)," ",(VLOOKUP(A576,GM_Table,13,FALSE))),"")</f>
        <v/>
      </c>
    </row>
    <row r="577" spans="1:18" ht="15" x14ac:dyDescent="0.2">
      <c r="A577" s="193" t="s">
        <v>2304</v>
      </c>
      <c r="B577" s="9" t="s">
        <v>3290</v>
      </c>
      <c r="C577" s="9" t="s">
        <v>3291</v>
      </c>
      <c r="D577" s="252">
        <v>1.79</v>
      </c>
      <c r="E577" s="221">
        <v>974</v>
      </c>
      <c r="F577" s="246">
        <v>945</v>
      </c>
      <c r="G577" s="247">
        <v>697</v>
      </c>
      <c r="H577" s="248">
        <v>873</v>
      </c>
      <c r="I577" s="249">
        <v>1000</v>
      </c>
      <c r="J577" s="122" t="b">
        <f>IF(ISBLANK(CertifiedCrop[[#This Row],[1. Identifiant interne d’exploitation agricole*]]),"",IF(ISERROR(MATCH(CertifiedCrop[[#This Row],[1. Identifiant interne d’exploitation agricole*]],GroupMember[1. Identifiant interne d’exploitation agricole*],0)),FALSE,TRUE))</f>
        <v>1</v>
      </c>
      <c r="K577" s="122" t="b">
        <f t="array" ref="K577">IF(ISBLANK(CertifiedCrop[[#This Row],[2. Produit agricole certifié*]]),"",IF(ISERROR(MATCH(1,(#REF!=CertifiedCrop[[#This Row],[2. Produit agricole certifié*]])*(#REF!=CertifiedCrop[[#This Row],[3. Variété**]]),0)),FALSE,TRUE))</f>
        <v>0</v>
      </c>
      <c r="L577" s="20" t="str">
        <f t="shared" si="45"/>
        <v/>
      </c>
      <c r="M577" s="54" t="str">
        <f t="shared" si="46"/>
        <v>!</v>
      </c>
      <c r="N577" s="54" t="str">
        <f t="shared" si="47"/>
        <v/>
      </c>
      <c r="O577" s="55">
        <f t="shared" si="48"/>
        <v>544.13407821229055</v>
      </c>
      <c r="P577" s="55">
        <f t="shared" si="49"/>
        <v>527.93296089385478</v>
      </c>
      <c r="Q577" s="9" t="str">
        <f ca="1">IFERROR((VLOOKUP(A577,GM_Table,8,FALSE)-SUMIFS(D:D,A:A,A577,B:B,B577,C:C,C577)),"")</f>
        <v/>
      </c>
      <c r="R577" s="9" t="str">
        <f ca="1">IFERROR(CONCATENATE(VLOOKUP(A577,GM_Table,12,FALSE)," ",(VLOOKUP(A577,GM_Table,13,FALSE))),"")</f>
        <v/>
      </c>
    </row>
    <row r="578" spans="1:18" ht="15" x14ac:dyDescent="0.2">
      <c r="A578" s="193" t="s">
        <v>2305</v>
      </c>
      <c r="B578" s="9" t="s">
        <v>3290</v>
      </c>
      <c r="C578" s="9" t="s">
        <v>3291</v>
      </c>
      <c r="D578" s="252">
        <v>3.14</v>
      </c>
      <c r="E578" s="245">
        <v>1886</v>
      </c>
      <c r="F578" s="246">
        <v>1796</v>
      </c>
      <c r="G578" s="247">
        <v>1392</v>
      </c>
      <c r="H578" s="248">
        <v>1399</v>
      </c>
      <c r="I578" s="249">
        <v>1900</v>
      </c>
      <c r="J578" s="122" t="b">
        <f>IF(ISBLANK(CertifiedCrop[[#This Row],[1. Identifiant interne d’exploitation agricole*]]),"",IF(ISERROR(MATCH(CertifiedCrop[[#This Row],[1. Identifiant interne d’exploitation agricole*]],GroupMember[1. Identifiant interne d’exploitation agricole*],0)),FALSE,TRUE))</f>
        <v>1</v>
      </c>
      <c r="K578" s="122" t="b">
        <f t="array" ref="K578">IF(ISBLANK(CertifiedCrop[[#This Row],[2. Produit agricole certifié*]]),"",IF(ISERROR(MATCH(1,(#REF!=CertifiedCrop[[#This Row],[2. Produit agricole certifié*]])*(#REF!=CertifiedCrop[[#This Row],[3. Variété**]]),0)),FALSE,TRUE))</f>
        <v>0</v>
      </c>
      <c r="L578" s="20" t="str">
        <f t="shared" si="45"/>
        <v/>
      </c>
      <c r="M578" s="54" t="str">
        <f t="shared" si="46"/>
        <v>!</v>
      </c>
      <c r="N578" s="54" t="str">
        <f t="shared" si="47"/>
        <v/>
      </c>
      <c r="O578" s="55">
        <f t="shared" si="48"/>
        <v>600.63694267515916</v>
      </c>
      <c r="P578" s="55">
        <f t="shared" si="49"/>
        <v>571.97452229299358</v>
      </c>
      <c r="Q578" s="9" t="str">
        <f ca="1">IFERROR((VLOOKUP(A578,GM_Table,8,FALSE)-SUMIFS(D:D,A:A,A578,B:B,B578,C:C,C578)),"")</f>
        <v/>
      </c>
      <c r="R578" s="9" t="str">
        <f ca="1">IFERROR(CONCATENATE(VLOOKUP(A578,GM_Table,12,FALSE)," ",(VLOOKUP(A578,GM_Table,13,FALSE))),"")</f>
        <v/>
      </c>
    </row>
    <row r="579" spans="1:18" ht="15" x14ac:dyDescent="0.2">
      <c r="A579" s="193" t="s">
        <v>2307</v>
      </c>
      <c r="B579" s="9" t="s">
        <v>3290</v>
      </c>
      <c r="C579" s="9" t="s">
        <v>3291</v>
      </c>
      <c r="D579" s="252">
        <v>4.04</v>
      </c>
      <c r="E579" s="245">
        <v>2228</v>
      </c>
      <c r="F579" s="246">
        <v>2174</v>
      </c>
      <c r="G579" s="247">
        <v>978</v>
      </c>
      <c r="H579" s="248">
        <v>2114</v>
      </c>
      <c r="I579" s="249">
        <v>2100</v>
      </c>
      <c r="J579" s="122" t="b">
        <f>IF(ISBLANK(CertifiedCrop[[#This Row],[1. Identifiant interne d’exploitation agricole*]]),"",IF(ISERROR(MATCH(CertifiedCrop[[#This Row],[1. Identifiant interne d’exploitation agricole*]],GroupMember[1. Identifiant interne d’exploitation agricole*],0)),FALSE,TRUE))</f>
        <v>1</v>
      </c>
      <c r="K579" s="122" t="b">
        <f t="array" ref="K579">IF(ISBLANK(CertifiedCrop[[#This Row],[2. Produit agricole certifié*]]),"",IF(ISERROR(MATCH(1,(#REF!=CertifiedCrop[[#This Row],[2. Produit agricole certifié*]])*(#REF!=CertifiedCrop[[#This Row],[3. Variété**]]),0)),FALSE,TRUE))</f>
        <v>0</v>
      </c>
      <c r="L579" s="20" t="str">
        <f t="shared" si="45"/>
        <v/>
      </c>
      <c r="M579" s="54" t="str">
        <f t="shared" si="46"/>
        <v>!</v>
      </c>
      <c r="N579" s="54" t="str">
        <f t="shared" si="47"/>
        <v>!</v>
      </c>
      <c r="O579" s="55">
        <f t="shared" si="48"/>
        <v>551.48514851485152</v>
      </c>
      <c r="P579" s="55">
        <f t="shared" si="49"/>
        <v>538.11881188118809</v>
      </c>
      <c r="Q579" s="9" t="str">
        <f ca="1">IFERROR((VLOOKUP(A579,GM_Table,8,FALSE)-SUMIFS(D:D,A:A,A579,B:B,B579,C:C,C579)),"")</f>
        <v/>
      </c>
      <c r="R579" s="9" t="str">
        <f ca="1">IFERROR(CONCATENATE(VLOOKUP(A579,GM_Table,12,FALSE)," ",(VLOOKUP(A579,GM_Table,13,FALSE))),"")</f>
        <v/>
      </c>
    </row>
    <row r="580" spans="1:18" ht="15" x14ac:dyDescent="0.2">
      <c r="A580" s="193" t="s">
        <v>2309</v>
      </c>
      <c r="B580" s="9" t="s">
        <v>3290</v>
      </c>
      <c r="C580" s="9" t="s">
        <v>3291</v>
      </c>
      <c r="D580" s="252">
        <v>2.74</v>
      </c>
      <c r="E580" s="245">
        <v>1508</v>
      </c>
      <c r="F580" s="246">
        <v>1458</v>
      </c>
      <c r="G580" s="247">
        <v>762</v>
      </c>
      <c r="H580" s="248">
        <v>1075</v>
      </c>
      <c r="I580" s="249">
        <v>1700</v>
      </c>
      <c r="J580" s="122" t="b">
        <f>IF(ISBLANK(CertifiedCrop[[#This Row],[1. Identifiant interne d’exploitation agricole*]]),"",IF(ISERROR(MATCH(CertifiedCrop[[#This Row],[1. Identifiant interne d’exploitation agricole*]],GroupMember[1. Identifiant interne d’exploitation agricole*],0)),FALSE,TRUE))</f>
        <v>1</v>
      </c>
      <c r="K580" s="122" t="b">
        <f t="array" ref="K580">IF(ISBLANK(CertifiedCrop[[#This Row],[2. Produit agricole certifié*]]),"",IF(ISERROR(MATCH(1,(#REF!=CertifiedCrop[[#This Row],[2. Produit agricole certifié*]])*(#REF!=CertifiedCrop[[#This Row],[3. Variété**]]),0)),FALSE,TRUE))</f>
        <v>0</v>
      </c>
      <c r="L580" s="20" t="str">
        <f t="shared" si="45"/>
        <v/>
      </c>
      <c r="M580" s="54" t="str">
        <f t="shared" si="46"/>
        <v>!</v>
      </c>
      <c r="N580" s="54" t="str">
        <f t="shared" si="47"/>
        <v>!</v>
      </c>
      <c r="O580" s="55">
        <f t="shared" si="48"/>
        <v>550.36496350364962</v>
      </c>
      <c r="P580" s="55">
        <f t="shared" si="49"/>
        <v>532.11678832116786</v>
      </c>
      <c r="Q580" s="9" t="str">
        <f ca="1">IFERROR((VLOOKUP(A580,GM_Table,8,FALSE)-SUMIFS(D:D,A:A,A580,B:B,B580,C:C,C580)),"")</f>
        <v/>
      </c>
      <c r="R580" s="9" t="str">
        <f ca="1">IFERROR(CONCATENATE(VLOOKUP(A580,GM_Table,12,FALSE)," ",(VLOOKUP(A580,GM_Table,13,FALSE))),"")</f>
        <v/>
      </c>
    </row>
    <row r="581" spans="1:18" ht="15" x14ac:dyDescent="0.2">
      <c r="A581" s="193" t="s">
        <v>2311</v>
      </c>
      <c r="B581" s="9" t="s">
        <v>3290</v>
      </c>
      <c r="C581" s="9" t="s">
        <v>3291</v>
      </c>
      <c r="D581" s="252">
        <v>0.95</v>
      </c>
      <c r="E581" s="221">
        <v>596</v>
      </c>
      <c r="F581" s="246">
        <v>590</v>
      </c>
      <c r="G581" s="247">
        <v>278</v>
      </c>
      <c r="H581" s="248">
        <v>510</v>
      </c>
      <c r="I581" s="249">
        <v>600</v>
      </c>
      <c r="J581" s="122" t="b">
        <f>IF(ISBLANK(CertifiedCrop[[#This Row],[1. Identifiant interne d’exploitation agricole*]]),"",IF(ISERROR(MATCH(CertifiedCrop[[#This Row],[1. Identifiant interne d’exploitation agricole*]],GroupMember[1. Identifiant interne d’exploitation agricole*],0)),FALSE,TRUE))</f>
        <v>1</v>
      </c>
      <c r="K581" s="122" t="b">
        <f t="array" ref="K581">IF(ISBLANK(CertifiedCrop[[#This Row],[2. Produit agricole certifié*]]),"",IF(ISERROR(MATCH(1,(#REF!=CertifiedCrop[[#This Row],[2. Produit agricole certifié*]])*(#REF!=CertifiedCrop[[#This Row],[3. Variété**]]),0)),FALSE,TRUE))</f>
        <v>0</v>
      </c>
      <c r="L581" s="20" t="str">
        <f t="shared" si="45"/>
        <v/>
      </c>
      <c r="M581" s="54" t="str">
        <f t="shared" si="46"/>
        <v>!</v>
      </c>
      <c r="N581" s="54" t="str">
        <f t="shared" si="47"/>
        <v>!</v>
      </c>
      <c r="O581" s="55">
        <f t="shared" si="48"/>
        <v>627.36842105263156</v>
      </c>
      <c r="P581" s="55">
        <f t="shared" si="49"/>
        <v>621.0526315789474</v>
      </c>
      <c r="Q581" s="9" t="str">
        <f ca="1">IFERROR((VLOOKUP(A581,GM_Table,8,FALSE)-SUMIFS(D:D,A:A,A581,B:B,B581,C:C,C581)),"")</f>
        <v/>
      </c>
      <c r="R581" s="9" t="str">
        <f ca="1">IFERROR(CONCATENATE(VLOOKUP(A581,GM_Table,12,FALSE)," ",(VLOOKUP(A581,GM_Table,13,FALSE))),"")</f>
        <v/>
      </c>
    </row>
    <row r="582" spans="1:18" ht="15" x14ac:dyDescent="0.2">
      <c r="A582" s="193" t="s">
        <v>2312</v>
      </c>
      <c r="B582" s="9" t="s">
        <v>3290</v>
      </c>
      <c r="C582" s="9" t="s">
        <v>3291</v>
      </c>
      <c r="D582" s="252">
        <v>0.59</v>
      </c>
      <c r="E582" s="221">
        <v>326</v>
      </c>
      <c r="F582" s="246">
        <v>315</v>
      </c>
      <c r="G582" s="247">
        <v>283</v>
      </c>
      <c r="H582" s="248">
        <v>267</v>
      </c>
      <c r="I582" s="249">
        <v>350</v>
      </c>
      <c r="J582" s="122" t="b">
        <f>IF(ISBLANK(CertifiedCrop[[#This Row],[1. Identifiant interne d’exploitation agricole*]]),"",IF(ISERROR(MATCH(CertifiedCrop[[#This Row],[1. Identifiant interne d’exploitation agricole*]],GroupMember[1. Identifiant interne d’exploitation agricole*],0)),FALSE,TRUE))</f>
        <v>1</v>
      </c>
      <c r="K582" s="122" t="b">
        <f t="array" ref="K582">IF(ISBLANK(CertifiedCrop[[#This Row],[2. Produit agricole certifié*]]),"",IF(ISERROR(MATCH(1,(#REF!=CertifiedCrop[[#This Row],[2. Produit agricole certifié*]])*(#REF!=CertifiedCrop[[#This Row],[3. Variété**]]),0)),FALSE,TRUE))</f>
        <v>0</v>
      </c>
      <c r="L582" s="20" t="str">
        <f t="shared" si="45"/>
        <v/>
      </c>
      <c r="M582" s="54" t="str">
        <f t="shared" si="46"/>
        <v/>
      </c>
      <c r="N582" s="54" t="str">
        <f t="shared" si="47"/>
        <v/>
      </c>
      <c r="O582" s="55">
        <f t="shared" si="48"/>
        <v>552.54237288135596</v>
      </c>
      <c r="P582" s="55">
        <f t="shared" si="49"/>
        <v>533.89830508474574</v>
      </c>
      <c r="Q582" s="9" t="str">
        <f ca="1">IFERROR((VLOOKUP(A582,GM_Table,8,FALSE)-SUMIFS(D:D,A:A,A582,B:B,B582,C:C,C582)),"")</f>
        <v/>
      </c>
      <c r="R582" s="9" t="str">
        <f ca="1">IFERROR(CONCATENATE(VLOOKUP(A582,GM_Table,12,FALSE)," ",(VLOOKUP(A582,GM_Table,13,FALSE))),"")</f>
        <v/>
      </c>
    </row>
    <row r="583" spans="1:18" ht="15" x14ac:dyDescent="0.2">
      <c r="A583" s="193" t="s">
        <v>2315</v>
      </c>
      <c r="B583" s="9" t="s">
        <v>3290</v>
      </c>
      <c r="C583" s="9" t="s">
        <v>3291</v>
      </c>
      <c r="D583" s="252">
        <v>1.1299999999999999</v>
      </c>
      <c r="E583" s="221">
        <v>712</v>
      </c>
      <c r="F583" s="246">
        <v>700</v>
      </c>
      <c r="G583" s="247">
        <v>326</v>
      </c>
      <c r="H583" s="248">
        <v>608</v>
      </c>
      <c r="I583" s="249">
        <v>700</v>
      </c>
      <c r="J583" s="122" t="b">
        <f>IF(ISBLANK(CertifiedCrop[[#This Row],[1. Identifiant interne d’exploitation agricole*]]),"",IF(ISERROR(MATCH(CertifiedCrop[[#This Row],[1. Identifiant interne d’exploitation agricole*]],GroupMember[1. Identifiant interne d’exploitation agricole*],0)),FALSE,TRUE))</f>
        <v>1</v>
      </c>
      <c r="K583" s="122" t="b">
        <f t="array" ref="K583">IF(ISBLANK(CertifiedCrop[[#This Row],[2. Produit agricole certifié*]]),"",IF(ISERROR(MATCH(1,(#REF!=CertifiedCrop[[#This Row],[2. Produit agricole certifié*]])*(#REF!=CertifiedCrop[[#This Row],[3. Variété**]]),0)),FALSE,TRUE))</f>
        <v>0</v>
      </c>
      <c r="L583" s="20" t="str">
        <f t="shared" si="45"/>
        <v/>
      </c>
      <c r="M583" s="54" t="str">
        <f t="shared" si="46"/>
        <v>!</v>
      </c>
      <c r="N583" s="54" t="str">
        <f t="shared" si="47"/>
        <v>!</v>
      </c>
      <c r="O583" s="55">
        <f t="shared" si="48"/>
        <v>630.08849557522126</v>
      </c>
      <c r="P583" s="55">
        <f t="shared" si="49"/>
        <v>619.46902654867267</v>
      </c>
      <c r="Q583" s="9" t="str">
        <f ca="1">IFERROR((VLOOKUP(A583,GM_Table,8,FALSE)-SUMIFS(D:D,A:A,A583,B:B,B583,C:C,C583)),"")</f>
        <v/>
      </c>
      <c r="R583" s="9" t="str">
        <f ca="1">IFERROR(CONCATENATE(VLOOKUP(A583,GM_Table,12,FALSE)," ",(VLOOKUP(A583,GM_Table,13,FALSE))),"")</f>
        <v/>
      </c>
    </row>
    <row r="584" spans="1:18" ht="15" x14ac:dyDescent="0.2">
      <c r="A584" s="193" t="s">
        <v>2316</v>
      </c>
      <c r="B584" s="9" t="s">
        <v>3290</v>
      </c>
      <c r="C584" s="9" t="s">
        <v>3291</v>
      </c>
      <c r="D584" s="252">
        <v>0.85</v>
      </c>
      <c r="E584" s="221">
        <v>503</v>
      </c>
      <c r="F584" s="246">
        <v>500</v>
      </c>
      <c r="G584" s="247">
        <v>326</v>
      </c>
      <c r="H584" s="248">
        <v>215</v>
      </c>
      <c r="I584" s="249">
        <v>500</v>
      </c>
      <c r="J584" s="122" t="b">
        <f>IF(ISBLANK(CertifiedCrop[[#This Row],[1. Identifiant interne d’exploitation agricole*]]),"",IF(ISERROR(MATCH(CertifiedCrop[[#This Row],[1. Identifiant interne d’exploitation agricole*]],GroupMember[1. Identifiant interne d’exploitation agricole*],0)),FALSE,TRUE))</f>
        <v>1</v>
      </c>
      <c r="K584" s="122" t="b">
        <f t="array" ref="K584">IF(ISBLANK(CertifiedCrop[[#This Row],[2. Produit agricole certifié*]]),"",IF(ISERROR(MATCH(1,(#REF!=CertifiedCrop[[#This Row],[2. Produit agricole certifié*]])*(#REF!=CertifiedCrop[[#This Row],[3. Variété**]]),0)),FALSE,TRUE))</f>
        <v>0</v>
      </c>
      <c r="L584" s="20" t="str">
        <f t="shared" si="45"/>
        <v/>
      </c>
      <c r="M584" s="54" t="str">
        <f t="shared" si="46"/>
        <v>!</v>
      </c>
      <c r="N584" s="54" t="str">
        <f t="shared" si="47"/>
        <v>!</v>
      </c>
      <c r="O584" s="55">
        <f t="shared" si="48"/>
        <v>591.76470588235293</v>
      </c>
      <c r="P584" s="55">
        <f t="shared" si="49"/>
        <v>588.23529411764707</v>
      </c>
      <c r="Q584" s="9" t="str">
        <f ca="1">IFERROR((VLOOKUP(A584,GM_Table,8,FALSE)-SUMIFS(D:D,A:A,A584,B:B,B584,C:C,C584)),"")</f>
        <v/>
      </c>
      <c r="R584" s="9" t="str">
        <f ca="1">IFERROR(CONCATENATE(VLOOKUP(A584,GM_Table,12,FALSE)," ",(VLOOKUP(A584,GM_Table,13,FALSE))),"")</f>
        <v/>
      </c>
    </row>
    <row r="585" spans="1:18" ht="15" x14ac:dyDescent="0.2">
      <c r="A585" s="193" t="s">
        <v>2318</v>
      </c>
      <c r="B585" s="9" t="s">
        <v>3290</v>
      </c>
      <c r="C585" s="9" t="s">
        <v>3291</v>
      </c>
      <c r="D585" s="252">
        <v>4.22</v>
      </c>
      <c r="E585" s="245">
        <v>2687</v>
      </c>
      <c r="F585" s="246">
        <v>2561</v>
      </c>
      <c r="G585" s="247">
        <v>1751</v>
      </c>
      <c r="H585" s="248">
        <v>1938</v>
      </c>
      <c r="I585" s="249">
        <v>2600</v>
      </c>
      <c r="J585" s="122" t="b">
        <f>IF(ISBLANK(CertifiedCrop[[#This Row],[1. Identifiant interne d’exploitation agricole*]]),"",IF(ISERROR(MATCH(CertifiedCrop[[#This Row],[1. Identifiant interne d’exploitation agricole*]],GroupMember[1. Identifiant interne d’exploitation agricole*],0)),FALSE,TRUE))</f>
        <v>1</v>
      </c>
      <c r="K585" s="122" t="b">
        <f t="array" ref="K585">IF(ISBLANK(CertifiedCrop[[#This Row],[2. Produit agricole certifié*]]),"",IF(ISERROR(MATCH(1,(#REF!=CertifiedCrop[[#This Row],[2. Produit agricole certifié*]])*(#REF!=CertifiedCrop[[#This Row],[3. Variété**]]),0)),FALSE,TRUE))</f>
        <v>0</v>
      </c>
      <c r="L585" s="20" t="str">
        <f t="shared" si="45"/>
        <v/>
      </c>
      <c r="M585" s="54" t="str">
        <f t="shared" si="46"/>
        <v>!</v>
      </c>
      <c r="N585" s="54" t="str">
        <f t="shared" si="47"/>
        <v/>
      </c>
      <c r="O585" s="55">
        <f t="shared" si="48"/>
        <v>636.72985781990531</v>
      </c>
      <c r="P585" s="55">
        <f t="shared" si="49"/>
        <v>606.87203791469199</v>
      </c>
      <c r="Q585" s="9" t="str">
        <f ca="1">IFERROR((VLOOKUP(A585,GM_Table,8,FALSE)-SUMIFS(D:D,A:A,A585,B:B,B585,C:C,C585)),"")</f>
        <v/>
      </c>
      <c r="R585" s="9" t="str">
        <f ca="1">IFERROR(CONCATENATE(VLOOKUP(A585,GM_Table,12,FALSE)," ",(VLOOKUP(A585,GM_Table,13,FALSE))),"")</f>
        <v/>
      </c>
    </row>
    <row r="586" spans="1:18" ht="15" x14ac:dyDescent="0.2">
      <c r="A586" s="193" t="s">
        <v>2320</v>
      </c>
      <c r="B586" s="9" t="s">
        <v>3290</v>
      </c>
      <c r="C586" s="9" t="s">
        <v>3291</v>
      </c>
      <c r="D586" s="252">
        <v>2.6</v>
      </c>
      <c r="E586" s="245">
        <v>1647</v>
      </c>
      <c r="F586" s="246">
        <v>1562</v>
      </c>
      <c r="G586" s="247">
        <v>1100</v>
      </c>
      <c r="H586" s="248">
        <v>1422</v>
      </c>
      <c r="I586" s="249">
        <v>1600</v>
      </c>
      <c r="J586" s="122" t="b">
        <f>IF(ISBLANK(CertifiedCrop[[#This Row],[1. Identifiant interne d’exploitation agricole*]]),"",IF(ISERROR(MATCH(CertifiedCrop[[#This Row],[1. Identifiant interne d’exploitation agricole*]],GroupMember[1. Identifiant interne d’exploitation agricole*],0)),FALSE,TRUE))</f>
        <v>1</v>
      </c>
      <c r="K586" s="122" t="b">
        <f t="array" ref="K586">IF(ISBLANK(CertifiedCrop[[#This Row],[2. Produit agricole certifié*]]),"",IF(ISERROR(MATCH(1,(#REF!=CertifiedCrop[[#This Row],[2. Produit agricole certifié*]])*(#REF!=CertifiedCrop[[#This Row],[3. Variété**]]),0)),FALSE,TRUE))</f>
        <v>0</v>
      </c>
      <c r="L586" s="20" t="str">
        <f t="shared" si="45"/>
        <v/>
      </c>
      <c r="M586" s="54" t="str">
        <f t="shared" si="46"/>
        <v>!</v>
      </c>
      <c r="N586" s="54" t="str">
        <f t="shared" si="47"/>
        <v/>
      </c>
      <c r="O586" s="55">
        <f t="shared" si="48"/>
        <v>633.46153846153845</v>
      </c>
      <c r="P586" s="55">
        <f t="shared" si="49"/>
        <v>600.76923076923072</v>
      </c>
      <c r="Q586" s="9" t="str">
        <f ca="1">IFERROR((VLOOKUP(A586,GM_Table,8,FALSE)-SUMIFS(D:D,A:A,A586,B:B,B586,C:C,C586)),"")</f>
        <v/>
      </c>
      <c r="R586" s="9" t="str">
        <f ca="1">IFERROR(CONCATENATE(VLOOKUP(A586,GM_Table,12,FALSE)," ",(VLOOKUP(A586,GM_Table,13,FALSE))),"")</f>
        <v/>
      </c>
    </row>
    <row r="587" spans="1:18" ht="15" x14ac:dyDescent="0.2">
      <c r="A587" s="193" t="s">
        <v>2322</v>
      </c>
      <c r="B587" s="9" t="s">
        <v>3290</v>
      </c>
      <c r="C587" s="9" t="s">
        <v>3291</v>
      </c>
      <c r="D587" s="252">
        <v>1.33</v>
      </c>
      <c r="E587" s="221">
        <v>749</v>
      </c>
      <c r="F587" s="246">
        <v>716</v>
      </c>
      <c r="G587" s="247">
        <v>654</v>
      </c>
      <c r="H587" s="248">
        <v>798</v>
      </c>
      <c r="I587" s="249">
        <v>800</v>
      </c>
      <c r="J587" s="122" t="b">
        <f>IF(ISBLANK(CertifiedCrop[[#This Row],[1. Identifiant interne d’exploitation agricole*]]),"",IF(ISERROR(MATCH(CertifiedCrop[[#This Row],[1. Identifiant interne d’exploitation agricole*]],GroupMember[1. Identifiant interne d’exploitation agricole*],0)),FALSE,TRUE))</f>
        <v>1</v>
      </c>
      <c r="K587" s="122" t="b">
        <f t="array" ref="K587">IF(ISBLANK(CertifiedCrop[[#This Row],[2. Produit agricole certifié*]]),"",IF(ISERROR(MATCH(1,(#REF!=CertifiedCrop[[#This Row],[2. Produit agricole certifié*]])*(#REF!=CertifiedCrop[[#This Row],[3. Variété**]]),0)),FALSE,TRUE))</f>
        <v>0</v>
      </c>
      <c r="L587" s="20" t="str">
        <f t="shared" si="45"/>
        <v/>
      </c>
      <c r="M587" s="54" t="str">
        <f t="shared" si="46"/>
        <v/>
      </c>
      <c r="N587" s="54" t="str">
        <f t="shared" si="47"/>
        <v/>
      </c>
      <c r="O587" s="55">
        <f t="shared" si="48"/>
        <v>563.15789473684208</v>
      </c>
      <c r="P587" s="55">
        <f t="shared" si="49"/>
        <v>538.3458646616541</v>
      </c>
      <c r="Q587" s="9" t="str">
        <f ca="1">IFERROR((VLOOKUP(A587,GM_Table,8,FALSE)-SUMIFS(D:D,A:A,A587,B:B,B587,C:C,C587)),"")</f>
        <v/>
      </c>
      <c r="R587" s="9" t="str">
        <f ca="1">IFERROR(CONCATENATE(VLOOKUP(A587,GM_Table,12,FALSE)," ",(VLOOKUP(A587,GM_Table,13,FALSE))),"")</f>
        <v/>
      </c>
    </row>
    <row r="588" spans="1:18" ht="15" x14ac:dyDescent="0.2">
      <c r="A588" s="193" t="s">
        <v>2323</v>
      </c>
      <c r="B588" s="9" t="s">
        <v>3290</v>
      </c>
      <c r="C588" s="9" t="s">
        <v>3291</v>
      </c>
      <c r="D588" s="252">
        <v>4.88</v>
      </c>
      <c r="E588" s="245">
        <v>2602</v>
      </c>
      <c r="F588" s="246">
        <v>2541</v>
      </c>
      <c r="G588" s="247">
        <v>119</v>
      </c>
      <c r="H588" s="248">
        <v>2292</v>
      </c>
      <c r="I588" s="249">
        <v>2600</v>
      </c>
      <c r="J588" s="122" t="b">
        <f>IF(ISBLANK(CertifiedCrop[[#This Row],[1. Identifiant interne d’exploitation agricole*]]),"",IF(ISERROR(MATCH(CertifiedCrop[[#This Row],[1. Identifiant interne d’exploitation agricole*]],GroupMember[1. Identifiant interne d’exploitation agricole*],0)),FALSE,TRUE))</f>
        <v>1</v>
      </c>
      <c r="K588" s="122" t="b">
        <f t="array" ref="K588">IF(ISBLANK(CertifiedCrop[[#This Row],[2. Produit agricole certifié*]]),"",IF(ISERROR(MATCH(1,(#REF!=CertifiedCrop[[#This Row],[2. Produit agricole certifié*]])*(#REF!=CertifiedCrop[[#This Row],[3. Variété**]]),0)),FALSE,TRUE))</f>
        <v>0</v>
      </c>
      <c r="L588" s="20" t="str">
        <f t="shared" si="45"/>
        <v/>
      </c>
      <c r="M588" s="54" t="str">
        <f t="shared" si="46"/>
        <v>!</v>
      </c>
      <c r="N588" s="54" t="str">
        <f t="shared" si="47"/>
        <v>!</v>
      </c>
      <c r="O588" s="55">
        <f t="shared" si="48"/>
        <v>533.19672131147547</v>
      </c>
      <c r="P588" s="55">
        <f t="shared" si="49"/>
        <v>520.69672131147547</v>
      </c>
      <c r="Q588" s="9" t="str">
        <f ca="1">IFERROR((VLOOKUP(A588,GM_Table,8,FALSE)-SUMIFS(D:D,A:A,A588,B:B,B588,C:C,C588)),"")</f>
        <v/>
      </c>
      <c r="R588" s="9" t="str">
        <f ca="1">IFERROR(CONCATENATE(VLOOKUP(A588,GM_Table,12,FALSE)," ",(VLOOKUP(A588,GM_Table,13,FALSE))),"")</f>
        <v/>
      </c>
    </row>
    <row r="589" spans="1:18" ht="15" x14ac:dyDescent="0.2">
      <c r="A589" s="193" t="s">
        <v>2324</v>
      </c>
      <c r="B589" s="9" t="s">
        <v>3290</v>
      </c>
      <c r="C589" s="9" t="s">
        <v>3291</v>
      </c>
      <c r="D589" s="252">
        <v>2.2799999999999998</v>
      </c>
      <c r="E589" s="245">
        <v>1316</v>
      </c>
      <c r="F589" s="246">
        <v>1274</v>
      </c>
      <c r="G589" s="247">
        <v>814</v>
      </c>
      <c r="H589" s="248">
        <v>743</v>
      </c>
      <c r="I589" s="249">
        <v>1400</v>
      </c>
      <c r="J589" s="122" t="b">
        <f>IF(ISBLANK(CertifiedCrop[[#This Row],[1. Identifiant interne d’exploitation agricole*]]),"",IF(ISERROR(MATCH(CertifiedCrop[[#This Row],[1. Identifiant interne d’exploitation agricole*]],GroupMember[1. Identifiant interne d’exploitation agricole*],0)),FALSE,TRUE))</f>
        <v>1</v>
      </c>
      <c r="K589" s="122" t="b">
        <f t="array" ref="K589">IF(ISBLANK(CertifiedCrop[[#This Row],[2. Produit agricole certifié*]]),"",IF(ISERROR(MATCH(1,(#REF!=CertifiedCrop[[#This Row],[2. Produit agricole certifié*]])*(#REF!=CertifiedCrop[[#This Row],[3. Variété**]]),0)),FALSE,TRUE))</f>
        <v>0</v>
      </c>
      <c r="L589" s="20" t="str">
        <f t="shared" si="45"/>
        <v/>
      </c>
      <c r="M589" s="54" t="str">
        <f t="shared" si="46"/>
        <v>!</v>
      </c>
      <c r="N589" s="54" t="str">
        <f t="shared" si="47"/>
        <v/>
      </c>
      <c r="O589" s="55">
        <f t="shared" si="48"/>
        <v>577.19298245614038</v>
      </c>
      <c r="P589" s="55">
        <f t="shared" si="49"/>
        <v>558.77192982456143</v>
      </c>
      <c r="Q589" s="9" t="str">
        <f ca="1">IFERROR((VLOOKUP(A589,GM_Table,8,FALSE)-SUMIFS(D:D,A:A,A589,B:B,B589,C:C,C589)),"")</f>
        <v/>
      </c>
      <c r="R589" s="9" t="str">
        <f ca="1">IFERROR(CONCATENATE(VLOOKUP(A589,GM_Table,12,FALSE)," ",(VLOOKUP(A589,GM_Table,13,FALSE))),"")</f>
        <v/>
      </c>
    </row>
    <row r="590" spans="1:18" ht="15" x14ac:dyDescent="0.2">
      <c r="A590" s="193" t="s">
        <v>2326</v>
      </c>
      <c r="B590" s="9" t="s">
        <v>3290</v>
      </c>
      <c r="C590" s="9" t="s">
        <v>3291</v>
      </c>
      <c r="D590" s="252">
        <v>8.1199999999999992</v>
      </c>
      <c r="E590" s="245">
        <v>4811</v>
      </c>
      <c r="F590" s="246">
        <v>4754</v>
      </c>
      <c r="G590" s="247">
        <v>3601</v>
      </c>
      <c r="H590" s="248">
        <v>3412</v>
      </c>
      <c r="I590" s="249">
        <v>5200</v>
      </c>
      <c r="J590" s="122" t="b">
        <f>IF(ISBLANK(CertifiedCrop[[#This Row],[1. Identifiant interne d’exploitation agricole*]]),"",IF(ISERROR(MATCH(CertifiedCrop[[#This Row],[1. Identifiant interne d’exploitation agricole*]],GroupMember[1. Identifiant interne d’exploitation agricole*],0)),FALSE,TRUE))</f>
        <v>1</v>
      </c>
      <c r="K590" s="122" t="b">
        <f t="array" ref="K590">IF(ISBLANK(CertifiedCrop[[#This Row],[2. Produit agricole certifié*]]),"",IF(ISERROR(MATCH(1,(#REF!=CertifiedCrop[[#This Row],[2. Produit agricole certifié*]])*(#REF!=CertifiedCrop[[#This Row],[3. Variété**]]),0)),FALSE,TRUE))</f>
        <v>0</v>
      </c>
      <c r="L590" s="20" t="str">
        <f t="shared" si="45"/>
        <v/>
      </c>
      <c r="M590" s="54" t="str">
        <f t="shared" si="46"/>
        <v>!</v>
      </c>
      <c r="N590" s="54" t="str">
        <f t="shared" si="47"/>
        <v/>
      </c>
      <c r="O590" s="55">
        <f t="shared" si="48"/>
        <v>592.48768472906409</v>
      </c>
      <c r="P590" s="55">
        <f t="shared" si="49"/>
        <v>585.46798029556658</v>
      </c>
      <c r="Q590" s="9" t="str">
        <f ca="1">IFERROR((VLOOKUP(A590,GM_Table,8,FALSE)-SUMIFS(D:D,A:A,A590,B:B,B590,C:C,C590)),"")</f>
        <v/>
      </c>
      <c r="R590" s="9" t="str">
        <f ca="1">IFERROR(CONCATENATE(VLOOKUP(A590,GM_Table,12,FALSE)," ",(VLOOKUP(A590,GM_Table,13,FALSE))),"")</f>
        <v/>
      </c>
    </row>
    <row r="591" spans="1:18" ht="15" x14ac:dyDescent="0.2">
      <c r="A591" s="193" t="s">
        <v>2327</v>
      </c>
      <c r="B591" s="9" t="s">
        <v>3290</v>
      </c>
      <c r="C591" s="9" t="s">
        <v>3291</v>
      </c>
      <c r="D591" s="252">
        <v>5.36</v>
      </c>
      <c r="E591" s="245">
        <v>3331</v>
      </c>
      <c r="F591" s="246">
        <v>3185</v>
      </c>
      <c r="G591" s="247">
        <v>2525</v>
      </c>
      <c r="H591" s="248">
        <v>3140</v>
      </c>
      <c r="I591" s="249">
        <v>3200</v>
      </c>
      <c r="J591" s="122" t="b">
        <f>IF(ISBLANK(CertifiedCrop[[#This Row],[1. Identifiant interne d’exploitation agricole*]]),"",IF(ISERROR(MATCH(CertifiedCrop[[#This Row],[1. Identifiant interne d’exploitation agricole*]],GroupMember[1. Identifiant interne d’exploitation agricole*],0)),FALSE,TRUE))</f>
        <v>1</v>
      </c>
      <c r="K591" s="122" t="b">
        <f t="array" ref="K591">IF(ISBLANK(CertifiedCrop[[#This Row],[2. Produit agricole certifié*]]),"",IF(ISERROR(MATCH(1,(#REF!=CertifiedCrop[[#This Row],[2. Produit agricole certifié*]])*(#REF!=CertifiedCrop[[#This Row],[3. Variété**]]),0)),FALSE,TRUE))</f>
        <v>0</v>
      </c>
      <c r="L591" s="20" t="str">
        <f t="shared" si="45"/>
        <v/>
      </c>
      <c r="M591" s="54" t="str">
        <f t="shared" si="46"/>
        <v>!</v>
      </c>
      <c r="N591" s="54" t="str">
        <f t="shared" si="47"/>
        <v/>
      </c>
      <c r="O591" s="55">
        <f t="shared" si="48"/>
        <v>621.45522388059703</v>
      </c>
      <c r="P591" s="55">
        <f t="shared" si="49"/>
        <v>594.21641791044772</v>
      </c>
      <c r="Q591" s="9" t="str">
        <f ca="1">IFERROR((VLOOKUP(A591,GM_Table,8,FALSE)-SUMIFS(D:D,A:A,A591,B:B,B591,C:C,C591)),"")</f>
        <v/>
      </c>
      <c r="R591" s="9" t="str">
        <f ca="1">IFERROR(CONCATENATE(VLOOKUP(A591,GM_Table,12,FALSE)," ",(VLOOKUP(A591,GM_Table,13,FALSE))),"")</f>
        <v/>
      </c>
    </row>
    <row r="592" spans="1:18" ht="15" x14ac:dyDescent="0.2">
      <c r="A592" s="193" t="s">
        <v>2329</v>
      </c>
      <c r="B592" s="9" t="s">
        <v>3290</v>
      </c>
      <c r="C592" s="9" t="s">
        <v>3291</v>
      </c>
      <c r="D592" s="252">
        <v>2.2789999999999999</v>
      </c>
      <c r="E592" s="245">
        <v>1254</v>
      </c>
      <c r="F592" s="246">
        <v>1207</v>
      </c>
      <c r="G592" s="247">
        <v>782</v>
      </c>
      <c r="H592" s="248">
        <v>884</v>
      </c>
      <c r="I592" s="249">
        <v>1300</v>
      </c>
      <c r="J592" s="122" t="b">
        <f>IF(ISBLANK(CertifiedCrop[[#This Row],[1. Identifiant interne d’exploitation agricole*]]),"",IF(ISERROR(MATCH(CertifiedCrop[[#This Row],[1. Identifiant interne d’exploitation agricole*]],GroupMember[1. Identifiant interne d’exploitation agricole*],0)),FALSE,TRUE))</f>
        <v>1</v>
      </c>
      <c r="K592" s="122" t="b">
        <f t="array" ref="K592">IF(ISBLANK(CertifiedCrop[[#This Row],[2. Produit agricole certifié*]]),"",IF(ISERROR(MATCH(1,(#REF!=CertifiedCrop[[#This Row],[2. Produit agricole certifié*]])*(#REF!=CertifiedCrop[[#This Row],[3. Variété**]]),0)),FALSE,TRUE))</f>
        <v>0</v>
      </c>
      <c r="L592" s="20" t="str">
        <f t="shared" si="45"/>
        <v/>
      </c>
      <c r="M592" s="54" t="str">
        <f t="shared" si="46"/>
        <v>!</v>
      </c>
      <c r="N592" s="54" t="str">
        <f t="shared" si="47"/>
        <v/>
      </c>
      <c r="O592" s="55">
        <f t="shared" si="48"/>
        <v>550.24133391838529</v>
      </c>
      <c r="P592" s="55">
        <f t="shared" si="49"/>
        <v>529.61825362000877</v>
      </c>
      <c r="Q592" s="9" t="str">
        <f ca="1">IFERROR((VLOOKUP(A592,GM_Table,8,FALSE)-SUMIFS(D:D,A:A,A592,B:B,B592,C:C,C592)),"")</f>
        <v/>
      </c>
      <c r="R592" s="9" t="str">
        <f ca="1">IFERROR(CONCATENATE(VLOOKUP(A592,GM_Table,12,FALSE)," ",(VLOOKUP(A592,GM_Table,13,FALSE))),"")</f>
        <v/>
      </c>
    </row>
    <row r="593" spans="1:18" ht="15" x14ac:dyDescent="0.2">
      <c r="A593" s="193" t="s">
        <v>2331</v>
      </c>
      <c r="B593" s="9" t="s">
        <v>3290</v>
      </c>
      <c r="C593" s="9" t="s">
        <v>3291</v>
      </c>
      <c r="D593" s="252">
        <v>3.46</v>
      </c>
      <c r="E593" s="245">
        <v>2078</v>
      </c>
      <c r="F593" s="246">
        <v>1958</v>
      </c>
      <c r="G593" s="247">
        <v>1788</v>
      </c>
      <c r="H593" s="248">
        <v>1896</v>
      </c>
      <c r="I593" s="249">
        <v>2100</v>
      </c>
      <c r="J593" s="122" t="b">
        <f>IF(ISBLANK(CertifiedCrop[[#This Row],[1. Identifiant interne d’exploitation agricole*]]),"",IF(ISERROR(MATCH(CertifiedCrop[[#This Row],[1. Identifiant interne d’exploitation agricole*]],GroupMember[1. Identifiant interne d’exploitation agricole*],0)),FALSE,TRUE))</f>
        <v>1</v>
      </c>
      <c r="K593" s="122" t="b">
        <f t="array" ref="K593">IF(ISBLANK(CertifiedCrop[[#This Row],[2. Produit agricole certifié*]]),"",IF(ISERROR(MATCH(1,(#REF!=CertifiedCrop[[#This Row],[2. Produit agricole certifié*]])*(#REF!=CertifiedCrop[[#This Row],[3. Variété**]]),0)),FALSE,TRUE))</f>
        <v>0</v>
      </c>
      <c r="L593" s="20" t="str">
        <f t="shared" si="45"/>
        <v/>
      </c>
      <c r="M593" s="54" t="str">
        <f t="shared" si="46"/>
        <v/>
      </c>
      <c r="N593" s="54" t="str">
        <f t="shared" si="47"/>
        <v/>
      </c>
      <c r="O593" s="55">
        <f t="shared" si="48"/>
        <v>600.5780346820809</v>
      </c>
      <c r="P593" s="55">
        <f t="shared" si="49"/>
        <v>565.89595375722547</v>
      </c>
      <c r="Q593" s="9" t="str">
        <f ca="1">IFERROR((VLOOKUP(A593,GM_Table,8,FALSE)-SUMIFS(D:D,A:A,A593,B:B,B593,C:C,C593)),"")</f>
        <v/>
      </c>
      <c r="R593" s="9" t="str">
        <f ca="1">IFERROR(CONCATENATE(VLOOKUP(A593,GM_Table,12,FALSE)," ",(VLOOKUP(A593,GM_Table,13,FALSE))),"")</f>
        <v/>
      </c>
    </row>
    <row r="594" spans="1:18" ht="15" x14ac:dyDescent="0.2">
      <c r="A594" s="193" t="s">
        <v>2333</v>
      </c>
      <c r="B594" s="9" t="s">
        <v>3290</v>
      </c>
      <c r="C594" s="9" t="s">
        <v>3291</v>
      </c>
      <c r="D594" s="252">
        <v>2.4300000000000002</v>
      </c>
      <c r="E594" s="245">
        <v>1220</v>
      </c>
      <c r="F594" s="246">
        <v>1197</v>
      </c>
      <c r="G594" s="247">
        <v>1197</v>
      </c>
      <c r="H594" s="248">
        <v>875</v>
      </c>
      <c r="I594" s="249">
        <v>1500</v>
      </c>
      <c r="J594" s="122" t="b">
        <f>IF(ISBLANK(CertifiedCrop[[#This Row],[1. Identifiant interne d’exploitation agricole*]]),"",IF(ISERROR(MATCH(CertifiedCrop[[#This Row],[1. Identifiant interne d’exploitation agricole*]],GroupMember[1. Identifiant interne d’exploitation agricole*],0)),FALSE,TRUE))</f>
        <v>1</v>
      </c>
      <c r="K594" s="122" t="b">
        <f t="array" ref="K594">IF(ISBLANK(CertifiedCrop[[#This Row],[2. Produit agricole certifié*]]),"",IF(ISERROR(MATCH(1,(#REF!=CertifiedCrop[[#This Row],[2. Produit agricole certifié*]])*(#REF!=CertifiedCrop[[#This Row],[3. Variété**]]),0)),FALSE,TRUE))</f>
        <v>0</v>
      </c>
      <c r="L594" s="20" t="str">
        <f t="shared" si="45"/>
        <v/>
      </c>
      <c r="M594" s="54" t="str">
        <f t="shared" si="46"/>
        <v/>
      </c>
      <c r="N594" s="54" t="str">
        <f t="shared" si="47"/>
        <v>!</v>
      </c>
      <c r="O594" s="55">
        <f t="shared" si="48"/>
        <v>502.05761316872423</v>
      </c>
      <c r="P594" s="55">
        <f t="shared" si="49"/>
        <v>492.59259259259255</v>
      </c>
      <c r="Q594" s="9" t="str">
        <f ca="1">IFERROR((VLOOKUP(A594,GM_Table,8,FALSE)-SUMIFS(D:D,A:A,A594,B:B,B594,C:C,C594)),"")</f>
        <v/>
      </c>
      <c r="R594" s="9" t="str">
        <f ca="1">IFERROR(CONCATENATE(VLOOKUP(A594,GM_Table,12,FALSE)," ",(VLOOKUP(A594,GM_Table,13,FALSE))),"")</f>
        <v/>
      </c>
    </row>
    <row r="595" spans="1:18" ht="15" x14ac:dyDescent="0.2">
      <c r="A595" s="193" t="s">
        <v>2335</v>
      </c>
      <c r="B595" s="9" t="s">
        <v>3290</v>
      </c>
      <c r="C595" s="9" t="s">
        <v>3291</v>
      </c>
      <c r="D595" s="252">
        <v>1.91</v>
      </c>
      <c r="E595" s="245">
        <v>1151</v>
      </c>
      <c r="F595" s="246">
        <v>1102</v>
      </c>
      <c r="G595" s="247">
        <v>633</v>
      </c>
      <c r="H595" s="248">
        <v>754</v>
      </c>
      <c r="I595" s="249">
        <v>1200</v>
      </c>
      <c r="J595" s="122" t="b">
        <f>IF(ISBLANK(CertifiedCrop[[#This Row],[1. Identifiant interne d’exploitation agricole*]]),"",IF(ISERROR(MATCH(CertifiedCrop[[#This Row],[1. Identifiant interne d’exploitation agricole*]],GroupMember[1. Identifiant interne d’exploitation agricole*],0)),FALSE,TRUE))</f>
        <v>1</v>
      </c>
      <c r="K595" s="122" t="b">
        <f t="array" ref="K595">IF(ISBLANK(CertifiedCrop[[#This Row],[2. Produit agricole certifié*]]),"",IF(ISERROR(MATCH(1,(#REF!=CertifiedCrop[[#This Row],[2. Produit agricole certifié*]])*(#REF!=CertifiedCrop[[#This Row],[3. Variété**]]),0)),FALSE,TRUE))</f>
        <v>0</v>
      </c>
      <c r="L595" s="20" t="str">
        <f t="shared" si="45"/>
        <v/>
      </c>
      <c r="M595" s="54" t="str">
        <f t="shared" si="46"/>
        <v>!</v>
      </c>
      <c r="N595" s="54" t="str">
        <f t="shared" si="47"/>
        <v/>
      </c>
      <c r="O595" s="55">
        <f t="shared" si="48"/>
        <v>602.61780104712045</v>
      </c>
      <c r="P595" s="55">
        <f t="shared" si="49"/>
        <v>576.96335078534037</v>
      </c>
      <c r="Q595" s="9" t="str">
        <f ca="1">IFERROR((VLOOKUP(A595,GM_Table,8,FALSE)-SUMIFS(D:D,A:A,A595,B:B,B595,C:C,C595)),"")</f>
        <v/>
      </c>
      <c r="R595" s="9" t="str">
        <f ca="1">IFERROR(CONCATENATE(VLOOKUP(A595,GM_Table,12,FALSE)," ",(VLOOKUP(A595,GM_Table,13,FALSE))),"")</f>
        <v/>
      </c>
    </row>
    <row r="596" spans="1:18" ht="15" x14ac:dyDescent="0.2">
      <c r="A596" s="193" t="s">
        <v>2338</v>
      </c>
      <c r="B596" s="9" t="s">
        <v>3290</v>
      </c>
      <c r="C596" s="9" t="s">
        <v>3291</v>
      </c>
      <c r="D596" s="252">
        <v>3.69</v>
      </c>
      <c r="E596" s="245">
        <v>2149</v>
      </c>
      <c r="F596" s="246">
        <v>2083</v>
      </c>
      <c r="G596" s="247">
        <v>1810</v>
      </c>
      <c r="H596" s="248">
        <v>1624</v>
      </c>
      <c r="I596" s="249">
        <v>2200</v>
      </c>
      <c r="J596" s="122" t="b">
        <f>IF(ISBLANK(CertifiedCrop[[#This Row],[1. Identifiant interne d’exploitation agricole*]]),"",IF(ISERROR(MATCH(CertifiedCrop[[#This Row],[1. Identifiant interne d’exploitation agricole*]],GroupMember[1. Identifiant interne d’exploitation agricole*],0)),FALSE,TRUE))</f>
        <v>1</v>
      </c>
      <c r="K596" s="122" t="b">
        <f t="array" ref="K596">IF(ISBLANK(CertifiedCrop[[#This Row],[2. Produit agricole certifié*]]),"",IF(ISERROR(MATCH(1,(#REF!=CertifiedCrop[[#This Row],[2. Produit agricole certifié*]])*(#REF!=CertifiedCrop[[#This Row],[3. Variété**]]),0)),FALSE,TRUE))</f>
        <v>0</v>
      </c>
      <c r="L596" s="20" t="str">
        <f t="shared" si="45"/>
        <v/>
      </c>
      <c r="M596" s="54" t="str">
        <f t="shared" si="46"/>
        <v/>
      </c>
      <c r="N596" s="54" t="str">
        <f t="shared" si="47"/>
        <v/>
      </c>
      <c r="O596" s="55">
        <f t="shared" si="48"/>
        <v>582.38482384823851</v>
      </c>
      <c r="P596" s="55">
        <f t="shared" si="49"/>
        <v>564.4986449864499</v>
      </c>
      <c r="Q596" s="9" t="str">
        <f ca="1">IFERROR((VLOOKUP(A596,GM_Table,8,FALSE)-SUMIFS(D:D,A:A,A596,B:B,B596,C:C,C596)),"")</f>
        <v/>
      </c>
      <c r="R596" s="9" t="str">
        <f ca="1">IFERROR(CONCATENATE(VLOOKUP(A596,GM_Table,12,FALSE)," ",(VLOOKUP(A596,GM_Table,13,FALSE))),"")</f>
        <v/>
      </c>
    </row>
    <row r="597" spans="1:18" ht="15" x14ac:dyDescent="0.2">
      <c r="A597" s="193" t="s">
        <v>2340</v>
      </c>
      <c r="B597" s="9" t="s">
        <v>3290</v>
      </c>
      <c r="C597" s="9" t="s">
        <v>3291</v>
      </c>
      <c r="D597" s="252">
        <v>5.58</v>
      </c>
      <c r="E597" s="245">
        <v>3077</v>
      </c>
      <c r="F597" s="246">
        <v>2874</v>
      </c>
      <c r="G597" s="247">
        <v>2390</v>
      </c>
      <c r="H597" s="248">
        <v>2582</v>
      </c>
      <c r="I597" s="249">
        <v>3400</v>
      </c>
      <c r="J597" s="122" t="b">
        <f>IF(ISBLANK(CertifiedCrop[[#This Row],[1. Identifiant interne d’exploitation agricole*]]),"",IF(ISERROR(MATCH(CertifiedCrop[[#This Row],[1. Identifiant interne d’exploitation agricole*]],GroupMember[1. Identifiant interne d’exploitation agricole*],0)),FALSE,TRUE))</f>
        <v>1</v>
      </c>
      <c r="K597" s="122" t="b">
        <f t="array" ref="K597">IF(ISBLANK(CertifiedCrop[[#This Row],[2. Produit agricole certifié*]]),"",IF(ISERROR(MATCH(1,(#REF!=CertifiedCrop[[#This Row],[2. Produit agricole certifié*]])*(#REF!=CertifiedCrop[[#This Row],[3. Variété**]]),0)),FALSE,TRUE))</f>
        <v>0</v>
      </c>
      <c r="L597" s="20" t="str">
        <f t="shared" si="45"/>
        <v/>
      </c>
      <c r="M597" s="54" t="str">
        <f t="shared" si="46"/>
        <v/>
      </c>
      <c r="N597" s="54" t="str">
        <f t="shared" si="47"/>
        <v/>
      </c>
      <c r="O597" s="55">
        <f t="shared" si="48"/>
        <v>551.43369175627242</v>
      </c>
      <c r="P597" s="55">
        <f t="shared" si="49"/>
        <v>515.05376344086017</v>
      </c>
      <c r="Q597" s="9" t="str">
        <f ca="1">IFERROR((VLOOKUP(A597,GM_Table,8,FALSE)-SUMIFS(D:D,A:A,A597,B:B,B597,C:C,C597)),"")</f>
        <v/>
      </c>
      <c r="R597" s="9" t="str">
        <f ca="1">IFERROR(CONCATENATE(VLOOKUP(A597,GM_Table,12,FALSE)," ",(VLOOKUP(A597,GM_Table,13,FALSE))),"")</f>
        <v/>
      </c>
    </row>
    <row r="598" spans="1:18" ht="15" x14ac:dyDescent="0.2">
      <c r="A598" s="193" t="s">
        <v>2342</v>
      </c>
      <c r="B598" s="9" t="s">
        <v>3290</v>
      </c>
      <c r="C598" s="9" t="s">
        <v>3291</v>
      </c>
      <c r="D598" s="252">
        <v>3.49</v>
      </c>
      <c r="E598" s="245">
        <v>2015</v>
      </c>
      <c r="F598" s="246">
        <v>1948</v>
      </c>
      <c r="G598" s="247">
        <v>1948</v>
      </c>
      <c r="H598" s="248">
        <v>993</v>
      </c>
      <c r="I598" s="249">
        <v>2200</v>
      </c>
      <c r="J598" s="122" t="b">
        <f>IF(ISBLANK(CertifiedCrop[[#This Row],[1. Identifiant interne d’exploitation agricole*]]),"",IF(ISERROR(MATCH(CertifiedCrop[[#This Row],[1. Identifiant interne d’exploitation agricole*]],GroupMember[1. Identifiant interne d’exploitation agricole*],0)),FALSE,TRUE))</f>
        <v>1</v>
      </c>
      <c r="K598" s="122" t="b">
        <f t="array" ref="K598">IF(ISBLANK(CertifiedCrop[[#This Row],[2. Produit agricole certifié*]]),"",IF(ISERROR(MATCH(1,(#REF!=CertifiedCrop[[#This Row],[2. Produit agricole certifié*]])*(#REF!=CertifiedCrop[[#This Row],[3. Variété**]]),0)),FALSE,TRUE))</f>
        <v>0</v>
      </c>
      <c r="L598" s="20" t="str">
        <f t="shared" si="45"/>
        <v/>
      </c>
      <c r="M598" s="54" t="str">
        <f t="shared" si="46"/>
        <v/>
      </c>
      <c r="N598" s="54" t="str">
        <f t="shared" si="47"/>
        <v>!</v>
      </c>
      <c r="O598" s="55">
        <f t="shared" si="48"/>
        <v>577.36389684813753</v>
      </c>
      <c r="P598" s="55">
        <f t="shared" si="49"/>
        <v>558.16618911174783</v>
      </c>
      <c r="Q598" s="9" t="str">
        <f ca="1">IFERROR((VLOOKUP(A598,GM_Table,8,FALSE)-SUMIFS(D:D,A:A,A598,B:B,B598,C:C,C598)),"")</f>
        <v/>
      </c>
      <c r="R598" s="9" t="str">
        <f ca="1">IFERROR(CONCATENATE(VLOOKUP(A598,GM_Table,12,FALSE)," ",(VLOOKUP(A598,GM_Table,13,FALSE))),"")</f>
        <v/>
      </c>
    </row>
    <row r="599" spans="1:18" ht="15" x14ac:dyDescent="0.2">
      <c r="A599" s="193" t="s">
        <v>2343</v>
      </c>
      <c r="B599" s="9" t="s">
        <v>3290</v>
      </c>
      <c r="C599" s="9" t="s">
        <v>3291</v>
      </c>
      <c r="D599" s="252">
        <v>2.15</v>
      </c>
      <c r="E599" s="245">
        <v>1166</v>
      </c>
      <c r="F599" s="246">
        <v>1126</v>
      </c>
      <c r="G599" s="247">
        <v>1126</v>
      </c>
      <c r="H599" s="248">
        <v>972</v>
      </c>
      <c r="I599" s="249">
        <v>1300</v>
      </c>
      <c r="J599" s="122" t="b">
        <f>IF(ISBLANK(CertifiedCrop[[#This Row],[1. Identifiant interne d’exploitation agricole*]]),"",IF(ISERROR(MATCH(CertifiedCrop[[#This Row],[1. Identifiant interne d’exploitation agricole*]],GroupMember[1. Identifiant interne d’exploitation agricole*],0)),FALSE,TRUE))</f>
        <v>1</v>
      </c>
      <c r="K599" s="122" t="b">
        <f t="array" ref="K599">IF(ISBLANK(CertifiedCrop[[#This Row],[2. Produit agricole certifié*]]),"",IF(ISERROR(MATCH(1,(#REF!=CertifiedCrop[[#This Row],[2. Produit agricole certifié*]])*(#REF!=CertifiedCrop[[#This Row],[3. Variété**]]),0)),FALSE,TRUE))</f>
        <v>0</v>
      </c>
      <c r="L599" s="20" t="str">
        <f t="shared" si="45"/>
        <v/>
      </c>
      <c r="M599" s="54" t="str">
        <f t="shared" si="46"/>
        <v/>
      </c>
      <c r="N599" s="54" t="str">
        <f t="shared" si="47"/>
        <v/>
      </c>
      <c r="O599" s="55">
        <f t="shared" si="48"/>
        <v>542.32558139534888</v>
      </c>
      <c r="P599" s="55">
        <f t="shared" si="49"/>
        <v>523.7209302325582</v>
      </c>
      <c r="Q599" s="9" t="str">
        <f ca="1">IFERROR((VLOOKUP(A599,GM_Table,8,FALSE)-SUMIFS(D:D,A:A,A599,B:B,B599,C:C,C599)),"")</f>
        <v/>
      </c>
      <c r="R599" s="9" t="str">
        <f ca="1">IFERROR(CONCATENATE(VLOOKUP(A599,GM_Table,12,FALSE)," ",(VLOOKUP(A599,GM_Table,13,FALSE))),"")</f>
        <v/>
      </c>
    </row>
    <row r="600" spans="1:18" ht="15" x14ac:dyDescent="0.2">
      <c r="A600" s="193" t="s">
        <v>2344</v>
      </c>
      <c r="B600" s="9" t="s">
        <v>3290</v>
      </c>
      <c r="C600" s="9" t="s">
        <v>3291</v>
      </c>
      <c r="D600" s="252">
        <v>2.02</v>
      </c>
      <c r="E600" s="245">
        <v>1219</v>
      </c>
      <c r="F600" s="246">
        <v>1163</v>
      </c>
      <c r="G600" s="247">
        <v>1017</v>
      </c>
      <c r="H600" s="248">
        <v>806</v>
      </c>
      <c r="I600" s="249">
        <v>1200</v>
      </c>
      <c r="J600" s="122" t="b">
        <f>IF(ISBLANK(CertifiedCrop[[#This Row],[1. Identifiant interne d’exploitation agricole*]]),"",IF(ISERROR(MATCH(CertifiedCrop[[#This Row],[1. Identifiant interne d’exploitation agricole*]],GroupMember[1. Identifiant interne d’exploitation agricole*],0)),FALSE,TRUE))</f>
        <v>1</v>
      </c>
      <c r="K600" s="122" t="b">
        <f t="array" ref="K600">IF(ISBLANK(CertifiedCrop[[#This Row],[2. Produit agricole certifié*]]),"",IF(ISERROR(MATCH(1,(#REF!=CertifiedCrop[[#This Row],[2. Produit agricole certifié*]])*(#REF!=CertifiedCrop[[#This Row],[3. Variété**]]),0)),FALSE,TRUE))</f>
        <v>0</v>
      </c>
      <c r="L600" s="20" t="str">
        <f t="shared" si="45"/>
        <v/>
      </c>
      <c r="M600" s="54" t="str">
        <f t="shared" si="46"/>
        <v/>
      </c>
      <c r="N600" s="54" t="str">
        <f t="shared" si="47"/>
        <v>!</v>
      </c>
      <c r="O600" s="55">
        <f t="shared" si="48"/>
        <v>603.46534653465346</v>
      </c>
      <c r="P600" s="55">
        <f t="shared" si="49"/>
        <v>575.74257425742576</v>
      </c>
      <c r="Q600" s="9" t="str">
        <f ca="1">IFERROR((VLOOKUP(A600,GM_Table,8,FALSE)-SUMIFS(D:D,A:A,A600,B:B,B600,C:C,C600)),"")</f>
        <v/>
      </c>
      <c r="R600" s="9" t="str">
        <f ca="1">IFERROR(CONCATENATE(VLOOKUP(A600,GM_Table,12,FALSE)," ",(VLOOKUP(A600,GM_Table,13,FALSE))),"")</f>
        <v/>
      </c>
    </row>
    <row r="601" spans="1:18" ht="15" x14ac:dyDescent="0.2">
      <c r="A601" s="193" t="s">
        <v>2345</v>
      </c>
      <c r="B601" s="9" t="s">
        <v>3290</v>
      </c>
      <c r="C601" s="9" t="s">
        <v>3291</v>
      </c>
      <c r="D601" s="252">
        <v>1.97</v>
      </c>
      <c r="E601" s="245">
        <v>1136</v>
      </c>
      <c r="F601" s="246">
        <v>1102</v>
      </c>
      <c r="G601" s="247">
        <v>715</v>
      </c>
      <c r="H601" s="248">
        <v>706</v>
      </c>
      <c r="I601" s="249">
        <v>1200</v>
      </c>
      <c r="J601" s="122" t="b">
        <f>IF(ISBLANK(CertifiedCrop[[#This Row],[1. Identifiant interne d’exploitation agricole*]]),"",IF(ISERROR(MATCH(CertifiedCrop[[#This Row],[1. Identifiant interne d’exploitation agricole*]],GroupMember[1. Identifiant interne d’exploitation agricole*],0)),FALSE,TRUE))</f>
        <v>1</v>
      </c>
      <c r="K601" s="122" t="b">
        <f t="array" ref="K601">IF(ISBLANK(CertifiedCrop[[#This Row],[2. Produit agricole certifié*]]),"",IF(ISERROR(MATCH(1,(#REF!=CertifiedCrop[[#This Row],[2. Produit agricole certifié*]])*(#REF!=CertifiedCrop[[#This Row],[3. Variété**]]),0)),FALSE,TRUE))</f>
        <v>0</v>
      </c>
      <c r="L601" s="20" t="str">
        <f t="shared" si="45"/>
        <v/>
      </c>
      <c r="M601" s="54" t="str">
        <f t="shared" si="46"/>
        <v>!</v>
      </c>
      <c r="N601" s="54" t="str">
        <f t="shared" si="47"/>
        <v/>
      </c>
      <c r="O601" s="55">
        <f t="shared" si="48"/>
        <v>576.64974619289342</v>
      </c>
      <c r="P601" s="55">
        <f t="shared" si="49"/>
        <v>559.39086294416245</v>
      </c>
      <c r="Q601" s="9" t="str">
        <f ca="1">IFERROR((VLOOKUP(A601,GM_Table,8,FALSE)-SUMIFS(D:D,A:A,A601,B:B,B601,C:C,C601)),"")</f>
        <v/>
      </c>
      <c r="R601" s="9" t="str">
        <f ca="1">IFERROR(CONCATENATE(VLOOKUP(A601,GM_Table,12,FALSE)," ",(VLOOKUP(A601,GM_Table,13,FALSE))),"")</f>
        <v/>
      </c>
    </row>
    <row r="602" spans="1:18" ht="15" x14ac:dyDescent="0.2">
      <c r="A602" s="193" t="s">
        <v>2346</v>
      </c>
      <c r="B602" s="9" t="s">
        <v>3290</v>
      </c>
      <c r="C602" s="9" t="s">
        <v>3291</v>
      </c>
      <c r="D602" s="252">
        <v>2.0699999999999998</v>
      </c>
      <c r="E602" s="245">
        <v>1069</v>
      </c>
      <c r="F602" s="246">
        <v>1019</v>
      </c>
      <c r="G602" s="247">
        <v>1019</v>
      </c>
      <c r="H602" s="248">
        <v>1019</v>
      </c>
      <c r="I602" s="249">
        <v>1200</v>
      </c>
      <c r="J602" s="122" t="b">
        <f>IF(ISBLANK(CertifiedCrop[[#This Row],[1. Identifiant interne d’exploitation agricole*]]),"",IF(ISERROR(MATCH(CertifiedCrop[[#This Row],[1. Identifiant interne d’exploitation agricole*]],GroupMember[1. Identifiant interne d’exploitation agricole*],0)),FALSE,TRUE))</f>
        <v>1</v>
      </c>
      <c r="K602" s="122" t="b">
        <f t="array" ref="K602">IF(ISBLANK(CertifiedCrop[[#This Row],[2. Produit agricole certifié*]]),"",IF(ISERROR(MATCH(1,(#REF!=CertifiedCrop[[#This Row],[2. Produit agricole certifié*]])*(#REF!=CertifiedCrop[[#This Row],[3. Variété**]]),0)),FALSE,TRUE))</f>
        <v>0</v>
      </c>
      <c r="L602" s="20" t="str">
        <f t="shared" si="45"/>
        <v/>
      </c>
      <c r="M602" s="54" t="str">
        <f t="shared" si="46"/>
        <v/>
      </c>
      <c r="N602" s="54" t="str">
        <f t="shared" si="47"/>
        <v/>
      </c>
      <c r="O602" s="55">
        <f t="shared" si="48"/>
        <v>516.42512077294691</v>
      </c>
      <c r="P602" s="55">
        <f t="shared" si="49"/>
        <v>492.27053140096621</v>
      </c>
      <c r="Q602" s="9" t="str">
        <f ca="1">IFERROR((VLOOKUP(A602,GM_Table,8,FALSE)-SUMIFS(D:D,A:A,A602,B:B,B602,C:C,C602)),"")</f>
        <v/>
      </c>
      <c r="R602" s="9" t="str">
        <f ca="1">IFERROR(CONCATENATE(VLOOKUP(A602,GM_Table,12,FALSE)," ",(VLOOKUP(A602,GM_Table,13,FALSE))),"")</f>
        <v/>
      </c>
    </row>
    <row r="603" spans="1:18" ht="15" x14ac:dyDescent="0.2">
      <c r="A603" s="193" t="s">
        <v>2348</v>
      </c>
      <c r="B603" s="9" t="s">
        <v>3290</v>
      </c>
      <c r="C603" s="9" t="s">
        <v>3291</v>
      </c>
      <c r="D603" s="252">
        <v>4.54</v>
      </c>
      <c r="E603" s="245">
        <v>2642</v>
      </c>
      <c r="F603" s="246">
        <v>2547</v>
      </c>
      <c r="G603" s="247">
        <v>1033</v>
      </c>
      <c r="H603" s="248">
        <v>2277</v>
      </c>
      <c r="I603" s="249">
        <v>2800</v>
      </c>
      <c r="J603" s="122" t="b">
        <f>IF(ISBLANK(CertifiedCrop[[#This Row],[1. Identifiant interne d’exploitation agricole*]]),"",IF(ISERROR(MATCH(CertifiedCrop[[#This Row],[1. Identifiant interne d’exploitation agricole*]],GroupMember[1. Identifiant interne d’exploitation agricole*],0)),FALSE,TRUE))</f>
        <v>1</v>
      </c>
      <c r="K603" s="122" t="b">
        <f t="array" ref="K603">IF(ISBLANK(CertifiedCrop[[#This Row],[2. Produit agricole certifié*]]),"",IF(ISERROR(MATCH(1,(#REF!=CertifiedCrop[[#This Row],[2. Produit agricole certifié*]])*(#REF!=CertifiedCrop[[#This Row],[3. Variété**]]),0)),FALSE,TRUE))</f>
        <v>0</v>
      </c>
      <c r="L603" s="20" t="str">
        <f t="shared" si="45"/>
        <v/>
      </c>
      <c r="M603" s="54" t="str">
        <f t="shared" si="46"/>
        <v>!</v>
      </c>
      <c r="N603" s="54" t="str">
        <f t="shared" si="47"/>
        <v>!</v>
      </c>
      <c r="O603" s="55">
        <f t="shared" si="48"/>
        <v>581.93832599118946</v>
      </c>
      <c r="P603" s="55">
        <f t="shared" si="49"/>
        <v>561.01321585903088</v>
      </c>
      <c r="Q603" s="9" t="str">
        <f ca="1">IFERROR((VLOOKUP(A603,GM_Table,8,FALSE)-SUMIFS(D:D,A:A,A603,B:B,B603,C:C,C603)),"")</f>
        <v/>
      </c>
      <c r="R603" s="9" t="str">
        <f ca="1">IFERROR(CONCATENATE(VLOOKUP(A603,GM_Table,12,FALSE)," ",(VLOOKUP(A603,GM_Table,13,FALSE))),"")</f>
        <v/>
      </c>
    </row>
    <row r="604" spans="1:18" ht="15" x14ac:dyDescent="0.2">
      <c r="A604" s="193" t="s">
        <v>2352</v>
      </c>
      <c r="B604" s="9" t="s">
        <v>3290</v>
      </c>
      <c r="C604" s="9" t="s">
        <v>3291</v>
      </c>
      <c r="D604" s="252">
        <v>3.65</v>
      </c>
      <c r="E604" s="245">
        <v>2291</v>
      </c>
      <c r="F604" s="246">
        <v>2108</v>
      </c>
      <c r="G604" s="247">
        <v>1822</v>
      </c>
      <c r="H604" s="248">
        <v>1354</v>
      </c>
      <c r="I604" s="249">
        <v>2100</v>
      </c>
      <c r="J604" s="122" t="b">
        <f>IF(ISBLANK(CertifiedCrop[[#This Row],[1. Identifiant interne d’exploitation agricole*]]),"",IF(ISERROR(MATCH(CertifiedCrop[[#This Row],[1. Identifiant interne d’exploitation agricole*]],GroupMember[1. Identifiant interne d’exploitation agricole*],0)),FALSE,TRUE))</f>
        <v>1</v>
      </c>
      <c r="K604" s="122" t="b">
        <f t="array" ref="K604">IF(ISBLANK(CertifiedCrop[[#This Row],[2. Produit agricole certifié*]]),"",IF(ISERROR(MATCH(1,(#REF!=CertifiedCrop[[#This Row],[2. Produit agricole certifié*]])*(#REF!=CertifiedCrop[[#This Row],[3. Variété**]]),0)),FALSE,TRUE))</f>
        <v>0</v>
      </c>
      <c r="L604" s="20" t="str">
        <f t="shared" si="45"/>
        <v/>
      </c>
      <c r="M604" s="54" t="str">
        <f t="shared" si="46"/>
        <v/>
      </c>
      <c r="N604" s="54" t="str">
        <f t="shared" si="47"/>
        <v>!</v>
      </c>
      <c r="O604" s="55">
        <f t="shared" si="48"/>
        <v>627.67123287671234</v>
      </c>
      <c r="P604" s="55">
        <f t="shared" si="49"/>
        <v>577.53424657534254</v>
      </c>
      <c r="Q604" s="9" t="str">
        <f ca="1">IFERROR((VLOOKUP(A604,GM_Table,8,FALSE)-SUMIFS(D:D,A:A,A604,B:B,B604,C:C,C604)),"")</f>
        <v/>
      </c>
      <c r="R604" s="9" t="str">
        <f ca="1">IFERROR(CONCATENATE(VLOOKUP(A604,GM_Table,12,FALSE)," ",(VLOOKUP(A604,GM_Table,13,FALSE))),"")</f>
        <v/>
      </c>
    </row>
    <row r="605" spans="1:18" ht="15" x14ac:dyDescent="0.2">
      <c r="A605" s="193" t="s">
        <v>2353</v>
      </c>
      <c r="B605" s="9" t="s">
        <v>3290</v>
      </c>
      <c r="C605" s="9" t="s">
        <v>3291</v>
      </c>
      <c r="D605" s="252">
        <v>2.69</v>
      </c>
      <c r="E605" s="245">
        <v>1701</v>
      </c>
      <c r="F605" s="246">
        <v>1625</v>
      </c>
      <c r="G605" s="247">
        <v>1198</v>
      </c>
      <c r="H605" s="248">
        <v>1282</v>
      </c>
      <c r="I605" s="249">
        <v>1600</v>
      </c>
      <c r="J605" s="122" t="b">
        <f>IF(ISBLANK(CertifiedCrop[[#This Row],[1. Identifiant interne d’exploitation agricole*]]),"",IF(ISERROR(MATCH(CertifiedCrop[[#This Row],[1. Identifiant interne d’exploitation agricole*]],GroupMember[1. Identifiant interne d’exploitation agricole*],0)),FALSE,TRUE))</f>
        <v>1</v>
      </c>
      <c r="K605" s="122" t="b">
        <f t="array" ref="K605">IF(ISBLANK(CertifiedCrop[[#This Row],[2. Produit agricole certifié*]]),"",IF(ISERROR(MATCH(1,(#REF!=CertifiedCrop[[#This Row],[2. Produit agricole certifié*]])*(#REF!=CertifiedCrop[[#This Row],[3. Variété**]]),0)),FALSE,TRUE))</f>
        <v>0</v>
      </c>
      <c r="L605" s="20" t="str">
        <f t="shared" si="45"/>
        <v/>
      </c>
      <c r="M605" s="54" t="str">
        <f t="shared" si="46"/>
        <v>!</v>
      </c>
      <c r="N605" s="54" t="str">
        <f t="shared" si="47"/>
        <v/>
      </c>
      <c r="O605" s="55">
        <f t="shared" si="48"/>
        <v>632.34200743494421</v>
      </c>
      <c r="P605" s="55">
        <f t="shared" si="49"/>
        <v>604.08921933085503</v>
      </c>
      <c r="Q605" s="9" t="str">
        <f ca="1">IFERROR((VLOOKUP(A605,GM_Table,8,FALSE)-SUMIFS(D:D,A:A,A605,B:B,B605,C:C,C605)),"")</f>
        <v/>
      </c>
      <c r="R605" s="9" t="str">
        <f ca="1">IFERROR(CONCATENATE(VLOOKUP(A605,GM_Table,12,FALSE)," ",(VLOOKUP(A605,GM_Table,13,FALSE))),"")</f>
        <v/>
      </c>
    </row>
    <row r="606" spans="1:18" ht="15" x14ac:dyDescent="0.2">
      <c r="A606" s="193" t="s">
        <v>2355</v>
      </c>
      <c r="B606" s="9" t="s">
        <v>3290</v>
      </c>
      <c r="C606" s="9" t="s">
        <v>3291</v>
      </c>
      <c r="D606" s="252">
        <v>3.61</v>
      </c>
      <c r="E606" s="245">
        <v>2226</v>
      </c>
      <c r="F606" s="246">
        <v>2147</v>
      </c>
      <c r="G606" s="247">
        <v>1656</v>
      </c>
      <c r="H606" s="248">
        <v>1434</v>
      </c>
      <c r="I606" s="249">
        <v>2100</v>
      </c>
      <c r="J606" s="122" t="b">
        <f>IF(ISBLANK(CertifiedCrop[[#This Row],[1. Identifiant interne d’exploitation agricole*]]),"",IF(ISERROR(MATCH(CertifiedCrop[[#This Row],[1. Identifiant interne d’exploitation agricole*]],GroupMember[1. Identifiant interne d’exploitation agricole*],0)),FALSE,TRUE))</f>
        <v>1</v>
      </c>
      <c r="K606" s="122" t="b">
        <f t="array" ref="K606">IF(ISBLANK(CertifiedCrop[[#This Row],[2. Produit agricole certifié*]]),"",IF(ISERROR(MATCH(1,(#REF!=CertifiedCrop[[#This Row],[2. Produit agricole certifié*]])*(#REF!=CertifiedCrop[[#This Row],[3. Variété**]]),0)),FALSE,TRUE))</f>
        <v>0</v>
      </c>
      <c r="L606" s="20" t="str">
        <f t="shared" si="45"/>
        <v/>
      </c>
      <c r="M606" s="54" t="str">
        <f t="shared" si="46"/>
        <v>!</v>
      </c>
      <c r="N606" s="54" t="str">
        <f t="shared" si="47"/>
        <v/>
      </c>
      <c r="O606" s="55">
        <f t="shared" si="48"/>
        <v>616.62049861495848</v>
      </c>
      <c r="P606" s="55">
        <f t="shared" si="49"/>
        <v>594.73684210526312</v>
      </c>
      <c r="Q606" s="9" t="str">
        <f ca="1">IFERROR((VLOOKUP(A606,GM_Table,8,FALSE)-SUMIFS(D:D,A:A,A606,B:B,B606,C:C,C606)),"")</f>
        <v/>
      </c>
      <c r="R606" s="9" t="str">
        <f ca="1">IFERROR(CONCATENATE(VLOOKUP(A606,GM_Table,12,FALSE)," ",(VLOOKUP(A606,GM_Table,13,FALSE))),"")</f>
        <v/>
      </c>
    </row>
    <row r="607" spans="1:18" ht="15" x14ac:dyDescent="0.2">
      <c r="A607" s="193" t="s">
        <v>2357</v>
      </c>
      <c r="B607" s="9" t="s">
        <v>3290</v>
      </c>
      <c r="C607" s="9" t="s">
        <v>3291</v>
      </c>
      <c r="D607" s="252">
        <v>1.81</v>
      </c>
      <c r="E607" s="245">
        <v>1047</v>
      </c>
      <c r="F607" s="246">
        <v>986</v>
      </c>
      <c r="G607" s="247">
        <v>946</v>
      </c>
      <c r="H607" s="248">
        <v>745</v>
      </c>
      <c r="I607" s="249">
        <v>1100</v>
      </c>
      <c r="J607" s="122" t="b">
        <f>IF(ISBLANK(CertifiedCrop[[#This Row],[1. Identifiant interne d’exploitation agricole*]]),"",IF(ISERROR(MATCH(CertifiedCrop[[#This Row],[1. Identifiant interne d’exploitation agricole*]],GroupMember[1. Identifiant interne d’exploitation agricole*],0)),FALSE,TRUE))</f>
        <v>1</v>
      </c>
      <c r="K607" s="122" t="b">
        <f t="array" ref="K607">IF(ISBLANK(CertifiedCrop[[#This Row],[2. Produit agricole certifié*]]),"",IF(ISERROR(MATCH(1,(#REF!=CertifiedCrop[[#This Row],[2. Produit agricole certifié*]])*(#REF!=CertifiedCrop[[#This Row],[3. Variété**]]),0)),FALSE,TRUE))</f>
        <v>0</v>
      </c>
      <c r="L607" s="20" t="str">
        <f t="shared" si="45"/>
        <v/>
      </c>
      <c r="M607" s="54" t="str">
        <f t="shared" si="46"/>
        <v/>
      </c>
      <c r="N607" s="54" t="str">
        <f t="shared" si="47"/>
        <v>!</v>
      </c>
      <c r="O607" s="55">
        <f t="shared" si="48"/>
        <v>578.45303867403311</v>
      </c>
      <c r="P607" s="55">
        <f t="shared" si="49"/>
        <v>544.75138121546956</v>
      </c>
      <c r="Q607" s="9" t="str">
        <f ca="1">IFERROR((VLOOKUP(A607,GM_Table,8,FALSE)-SUMIFS(D:D,A:A,A607,B:B,B607,C:C,C607)),"")</f>
        <v/>
      </c>
      <c r="R607" s="9" t="str">
        <f ca="1">IFERROR(CONCATENATE(VLOOKUP(A607,GM_Table,12,FALSE)," ",(VLOOKUP(A607,GM_Table,13,FALSE))),"")</f>
        <v/>
      </c>
    </row>
    <row r="608" spans="1:18" ht="15" x14ac:dyDescent="0.2">
      <c r="A608" s="193" t="s">
        <v>2359</v>
      </c>
      <c r="B608" s="9" t="s">
        <v>3290</v>
      </c>
      <c r="C608" s="9" t="s">
        <v>3291</v>
      </c>
      <c r="D608" s="252">
        <v>2.17</v>
      </c>
      <c r="E608" s="245">
        <v>1186</v>
      </c>
      <c r="F608" s="246">
        <v>1147</v>
      </c>
      <c r="G608" s="247">
        <v>563</v>
      </c>
      <c r="H608" s="248">
        <v>644</v>
      </c>
      <c r="I608" s="249">
        <v>1300</v>
      </c>
      <c r="J608" s="122" t="b">
        <f>IF(ISBLANK(CertifiedCrop[[#This Row],[1. Identifiant interne d’exploitation agricole*]]),"",IF(ISERROR(MATCH(CertifiedCrop[[#This Row],[1. Identifiant interne d’exploitation agricole*]],GroupMember[1. Identifiant interne d’exploitation agricole*],0)),FALSE,TRUE))</f>
        <v>1</v>
      </c>
      <c r="K608" s="122" t="b">
        <f t="array" ref="K608">IF(ISBLANK(CertifiedCrop[[#This Row],[2. Produit agricole certifié*]]),"",IF(ISERROR(MATCH(1,(#REF!=CertifiedCrop[[#This Row],[2. Produit agricole certifié*]])*(#REF!=CertifiedCrop[[#This Row],[3. Variété**]]),0)),FALSE,TRUE))</f>
        <v>0</v>
      </c>
      <c r="L608" s="20" t="str">
        <f t="shared" si="45"/>
        <v/>
      </c>
      <c r="M608" s="54" t="str">
        <f t="shared" si="46"/>
        <v>!</v>
      </c>
      <c r="N608" s="54" t="str">
        <f t="shared" si="47"/>
        <v/>
      </c>
      <c r="O608" s="55">
        <f t="shared" si="48"/>
        <v>546.54377880184336</v>
      </c>
      <c r="P608" s="55">
        <f t="shared" si="49"/>
        <v>528.57142857142856</v>
      </c>
      <c r="Q608" s="9" t="str">
        <f ca="1">IFERROR((VLOOKUP(A608,GM_Table,8,FALSE)-SUMIFS(D:D,A:A,A608,B:B,B608,C:C,C608)),"")</f>
        <v/>
      </c>
      <c r="R608" s="9" t="str">
        <f ca="1">IFERROR(CONCATENATE(VLOOKUP(A608,GM_Table,12,FALSE)," ",(VLOOKUP(A608,GM_Table,13,FALSE))),"")</f>
        <v/>
      </c>
    </row>
    <row r="609" spans="1:18" ht="15" x14ac:dyDescent="0.2">
      <c r="A609" s="193" t="s">
        <v>2360</v>
      </c>
      <c r="B609" s="9" t="s">
        <v>3290</v>
      </c>
      <c r="C609" s="9" t="s">
        <v>3291</v>
      </c>
      <c r="D609" s="252">
        <v>3.38</v>
      </c>
      <c r="E609" s="245">
        <v>1891</v>
      </c>
      <c r="F609" s="246">
        <v>1744</v>
      </c>
      <c r="G609" s="247">
        <v>1744</v>
      </c>
      <c r="H609" s="248">
        <v>1384</v>
      </c>
      <c r="I609" s="249">
        <v>2000</v>
      </c>
      <c r="J609" s="122" t="b">
        <f>IF(ISBLANK(CertifiedCrop[[#This Row],[1. Identifiant interne d’exploitation agricole*]]),"",IF(ISERROR(MATCH(CertifiedCrop[[#This Row],[1. Identifiant interne d’exploitation agricole*]],GroupMember[1. Identifiant interne d’exploitation agricole*],0)),FALSE,TRUE))</f>
        <v>1</v>
      </c>
      <c r="K609" s="122" t="b">
        <f t="array" ref="K609">IF(ISBLANK(CertifiedCrop[[#This Row],[2. Produit agricole certifié*]]),"",IF(ISERROR(MATCH(1,(#REF!=CertifiedCrop[[#This Row],[2. Produit agricole certifié*]])*(#REF!=CertifiedCrop[[#This Row],[3. Variété**]]),0)),FALSE,TRUE))</f>
        <v>0</v>
      </c>
      <c r="L609" s="20" t="str">
        <f t="shared" si="45"/>
        <v/>
      </c>
      <c r="M609" s="54" t="str">
        <f t="shared" si="46"/>
        <v/>
      </c>
      <c r="N609" s="54" t="str">
        <f t="shared" si="47"/>
        <v>!</v>
      </c>
      <c r="O609" s="55">
        <f t="shared" si="48"/>
        <v>559.46745562130184</v>
      </c>
      <c r="P609" s="55">
        <f t="shared" si="49"/>
        <v>515.9763313609468</v>
      </c>
      <c r="Q609" s="9" t="str">
        <f ca="1">IFERROR((VLOOKUP(A609,GM_Table,8,FALSE)-SUMIFS(D:D,A:A,A609,B:B,B609,C:C,C609)),"")</f>
        <v/>
      </c>
      <c r="R609" s="9" t="str">
        <f ca="1">IFERROR(CONCATENATE(VLOOKUP(A609,GM_Table,12,FALSE)," ",(VLOOKUP(A609,GM_Table,13,FALSE))),"")</f>
        <v/>
      </c>
    </row>
    <row r="610" spans="1:18" ht="15" x14ac:dyDescent="0.2">
      <c r="A610" s="193" t="s">
        <v>2362</v>
      </c>
      <c r="B610" s="9" t="s">
        <v>3290</v>
      </c>
      <c r="C610" s="9" t="s">
        <v>3291</v>
      </c>
      <c r="D610" s="252">
        <v>2.57</v>
      </c>
      <c r="E610" s="245">
        <v>1587</v>
      </c>
      <c r="F610" s="246">
        <v>1478</v>
      </c>
      <c r="G610" s="247">
        <v>1060</v>
      </c>
      <c r="H610" s="248">
        <v>1406</v>
      </c>
      <c r="I610" s="249">
        <v>1500</v>
      </c>
      <c r="J610" s="122" t="b">
        <f>IF(ISBLANK(CertifiedCrop[[#This Row],[1. Identifiant interne d’exploitation agricole*]]),"",IF(ISERROR(MATCH(CertifiedCrop[[#This Row],[1. Identifiant interne d’exploitation agricole*]],GroupMember[1. Identifiant interne d’exploitation agricole*],0)),FALSE,TRUE))</f>
        <v>1</v>
      </c>
      <c r="K610" s="122" t="b">
        <f t="array" ref="K610">IF(ISBLANK(CertifiedCrop[[#This Row],[2. Produit agricole certifié*]]),"",IF(ISERROR(MATCH(1,(#REF!=CertifiedCrop[[#This Row],[2. Produit agricole certifié*]])*(#REF!=CertifiedCrop[[#This Row],[3. Variété**]]),0)),FALSE,TRUE))</f>
        <v>0</v>
      </c>
      <c r="L610" s="20" t="str">
        <f t="shared" si="45"/>
        <v/>
      </c>
      <c r="M610" s="54" t="str">
        <f t="shared" si="46"/>
        <v>!</v>
      </c>
      <c r="N610" s="54" t="str">
        <f t="shared" si="47"/>
        <v/>
      </c>
      <c r="O610" s="55">
        <f t="shared" si="48"/>
        <v>617.50972762645915</v>
      </c>
      <c r="P610" s="55">
        <f t="shared" si="49"/>
        <v>575.09727626459153</v>
      </c>
      <c r="Q610" s="9" t="str">
        <f ca="1">IFERROR((VLOOKUP(A610,GM_Table,8,FALSE)-SUMIFS(D:D,A:A,A610,B:B,B610,C:C,C610)),"")</f>
        <v/>
      </c>
      <c r="R610" s="9" t="str">
        <f ca="1">IFERROR(CONCATENATE(VLOOKUP(A610,GM_Table,12,FALSE)," ",(VLOOKUP(A610,GM_Table,13,FALSE))),"")</f>
        <v/>
      </c>
    </row>
    <row r="611" spans="1:18" ht="15" x14ac:dyDescent="0.2">
      <c r="A611" s="193" t="s">
        <v>2364</v>
      </c>
      <c r="B611" s="9" t="s">
        <v>3290</v>
      </c>
      <c r="C611" s="9" t="s">
        <v>3291</v>
      </c>
      <c r="D611" s="252">
        <v>4.1500000000000004</v>
      </c>
      <c r="E611" s="245">
        <v>2604</v>
      </c>
      <c r="F611" s="246">
        <v>2562</v>
      </c>
      <c r="G611" s="247">
        <v>1983</v>
      </c>
      <c r="H611" s="248">
        <v>2460</v>
      </c>
      <c r="I611" s="249">
        <v>2500</v>
      </c>
      <c r="J611" s="122" t="b">
        <f>IF(ISBLANK(CertifiedCrop[[#This Row],[1. Identifiant interne d’exploitation agricole*]]),"",IF(ISERROR(MATCH(CertifiedCrop[[#This Row],[1. Identifiant interne d’exploitation agricole*]],GroupMember[1. Identifiant interne d’exploitation agricole*],0)),FALSE,TRUE))</f>
        <v>1</v>
      </c>
      <c r="K611" s="122" t="b">
        <f t="array" ref="K611">IF(ISBLANK(CertifiedCrop[[#This Row],[2. Produit agricole certifié*]]),"",IF(ISERROR(MATCH(1,(#REF!=CertifiedCrop[[#This Row],[2. Produit agricole certifié*]])*(#REF!=CertifiedCrop[[#This Row],[3. Variété**]]),0)),FALSE,TRUE))</f>
        <v>0</v>
      </c>
      <c r="L611" s="20" t="str">
        <f t="shared" si="45"/>
        <v/>
      </c>
      <c r="M611" s="54" t="str">
        <f t="shared" si="46"/>
        <v>!</v>
      </c>
      <c r="N611" s="54" t="str">
        <f t="shared" si="47"/>
        <v/>
      </c>
      <c r="O611" s="55">
        <f t="shared" si="48"/>
        <v>627.46987951807228</v>
      </c>
      <c r="P611" s="55">
        <f t="shared" si="49"/>
        <v>617.34939759036138</v>
      </c>
      <c r="Q611" s="9" t="str">
        <f ca="1">IFERROR((VLOOKUP(A611,GM_Table,8,FALSE)-SUMIFS(D:D,A:A,A611,B:B,B611,C:C,C611)),"")</f>
        <v/>
      </c>
      <c r="R611" s="9" t="str">
        <f ca="1">IFERROR(CONCATENATE(VLOOKUP(A611,GM_Table,12,FALSE)," ",(VLOOKUP(A611,GM_Table,13,FALSE))),"")</f>
        <v/>
      </c>
    </row>
    <row r="612" spans="1:18" ht="15" x14ac:dyDescent="0.2">
      <c r="A612" s="193" t="s">
        <v>2366</v>
      </c>
      <c r="B612" s="9" t="s">
        <v>3290</v>
      </c>
      <c r="C612" s="9" t="s">
        <v>3291</v>
      </c>
      <c r="D612" s="252">
        <v>2.08</v>
      </c>
      <c r="E612" s="245">
        <v>1219</v>
      </c>
      <c r="F612" s="246">
        <v>1174</v>
      </c>
      <c r="G612" s="247">
        <v>1003</v>
      </c>
      <c r="H612" s="248">
        <v>1138</v>
      </c>
      <c r="I612" s="249">
        <v>1300</v>
      </c>
      <c r="J612" s="122" t="b">
        <f>IF(ISBLANK(CertifiedCrop[[#This Row],[1. Identifiant interne d’exploitation agricole*]]),"",IF(ISERROR(MATCH(CertifiedCrop[[#This Row],[1. Identifiant interne d’exploitation agricole*]],GroupMember[1. Identifiant interne d’exploitation agricole*],0)),FALSE,TRUE))</f>
        <v>1</v>
      </c>
      <c r="K612" s="122" t="b">
        <f t="array" ref="K612">IF(ISBLANK(CertifiedCrop[[#This Row],[2. Produit agricole certifié*]]),"",IF(ISERROR(MATCH(1,(#REF!=CertifiedCrop[[#This Row],[2. Produit agricole certifié*]])*(#REF!=CertifiedCrop[[#This Row],[3. Variété**]]),0)),FALSE,TRUE))</f>
        <v>0</v>
      </c>
      <c r="L612" s="20" t="str">
        <f t="shared" si="45"/>
        <v/>
      </c>
      <c r="M612" s="54" t="str">
        <f t="shared" si="46"/>
        <v/>
      </c>
      <c r="N612" s="54" t="str">
        <f t="shared" si="47"/>
        <v/>
      </c>
      <c r="O612" s="55">
        <f t="shared" si="48"/>
        <v>586.05769230769226</v>
      </c>
      <c r="P612" s="55">
        <f t="shared" si="49"/>
        <v>564.42307692307691</v>
      </c>
      <c r="Q612" s="9" t="str">
        <f ca="1">IFERROR((VLOOKUP(A612,GM_Table,8,FALSE)-SUMIFS(D:D,A:A,A612,B:B,B612,C:C,C612)),"")</f>
        <v/>
      </c>
      <c r="R612" s="9" t="str">
        <f ca="1">IFERROR(CONCATENATE(VLOOKUP(A612,GM_Table,12,FALSE)," ",(VLOOKUP(A612,GM_Table,13,FALSE))),"")</f>
        <v/>
      </c>
    </row>
    <row r="613" spans="1:18" ht="15" x14ac:dyDescent="0.2">
      <c r="A613" s="193" t="s">
        <v>2367</v>
      </c>
      <c r="B613" s="9" t="s">
        <v>3290</v>
      </c>
      <c r="C613" s="9" t="s">
        <v>3291</v>
      </c>
      <c r="D613" s="252">
        <v>3</v>
      </c>
      <c r="E613" s="245">
        <v>1853</v>
      </c>
      <c r="F613" s="246">
        <v>1745</v>
      </c>
      <c r="G613" s="247">
        <v>1538</v>
      </c>
      <c r="H613" s="248">
        <v>1482</v>
      </c>
      <c r="I613" s="249">
        <v>1800</v>
      </c>
      <c r="J613" s="122" t="b">
        <f>IF(ISBLANK(CertifiedCrop[[#This Row],[1. Identifiant interne d’exploitation agricole*]]),"",IF(ISERROR(MATCH(CertifiedCrop[[#This Row],[1. Identifiant interne d’exploitation agricole*]],GroupMember[1. Identifiant interne d’exploitation agricole*],0)),FALSE,TRUE))</f>
        <v>1</v>
      </c>
      <c r="K613" s="122" t="b">
        <f t="array" ref="K613">IF(ISBLANK(CertifiedCrop[[#This Row],[2. Produit agricole certifié*]]),"",IF(ISERROR(MATCH(1,(#REF!=CertifiedCrop[[#This Row],[2. Produit agricole certifié*]])*(#REF!=CertifiedCrop[[#This Row],[3. Variété**]]),0)),FALSE,TRUE))</f>
        <v>0</v>
      </c>
      <c r="L613" s="20" t="str">
        <f t="shared" si="45"/>
        <v/>
      </c>
      <c r="M613" s="54" t="str">
        <f t="shared" si="46"/>
        <v/>
      </c>
      <c r="N613" s="54" t="str">
        <f t="shared" si="47"/>
        <v/>
      </c>
      <c r="O613" s="55">
        <f t="shared" si="48"/>
        <v>617.66666666666663</v>
      </c>
      <c r="P613" s="55">
        <f t="shared" si="49"/>
        <v>581.66666666666663</v>
      </c>
      <c r="Q613" s="9" t="str">
        <f ca="1">IFERROR((VLOOKUP(A613,GM_Table,8,FALSE)-SUMIFS(D:D,A:A,A613,B:B,B613,C:C,C613)),"")</f>
        <v/>
      </c>
      <c r="R613" s="9" t="str">
        <f ca="1">IFERROR(CONCATENATE(VLOOKUP(A613,GM_Table,12,FALSE)," ",(VLOOKUP(A613,GM_Table,13,FALSE))),"")</f>
        <v/>
      </c>
    </row>
    <row r="614" spans="1:18" ht="15" x14ac:dyDescent="0.2">
      <c r="A614" s="193" t="s">
        <v>2370</v>
      </c>
      <c r="B614" s="9" t="s">
        <v>3290</v>
      </c>
      <c r="C614" s="9" t="s">
        <v>3291</v>
      </c>
      <c r="D614" s="252">
        <v>5.19</v>
      </c>
      <c r="E614" s="245">
        <v>2945</v>
      </c>
      <c r="F614" s="246">
        <v>2856</v>
      </c>
      <c r="G614" s="247">
        <v>2263</v>
      </c>
      <c r="H614" s="248">
        <v>2373</v>
      </c>
      <c r="I614" s="249">
        <v>3200</v>
      </c>
      <c r="J614" s="122" t="b">
        <f>IF(ISBLANK(CertifiedCrop[[#This Row],[1. Identifiant interne d’exploitation agricole*]]),"",IF(ISERROR(MATCH(CertifiedCrop[[#This Row],[1. Identifiant interne d’exploitation agricole*]],GroupMember[1. Identifiant interne d’exploitation agricole*],0)),FALSE,TRUE))</f>
        <v>1</v>
      </c>
      <c r="K614" s="122" t="b">
        <f t="array" ref="K614">IF(ISBLANK(CertifiedCrop[[#This Row],[2. Produit agricole certifié*]]),"",IF(ISERROR(MATCH(1,(#REF!=CertifiedCrop[[#This Row],[2. Produit agricole certifié*]])*(#REF!=CertifiedCrop[[#This Row],[3. Variété**]]),0)),FALSE,TRUE))</f>
        <v>0</v>
      </c>
      <c r="L614" s="20" t="str">
        <f t="shared" si="45"/>
        <v/>
      </c>
      <c r="M614" s="54" t="str">
        <f t="shared" si="46"/>
        <v>!</v>
      </c>
      <c r="N614" s="54" t="str">
        <f t="shared" si="47"/>
        <v/>
      </c>
      <c r="O614" s="55">
        <f t="shared" si="48"/>
        <v>567.4373795761079</v>
      </c>
      <c r="P614" s="55">
        <f t="shared" si="49"/>
        <v>550.28901734104045</v>
      </c>
      <c r="Q614" s="9" t="str">
        <f ca="1">IFERROR((VLOOKUP(A614,GM_Table,8,FALSE)-SUMIFS(D:D,A:A,A614,B:B,B614,C:C,C614)),"")</f>
        <v/>
      </c>
      <c r="R614" s="9" t="str">
        <f ca="1">IFERROR(CONCATENATE(VLOOKUP(A614,GM_Table,12,FALSE)," ",(VLOOKUP(A614,GM_Table,13,FALSE))),"")</f>
        <v/>
      </c>
    </row>
    <row r="615" spans="1:18" ht="15" x14ac:dyDescent="0.2">
      <c r="A615" s="193" t="s">
        <v>2373</v>
      </c>
      <c r="B615" s="9" t="s">
        <v>3290</v>
      </c>
      <c r="C615" s="9" t="s">
        <v>3291</v>
      </c>
      <c r="D615" s="252">
        <v>2.5</v>
      </c>
      <c r="E615" s="245">
        <v>1363</v>
      </c>
      <c r="F615" s="246">
        <v>1290</v>
      </c>
      <c r="G615" s="247">
        <v>1290</v>
      </c>
      <c r="H615" s="248">
        <v>775</v>
      </c>
      <c r="I615" s="249">
        <v>1500</v>
      </c>
      <c r="J615" s="122" t="b">
        <f>IF(ISBLANK(CertifiedCrop[[#This Row],[1. Identifiant interne d’exploitation agricole*]]),"",IF(ISERROR(MATCH(CertifiedCrop[[#This Row],[1. Identifiant interne d’exploitation agricole*]],GroupMember[1. Identifiant interne d’exploitation agricole*],0)),FALSE,TRUE))</f>
        <v>1</v>
      </c>
      <c r="K615" s="122" t="b">
        <f t="array" ref="K615">IF(ISBLANK(CertifiedCrop[[#This Row],[2. Produit agricole certifié*]]),"",IF(ISERROR(MATCH(1,(#REF!=CertifiedCrop[[#This Row],[2. Produit agricole certifié*]])*(#REF!=CertifiedCrop[[#This Row],[3. Variété**]]),0)),FALSE,TRUE))</f>
        <v>0</v>
      </c>
      <c r="L615" s="20" t="str">
        <f t="shared" si="45"/>
        <v/>
      </c>
      <c r="M615" s="54" t="str">
        <f t="shared" si="46"/>
        <v/>
      </c>
      <c r="N615" s="54" t="str">
        <f t="shared" si="47"/>
        <v>!</v>
      </c>
      <c r="O615" s="55">
        <f t="shared" si="48"/>
        <v>545.20000000000005</v>
      </c>
      <c r="P615" s="55">
        <f t="shared" si="49"/>
        <v>516</v>
      </c>
      <c r="Q615" s="9" t="str">
        <f ca="1">IFERROR((VLOOKUP(A615,GM_Table,8,FALSE)-SUMIFS(D:D,A:A,A615,B:B,B615,C:C,C615)),"")</f>
        <v/>
      </c>
      <c r="R615" s="9" t="str">
        <f ca="1">IFERROR(CONCATENATE(VLOOKUP(A615,GM_Table,12,FALSE)," ",(VLOOKUP(A615,GM_Table,13,FALSE))),"")</f>
        <v/>
      </c>
    </row>
    <row r="616" spans="1:18" ht="15" x14ac:dyDescent="0.2">
      <c r="A616" s="193" t="s">
        <v>2375</v>
      </c>
      <c r="B616" s="9" t="s">
        <v>3290</v>
      </c>
      <c r="C616" s="9" t="s">
        <v>3291</v>
      </c>
      <c r="D616" s="252">
        <v>8.25</v>
      </c>
      <c r="E616" s="245">
        <v>4375</v>
      </c>
      <c r="F616" s="246">
        <v>4096</v>
      </c>
      <c r="G616" s="247">
        <v>4096</v>
      </c>
      <c r="H616" s="248">
        <v>4114</v>
      </c>
      <c r="I616" s="249">
        <v>4800</v>
      </c>
      <c r="J616" s="122" t="b">
        <f>IF(ISBLANK(CertifiedCrop[[#This Row],[1. Identifiant interne d’exploitation agricole*]]),"",IF(ISERROR(MATCH(CertifiedCrop[[#This Row],[1. Identifiant interne d’exploitation agricole*]],GroupMember[1. Identifiant interne d’exploitation agricole*],0)),FALSE,TRUE))</f>
        <v>1</v>
      </c>
      <c r="K616" s="122" t="b">
        <f t="array" ref="K616">IF(ISBLANK(CertifiedCrop[[#This Row],[2. Produit agricole certifié*]]),"",IF(ISERROR(MATCH(1,(#REF!=CertifiedCrop[[#This Row],[2. Produit agricole certifié*]])*(#REF!=CertifiedCrop[[#This Row],[3. Variété**]]),0)),FALSE,TRUE))</f>
        <v>0</v>
      </c>
      <c r="L616" s="20" t="str">
        <f t="shared" si="45"/>
        <v/>
      </c>
      <c r="M616" s="54" t="str">
        <f t="shared" si="46"/>
        <v/>
      </c>
      <c r="N616" s="54" t="str">
        <f t="shared" si="47"/>
        <v/>
      </c>
      <c r="O616" s="55">
        <f t="shared" si="48"/>
        <v>530.30303030303025</v>
      </c>
      <c r="P616" s="55">
        <f t="shared" si="49"/>
        <v>496.4848484848485</v>
      </c>
      <c r="Q616" s="9" t="str">
        <f ca="1">IFERROR((VLOOKUP(A616,GM_Table,8,FALSE)-SUMIFS(D:D,A:A,A616,B:B,B616,C:C,C616)),"")</f>
        <v/>
      </c>
      <c r="R616" s="9" t="str">
        <f ca="1">IFERROR(CONCATENATE(VLOOKUP(A616,GM_Table,12,FALSE)," ",(VLOOKUP(A616,GM_Table,13,FALSE))),"")</f>
        <v/>
      </c>
    </row>
    <row r="617" spans="1:18" ht="15" x14ac:dyDescent="0.2">
      <c r="A617" s="193" t="s">
        <v>2377</v>
      </c>
      <c r="B617" s="9" t="s">
        <v>3290</v>
      </c>
      <c r="C617" s="9" t="s">
        <v>3291</v>
      </c>
      <c r="D617" s="252">
        <v>1.33</v>
      </c>
      <c r="E617" s="221">
        <v>706</v>
      </c>
      <c r="F617" s="246">
        <v>704</v>
      </c>
      <c r="G617" s="247">
        <v>111</v>
      </c>
      <c r="H617" s="248">
        <v>111</v>
      </c>
      <c r="I617" s="249">
        <v>750</v>
      </c>
      <c r="J617" s="122" t="b">
        <f>IF(ISBLANK(CertifiedCrop[[#This Row],[1. Identifiant interne d’exploitation agricole*]]),"",IF(ISERROR(MATCH(CertifiedCrop[[#This Row],[1. Identifiant interne d’exploitation agricole*]],GroupMember[1. Identifiant interne d’exploitation agricole*],0)),FALSE,TRUE))</f>
        <v>1</v>
      </c>
      <c r="K617" s="122" t="b">
        <f t="array" ref="K617">IF(ISBLANK(CertifiedCrop[[#This Row],[2. Produit agricole certifié*]]),"",IF(ISERROR(MATCH(1,(#REF!=CertifiedCrop[[#This Row],[2. Produit agricole certifié*]])*(#REF!=CertifiedCrop[[#This Row],[3. Variété**]]),0)),FALSE,TRUE))</f>
        <v>0</v>
      </c>
      <c r="L617" s="20" t="str">
        <f t="shared" si="45"/>
        <v/>
      </c>
      <c r="M617" s="54" t="str">
        <f t="shared" si="46"/>
        <v>!</v>
      </c>
      <c r="N617" s="54" t="str">
        <f t="shared" si="47"/>
        <v/>
      </c>
      <c r="O617" s="55">
        <f t="shared" si="48"/>
        <v>530.82706766917295</v>
      </c>
      <c r="P617" s="55">
        <f t="shared" si="49"/>
        <v>529.32330827067665</v>
      </c>
      <c r="Q617" s="9" t="str">
        <f ca="1">IFERROR((VLOOKUP(A617,GM_Table,8,FALSE)-SUMIFS(D:D,A:A,A617,B:B,B617,C:C,C617)),"")</f>
        <v/>
      </c>
      <c r="R617" s="9" t="str">
        <f ca="1">IFERROR(CONCATENATE(VLOOKUP(A617,GM_Table,12,FALSE)," ",(VLOOKUP(A617,GM_Table,13,FALSE))),"")</f>
        <v/>
      </c>
    </row>
    <row r="618" spans="1:18" ht="15" x14ac:dyDescent="0.2">
      <c r="A618" s="193" t="s">
        <v>2380</v>
      </c>
      <c r="B618" s="9" t="s">
        <v>3290</v>
      </c>
      <c r="C618" s="9" t="s">
        <v>3291</v>
      </c>
      <c r="D618" s="252">
        <v>2.2000000000000002</v>
      </c>
      <c r="E618" s="245">
        <v>1385</v>
      </c>
      <c r="F618" s="246">
        <v>1352</v>
      </c>
      <c r="G618" s="247">
        <v>1352</v>
      </c>
      <c r="H618" s="248">
        <v>1114</v>
      </c>
      <c r="I618" s="249">
        <v>1300</v>
      </c>
      <c r="J618" s="122" t="b">
        <f>IF(ISBLANK(CertifiedCrop[[#This Row],[1. Identifiant interne d’exploitation agricole*]]),"",IF(ISERROR(MATCH(CertifiedCrop[[#This Row],[1. Identifiant interne d’exploitation agricole*]],GroupMember[1. Identifiant interne d’exploitation agricole*],0)),FALSE,TRUE))</f>
        <v>1</v>
      </c>
      <c r="K618" s="122" t="b">
        <f t="array" ref="K618">IF(ISBLANK(CertifiedCrop[[#This Row],[2. Produit agricole certifié*]]),"",IF(ISERROR(MATCH(1,(#REF!=CertifiedCrop[[#This Row],[2. Produit agricole certifié*]])*(#REF!=CertifiedCrop[[#This Row],[3. Variété**]]),0)),FALSE,TRUE))</f>
        <v>0</v>
      </c>
      <c r="L618" s="20" t="str">
        <f t="shared" si="45"/>
        <v/>
      </c>
      <c r="M618" s="54" t="str">
        <f t="shared" si="46"/>
        <v/>
      </c>
      <c r="N618" s="54" t="str">
        <f t="shared" si="47"/>
        <v/>
      </c>
      <c r="O618" s="55">
        <f t="shared" si="48"/>
        <v>629.5454545454545</v>
      </c>
      <c r="P618" s="55">
        <f t="shared" si="49"/>
        <v>614.5454545454545</v>
      </c>
      <c r="Q618" s="9" t="str">
        <f ca="1">IFERROR((VLOOKUP(A618,GM_Table,8,FALSE)-SUMIFS(D:D,A:A,A618,B:B,B618,C:C,C618)),"")</f>
        <v/>
      </c>
      <c r="R618" s="9" t="str">
        <f ca="1">IFERROR(CONCATENATE(VLOOKUP(A618,GM_Table,12,FALSE)," ",(VLOOKUP(A618,GM_Table,13,FALSE))),"")</f>
        <v/>
      </c>
    </row>
    <row r="619" spans="1:18" ht="15" x14ac:dyDescent="0.2">
      <c r="A619" s="193" t="s">
        <v>2382</v>
      </c>
      <c r="B619" s="9" t="s">
        <v>3290</v>
      </c>
      <c r="C619" s="9" t="s">
        <v>3291</v>
      </c>
      <c r="D619" s="252">
        <v>0.51</v>
      </c>
      <c r="E619" s="221">
        <v>315</v>
      </c>
      <c r="F619" s="246">
        <v>306</v>
      </c>
      <c r="G619" s="247">
        <v>118</v>
      </c>
      <c r="H619" s="248">
        <v>254</v>
      </c>
      <c r="I619" s="249">
        <v>300</v>
      </c>
      <c r="J619" s="122" t="b">
        <f>IF(ISBLANK(CertifiedCrop[[#This Row],[1. Identifiant interne d’exploitation agricole*]]),"",IF(ISERROR(MATCH(CertifiedCrop[[#This Row],[1. Identifiant interne d’exploitation agricole*]],GroupMember[1. Identifiant interne d’exploitation agricole*],0)),FALSE,TRUE))</f>
        <v>1</v>
      </c>
      <c r="K619" s="122" t="b">
        <f t="array" ref="K619">IF(ISBLANK(CertifiedCrop[[#This Row],[2. Produit agricole certifié*]]),"",IF(ISERROR(MATCH(1,(#REF!=CertifiedCrop[[#This Row],[2. Produit agricole certifié*]])*(#REF!=CertifiedCrop[[#This Row],[3. Variété**]]),0)),FALSE,TRUE))</f>
        <v>0</v>
      </c>
      <c r="L619" s="20" t="str">
        <f t="shared" si="45"/>
        <v/>
      </c>
      <c r="M619" s="54" t="str">
        <f t="shared" si="46"/>
        <v>!</v>
      </c>
      <c r="N619" s="54" t="str">
        <f t="shared" si="47"/>
        <v>!</v>
      </c>
      <c r="O619" s="55">
        <f t="shared" si="48"/>
        <v>617.64705882352939</v>
      </c>
      <c r="P619" s="55">
        <f t="shared" si="49"/>
        <v>600</v>
      </c>
      <c r="Q619" s="9" t="str">
        <f ca="1">IFERROR((VLOOKUP(A619,GM_Table,8,FALSE)-SUMIFS(D:D,A:A,A619,B:B,B619,C:C,C619)),"")</f>
        <v/>
      </c>
      <c r="R619" s="9" t="str">
        <f ca="1">IFERROR(CONCATENATE(VLOOKUP(A619,GM_Table,12,FALSE)," ",(VLOOKUP(A619,GM_Table,13,FALSE))),"")</f>
        <v/>
      </c>
    </row>
    <row r="620" spans="1:18" ht="15" x14ac:dyDescent="0.2">
      <c r="A620" s="193" t="s">
        <v>2384</v>
      </c>
      <c r="B620" s="9" t="s">
        <v>3290</v>
      </c>
      <c r="C620" s="9" t="s">
        <v>3291</v>
      </c>
      <c r="D620" s="252">
        <v>11.32</v>
      </c>
      <c r="E620" s="245">
        <v>7161</v>
      </c>
      <c r="F620" s="246">
        <v>6902</v>
      </c>
      <c r="G620" s="247">
        <v>6902</v>
      </c>
      <c r="H620" s="248">
        <v>5352</v>
      </c>
      <c r="I620" s="249">
        <v>7200</v>
      </c>
      <c r="J620" s="122" t="b">
        <f>IF(ISBLANK(CertifiedCrop[[#This Row],[1. Identifiant interne d’exploitation agricole*]]),"",IF(ISERROR(MATCH(CertifiedCrop[[#This Row],[1. Identifiant interne d’exploitation agricole*]],GroupMember[1. Identifiant interne d’exploitation agricole*],0)),FALSE,TRUE))</f>
        <v>1</v>
      </c>
      <c r="K620" s="122" t="b">
        <f t="array" ref="K620">IF(ISBLANK(CertifiedCrop[[#This Row],[2. Produit agricole certifié*]]),"",IF(ISERROR(MATCH(1,(#REF!=CertifiedCrop[[#This Row],[2. Produit agricole certifié*]])*(#REF!=CertifiedCrop[[#This Row],[3. Variété**]]),0)),FALSE,TRUE))</f>
        <v>0</v>
      </c>
      <c r="L620" s="20" t="str">
        <f t="shared" si="45"/>
        <v/>
      </c>
      <c r="M620" s="54" t="str">
        <f t="shared" si="46"/>
        <v/>
      </c>
      <c r="N620" s="54" t="str">
        <f t="shared" si="47"/>
        <v>!</v>
      </c>
      <c r="O620" s="55">
        <f t="shared" si="48"/>
        <v>632.59717314487636</v>
      </c>
      <c r="P620" s="55">
        <f t="shared" si="49"/>
        <v>609.71731448763251</v>
      </c>
      <c r="Q620" s="9" t="str">
        <f ca="1">IFERROR((VLOOKUP(A620,GM_Table,8,FALSE)-SUMIFS(D:D,A:A,A620,B:B,B620,C:C,C620)),"")</f>
        <v/>
      </c>
      <c r="R620" s="9" t="str">
        <f ca="1">IFERROR(CONCATENATE(VLOOKUP(A620,GM_Table,12,FALSE)," ",(VLOOKUP(A620,GM_Table,13,FALSE))),"")</f>
        <v/>
      </c>
    </row>
    <row r="621" spans="1:18" ht="15" x14ac:dyDescent="0.2">
      <c r="A621" s="193" t="s">
        <v>2386</v>
      </c>
      <c r="B621" s="9" t="s">
        <v>3290</v>
      </c>
      <c r="C621" s="9" t="s">
        <v>3291</v>
      </c>
      <c r="D621" s="252">
        <v>0.9</v>
      </c>
      <c r="E621" s="221">
        <v>532</v>
      </c>
      <c r="F621" s="246">
        <v>511</v>
      </c>
      <c r="G621" s="247">
        <v>106</v>
      </c>
      <c r="H621" s="248">
        <v>241</v>
      </c>
      <c r="I621" s="249">
        <v>500</v>
      </c>
      <c r="J621" s="122" t="b">
        <f>IF(ISBLANK(CertifiedCrop[[#This Row],[1. Identifiant interne d’exploitation agricole*]]),"",IF(ISERROR(MATCH(CertifiedCrop[[#This Row],[1. Identifiant interne d’exploitation agricole*]],GroupMember[1. Identifiant interne d’exploitation agricole*],0)),FALSE,TRUE))</f>
        <v>1</v>
      </c>
      <c r="K621" s="122" t="b">
        <f t="array" ref="K621">IF(ISBLANK(CertifiedCrop[[#This Row],[2. Produit agricole certifié*]]),"",IF(ISERROR(MATCH(1,(#REF!=CertifiedCrop[[#This Row],[2. Produit agricole certifié*]])*(#REF!=CertifiedCrop[[#This Row],[3. Variété**]]),0)),FALSE,TRUE))</f>
        <v>0</v>
      </c>
      <c r="L621" s="20" t="str">
        <f t="shared" si="45"/>
        <v/>
      </c>
      <c r="M621" s="54" t="str">
        <f t="shared" si="46"/>
        <v>!</v>
      </c>
      <c r="N621" s="54" t="str">
        <f t="shared" si="47"/>
        <v>!</v>
      </c>
      <c r="O621" s="55">
        <f t="shared" si="48"/>
        <v>591.11111111111109</v>
      </c>
      <c r="P621" s="55">
        <f t="shared" si="49"/>
        <v>567.77777777777771</v>
      </c>
      <c r="Q621" s="9" t="str">
        <f ca="1">IFERROR((VLOOKUP(A621,GM_Table,8,FALSE)-SUMIFS(D:D,A:A,A621,B:B,B621,C:C,C621)),"")</f>
        <v/>
      </c>
      <c r="R621" s="9" t="str">
        <f ca="1">IFERROR(CONCATENATE(VLOOKUP(A621,GM_Table,12,FALSE)," ",(VLOOKUP(A621,GM_Table,13,FALSE))),"")</f>
        <v/>
      </c>
    </row>
    <row r="622" spans="1:18" ht="15" x14ac:dyDescent="0.2">
      <c r="A622" s="193" t="s">
        <v>2389</v>
      </c>
      <c r="B622" s="9" t="s">
        <v>3290</v>
      </c>
      <c r="C622" s="9" t="s">
        <v>3291</v>
      </c>
      <c r="D622" s="252">
        <v>1.64</v>
      </c>
      <c r="E622" s="221">
        <v>952</v>
      </c>
      <c r="F622" s="246">
        <v>914</v>
      </c>
      <c r="G622" s="247">
        <v>414</v>
      </c>
      <c r="H622" s="248">
        <v>752</v>
      </c>
      <c r="I622" s="249">
        <v>1000</v>
      </c>
      <c r="J622" s="122" t="b">
        <f>IF(ISBLANK(CertifiedCrop[[#This Row],[1. Identifiant interne d’exploitation agricole*]]),"",IF(ISERROR(MATCH(CertifiedCrop[[#This Row],[1. Identifiant interne d’exploitation agricole*]],GroupMember[1. Identifiant interne d’exploitation agricole*],0)),FALSE,TRUE))</f>
        <v>1</v>
      </c>
      <c r="K622" s="122" t="b">
        <f t="array" ref="K622">IF(ISBLANK(CertifiedCrop[[#This Row],[2. Produit agricole certifié*]]),"",IF(ISERROR(MATCH(1,(#REF!=CertifiedCrop[[#This Row],[2. Produit agricole certifié*]])*(#REF!=CertifiedCrop[[#This Row],[3. Variété**]]),0)),FALSE,TRUE))</f>
        <v>0</v>
      </c>
      <c r="L622" s="20" t="str">
        <f t="shared" si="45"/>
        <v/>
      </c>
      <c r="M622" s="54" t="str">
        <f t="shared" si="46"/>
        <v>!</v>
      </c>
      <c r="N622" s="54" t="str">
        <f t="shared" si="47"/>
        <v>!</v>
      </c>
      <c r="O622" s="55">
        <f t="shared" si="48"/>
        <v>580.48780487804879</v>
      </c>
      <c r="P622" s="55">
        <f t="shared" si="49"/>
        <v>557.31707317073176</v>
      </c>
      <c r="Q622" s="9" t="str">
        <f ca="1">IFERROR((VLOOKUP(A622,GM_Table,8,FALSE)-SUMIFS(D:D,A:A,A622,B:B,B622,C:C,C622)),"")</f>
        <v/>
      </c>
      <c r="R622" s="9" t="str">
        <f ca="1">IFERROR(CONCATENATE(VLOOKUP(A622,GM_Table,12,FALSE)," ",(VLOOKUP(A622,GM_Table,13,FALSE))),"")</f>
        <v/>
      </c>
    </row>
    <row r="623" spans="1:18" ht="15" x14ac:dyDescent="0.2">
      <c r="A623" s="193" t="s">
        <v>2390</v>
      </c>
      <c r="B623" s="9" t="s">
        <v>3290</v>
      </c>
      <c r="C623" s="9" t="s">
        <v>3291</v>
      </c>
      <c r="D623" s="252">
        <v>1.47</v>
      </c>
      <c r="E623" s="221">
        <v>847</v>
      </c>
      <c r="F623" s="246">
        <v>815</v>
      </c>
      <c r="G623" s="247">
        <v>421</v>
      </c>
      <c r="H623" s="248">
        <v>421</v>
      </c>
      <c r="I623" s="249">
        <v>900</v>
      </c>
      <c r="J623" s="122" t="b">
        <f>IF(ISBLANK(CertifiedCrop[[#This Row],[1. Identifiant interne d’exploitation agricole*]]),"",IF(ISERROR(MATCH(CertifiedCrop[[#This Row],[1. Identifiant interne d’exploitation agricole*]],GroupMember[1. Identifiant interne d’exploitation agricole*],0)),FALSE,TRUE))</f>
        <v>1</v>
      </c>
      <c r="K623" s="122" t="b">
        <f t="array" ref="K623">IF(ISBLANK(CertifiedCrop[[#This Row],[2. Produit agricole certifié*]]),"",IF(ISERROR(MATCH(1,(#REF!=CertifiedCrop[[#This Row],[2. Produit agricole certifié*]])*(#REF!=CertifiedCrop[[#This Row],[3. Variété**]]),0)),FALSE,TRUE))</f>
        <v>0</v>
      </c>
      <c r="L623" s="20" t="str">
        <f t="shared" si="45"/>
        <v/>
      </c>
      <c r="M623" s="54" t="str">
        <f t="shared" si="46"/>
        <v>!</v>
      </c>
      <c r="N623" s="54" t="str">
        <f t="shared" si="47"/>
        <v/>
      </c>
      <c r="O623" s="55">
        <f t="shared" si="48"/>
        <v>576.19047619047615</v>
      </c>
      <c r="P623" s="55">
        <f t="shared" si="49"/>
        <v>554.42176870748301</v>
      </c>
      <c r="Q623" s="9" t="str">
        <f ca="1">IFERROR((VLOOKUP(A623,GM_Table,8,FALSE)-SUMIFS(D:D,A:A,A623,B:B,B623,C:C,C623)),"")</f>
        <v/>
      </c>
      <c r="R623" s="9" t="str">
        <f ca="1">IFERROR(CONCATENATE(VLOOKUP(A623,GM_Table,12,FALSE)," ",(VLOOKUP(A623,GM_Table,13,FALSE))),"")</f>
        <v/>
      </c>
    </row>
    <row r="624" spans="1:18" ht="15" x14ac:dyDescent="0.2">
      <c r="A624" s="193" t="s">
        <v>2392</v>
      </c>
      <c r="B624" s="9" t="s">
        <v>3290</v>
      </c>
      <c r="C624" s="9" t="s">
        <v>3291</v>
      </c>
      <c r="D624" s="252">
        <v>2.83</v>
      </c>
      <c r="E624" s="245">
        <v>1546</v>
      </c>
      <c r="F624" s="246">
        <v>1475</v>
      </c>
      <c r="G624" s="247">
        <v>763</v>
      </c>
      <c r="H624" s="248">
        <v>1407</v>
      </c>
      <c r="I624" s="249">
        <v>1800</v>
      </c>
      <c r="J624" s="122" t="b">
        <f>IF(ISBLANK(CertifiedCrop[[#This Row],[1. Identifiant interne d’exploitation agricole*]]),"",IF(ISERROR(MATCH(CertifiedCrop[[#This Row],[1. Identifiant interne d’exploitation agricole*]],GroupMember[1. Identifiant interne d’exploitation agricole*],0)),FALSE,TRUE))</f>
        <v>1</v>
      </c>
      <c r="K624" s="122" t="b">
        <f t="array" ref="K624">IF(ISBLANK(CertifiedCrop[[#This Row],[2. Produit agricole certifié*]]),"",IF(ISERROR(MATCH(1,(#REF!=CertifiedCrop[[#This Row],[2. Produit agricole certifié*]])*(#REF!=CertifiedCrop[[#This Row],[3. Variété**]]),0)),FALSE,TRUE))</f>
        <v>0</v>
      </c>
      <c r="L624" s="20" t="str">
        <f t="shared" si="45"/>
        <v/>
      </c>
      <c r="M624" s="54" t="str">
        <f t="shared" si="46"/>
        <v>!</v>
      </c>
      <c r="N624" s="54" t="str">
        <f t="shared" si="47"/>
        <v>!</v>
      </c>
      <c r="O624" s="55">
        <f t="shared" si="48"/>
        <v>546.28975265017664</v>
      </c>
      <c r="P624" s="55">
        <f t="shared" si="49"/>
        <v>521.20141342756187</v>
      </c>
      <c r="Q624" s="9" t="str">
        <f ca="1">IFERROR((VLOOKUP(A624,GM_Table,8,FALSE)-SUMIFS(D:D,A:A,A624,B:B,B624,C:C,C624)),"")</f>
        <v/>
      </c>
      <c r="R624" s="9" t="str">
        <f ca="1">IFERROR(CONCATENATE(VLOOKUP(A624,GM_Table,12,FALSE)," ",(VLOOKUP(A624,GM_Table,13,FALSE))),"")</f>
        <v/>
      </c>
    </row>
    <row r="625" spans="1:18" ht="15" x14ac:dyDescent="0.2">
      <c r="A625" s="193" t="s">
        <v>2395</v>
      </c>
      <c r="B625" s="9" t="s">
        <v>3290</v>
      </c>
      <c r="C625" s="9" t="s">
        <v>3291</v>
      </c>
      <c r="D625" s="252">
        <v>3.46</v>
      </c>
      <c r="E625" s="245">
        <v>2050</v>
      </c>
      <c r="F625" s="246">
        <v>1968</v>
      </c>
      <c r="G625" s="247">
        <v>1495</v>
      </c>
      <c r="H625" s="248">
        <v>1314</v>
      </c>
      <c r="I625" s="249">
        <v>2100</v>
      </c>
      <c r="J625" s="122" t="b">
        <f>IF(ISBLANK(CertifiedCrop[[#This Row],[1. Identifiant interne d’exploitation agricole*]]),"",IF(ISERROR(MATCH(CertifiedCrop[[#This Row],[1. Identifiant interne d’exploitation agricole*]],GroupMember[1. Identifiant interne d’exploitation agricole*],0)),FALSE,TRUE))</f>
        <v>1</v>
      </c>
      <c r="K625" s="122" t="b">
        <f t="array" ref="K625">IF(ISBLANK(CertifiedCrop[[#This Row],[2. Produit agricole certifié*]]),"",IF(ISERROR(MATCH(1,(#REF!=CertifiedCrop[[#This Row],[2. Produit agricole certifié*]])*(#REF!=CertifiedCrop[[#This Row],[3. Variété**]]),0)),FALSE,TRUE))</f>
        <v>0</v>
      </c>
      <c r="L625" s="20" t="str">
        <f t="shared" si="45"/>
        <v/>
      </c>
      <c r="M625" s="54" t="str">
        <f t="shared" si="46"/>
        <v>!</v>
      </c>
      <c r="N625" s="54" t="str">
        <f t="shared" si="47"/>
        <v/>
      </c>
      <c r="O625" s="55">
        <f t="shared" si="48"/>
        <v>592.48554913294799</v>
      </c>
      <c r="P625" s="55">
        <f t="shared" si="49"/>
        <v>568.78612716763007</v>
      </c>
      <c r="Q625" s="9" t="str">
        <f ca="1">IFERROR((VLOOKUP(A625,GM_Table,8,FALSE)-SUMIFS(D:D,A:A,A625,B:B,B625,C:C,C625)),"")</f>
        <v/>
      </c>
      <c r="R625" s="9" t="str">
        <f ca="1">IFERROR(CONCATENATE(VLOOKUP(A625,GM_Table,12,FALSE)," ",(VLOOKUP(A625,GM_Table,13,FALSE))),"")</f>
        <v/>
      </c>
    </row>
    <row r="626" spans="1:18" ht="15" x14ac:dyDescent="0.2">
      <c r="A626" s="193" t="s">
        <v>2397</v>
      </c>
      <c r="B626" s="9" t="s">
        <v>3290</v>
      </c>
      <c r="C626" s="9" t="s">
        <v>3291</v>
      </c>
      <c r="D626" s="252">
        <v>1.66</v>
      </c>
      <c r="E626" s="245">
        <v>1059</v>
      </c>
      <c r="F626" s="246">
        <v>989</v>
      </c>
      <c r="G626" s="247">
        <v>872</v>
      </c>
      <c r="H626" s="248">
        <v>608</v>
      </c>
      <c r="I626" s="249">
        <v>1000</v>
      </c>
      <c r="J626" s="122" t="b">
        <f>IF(ISBLANK(CertifiedCrop[[#This Row],[1. Identifiant interne d’exploitation agricole*]]),"",IF(ISERROR(MATCH(CertifiedCrop[[#This Row],[1. Identifiant interne d’exploitation agricole*]],GroupMember[1. Identifiant interne d’exploitation agricole*],0)),FALSE,TRUE))</f>
        <v>1</v>
      </c>
      <c r="K626" s="122" t="b">
        <f t="array" ref="K626">IF(ISBLANK(CertifiedCrop[[#This Row],[2. Produit agricole certifié*]]),"",IF(ISERROR(MATCH(1,(#REF!=CertifiedCrop[[#This Row],[2. Produit agricole certifié*]])*(#REF!=CertifiedCrop[[#This Row],[3. Variété**]]),0)),FALSE,TRUE))</f>
        <v>0</v>
      </c>
      <c r="L626" s="20" t="str">
        <f t="shared" si="45"/>
        <v/>
      </c>
      <c r="M626" s="54" t="str">
        <f t="shared" si="46"/>
        <v/>
      </c>
      <c r="N626" s="54" t="str">
        <f t="shared" si="47"/>
        <v>!</v>
      </c>
      <c r="O626" s="55">
        <f t="shared" si="48"/>
        <v>637.95180722891564</v>
      </c>
      <c r="P626" s="55">
        <f t="shared" si="49"/>
        <v>595.7831325301205</v>
      </c>
      <c r="Q626" s="9" t="str">
        <f ca="1">IFERROR((VLOOKUP(A626,GM_Table,8,FALSE)-SUMIFS(D:D,A:A,A626,B:B,B626,C:C,C626)),"")</f>
        <v/>
      </c>
      <c r="R626" s="9" t="str">
        <f ca="1">IFERROR(CONCATENATE(VLOOKUP(A626,GM_Table,12,FALSE)," ",(VLOOKUP(A626,GM_Table,13,FALSE))),"")</f>
        <v/>
      </c>
    </row>
    <row r="627" spans="1:18" ht="15" x14ac:dyDescent="0.2">
      <c r="A627" s="193" t="s">
        <v>2399</v>
      </c>
      <c r="B627" s="9" t="s">
        <v>3290</v>
      </c>
      <c r="C627" s="9" t="s">
        <v>3291</v>
      </c>
      <c r="D627" s="252">
        <v>2.0099999999999998</v>
      </c>
      <c r="E627" s="245">
        <v>1267</v>
      </c>
      <c r="F627" s="246">
        <v>1155</v>
      </c>
      <c r="G627" s="247">
        <v>1155</v>
      </c>
      <c r="H627" s="248">
        <v>782</v>
      </c>
      <c r="I627" s="249">
        <v>1200</v>
      </c>
      <c r="J627" s="122" t="b">
        <f>IF(ISBLANK(CertifiedCrop[[#This Row],[1. Identifiant interne d’exploitation agricole*]]),"",IF(ISERROR(MATCH(CertifiedCrop[[#This Row],[1. Identifiant interne d’exploitation agricole*]],GroupMember[1. Identifiant interne d’exploitation agricole*],0)),FALSE,TRUE))</f>
        <v>1</v>
      </c>
      <c r="K627" s="122" t="b">
        <f t="array" ref="K627">IF(ISBLANK(CertifiedCrop[[#This Row],[2. Produit agricole certifié*]]),"",IF(ISERROR(MATCH(1,(#REF!=CertifiedCrop[[#This Row],[2. Produit agricole certifié*]])*(#REF!=CertifiedCrop[[#This Row],[3. Variété**]]),0)),FALSE,TRUE))</f>
        <v>0</v>
      </c>
      <c r="L627" s="20" t="str">
        <f t="shared" ref="L627:L690" si="50">IF((F627-G627)&lt;0,"!","")</f>
        <v/>
      </c>
      <c r="M627" s="54" t="str">
        <f t="shared" ref="M627:M690" si="51">IFERROR(IF((F627-G627)/G627&gt;25%,"!",IF((F627-G627)/G627&lt;-25%,"!","")),"")</f>
        <v/>
      </c>
      <c r="N627" s="54" t="str">
        <f t="shared" ref="N627:N690" si="52">IFERROR(IF((G627-H627)/H627&gt;25%,"!",IF((G627-H627)/H627&lt;-25%,"!","")),"")</f>
        <v>!</v>
      </c>
      <c r="O627" s="55">
        <f t="shared" ref="O627:O690" si="53">IFERROR(E627/D627,"")</f>
        <v>630.34825870646773</v>
      </c>
      <c r="P627" s="55">
        <f t="shared" ref="P627:P690" si="54">IFERROR(F627/D627,"")</f>
        <v>574.62686567164189</v>
      </c>
      <c r="Q627" s="9" t="str">
        <f ca="1">IFERROR((VLOOKUP(A627,GM_Table,8,FALSE)-SUMIFS(D:D,A:A,A627,B:B,B627,C:C,C627)),"")</f>
        <v/>
      </c>
      <c r="R627" s="9" t="str">
        <f ca="1">IFERROR(CONCATENATE(VLOOKUP(A627,GM_Table,12,FALSE)," ",(VLOOKUP(A627,GM_Table,13,FALSE))),"")</f>
        <v/>
      </c>
    </row>
    <row r="628" spans="1:18" ht="15" x14ac:dyDescent="0.2">
      <c r="A628" s="193" t="s">
        <v>2402</v>
      </c>
      <c r="B628" s="9" t="s">
        <v>3290</v>
      </c>
      <c r="C628" s="9" t="s">
        <v>3291</v>
      </c>
      <c r="D628" s="252">
        <v>2.17</v>
      </c>
      <c r="E628" s="245">
        <v>1181</v>
      </c>
      <c r="F628" s="246">
        <v>1085</v>
      </c>
      <c r="G628" s="247">
        <v>771</v>
      </c>
      <c r="H628" s="248">
        <v>1119</v>
      </c>
      <c r="I628" s="249">
        <v>1200</v>
      </c>
      <c r="J628" s="122" t="b">
        <f>IF(ISBLANK(CertifiedCrop[[#This Row],[1. Identifiant interne d’exploitation agricole*]]),"",IF(ISERROR(MATCH(CertifiedCrop[[#This Row],[1. Identifiant interne d’exploitation agricole*]],GroupMember[1. Identifiant interne d’exploitation agricole*],0)),FALSE,TRUE))</f>
        <v>1</v>
      </c>
      <c r="K628" s="122" t="b">
        <f t="array" ref="K628">IF(ISBLANK(CertifiedCrop[[#This Row],[2. Produit agricole certifié*]]),"",IF(ISERROR(MATCH(1,(#REF!=CertifiedCrop[[#This Row],[2. Produit agricole certifié*]])*(#REF!=CertifiedCrop[[#This Row],[3. Variété**]]),0)),FALSE,TRUE))</f>
        <v>0</v>
      </c>
      <c r="L628" s="20" t="str">
        <f t="shared" si="50"/>
        <v/>
      </c>
      <c r="M628" s="54" t="str">
        <f t="shared" si="51"/>
        <v>!</v>
      </c>
      <c r="N628" s="54" t="str">
        <f t="shared" si="52"/>
        <v>!</v>
      </c>
      <c r="O628" s="55">
        <f t="shared" si="53"/>
        <v>544.23963133640552</v>
      </c>
      <c r="P628" s="55">
        <f t="shared" si="54"/>
        <v>500</v>
      </c>
      <c r="Q628" s="9" t="str">
        <f ca="1">IFERROR((VLOOKUP(A628,GM_Table,8,FALSE)-SUMIFS(D:D,A:A,A628,B:B,B628,C:C,C628)),"")</f>
        <v/>
      </c>
      <c r="R628" s="9" t="str">
        <f ca="1">IFERROR(CONCATENATE(VLOOKUP(A628,GM_Table,12,FALSE)," ",(VLOOKUP(A628,GM_Table,13,FALSE))),"")</f>
        <v/>
      </c>
    </row>
    <row r="629" spans="1:18" ht="15" x14ac:dyDescent="0.2">
      <c r="A629" s="193" t="s">
        <v>2404</v>
      </c>
      <c r="B629" s="9" t="s">
        <v>3290</v>
      </c>
      <c r="C629" s="9" t="s">
        <v>3291</v>
      </c>
      <c r="D629" s="252">
        <v>2.62</v>
      </c>
      <c r="E629" s="245">
        <v>1445</v>
      </c>
      <c r="F629" s="246">
        <v>1396</v>
      </c>
      <c r="G629" s="247">
        <v>838</v>
      </c>
      <c r="H629" s="248">
        <v>1273</v>
      </c>
      <c r="I629" s="249">
        <v>1500</v>
      </c>
      <c r="J629" s="122" t="b">
        <f>IF(ISBLANK(CertifiedCrop[[#This Row],[1. Identifiant interne d’exploitation agricole*]]),"",IF(ISERROR(MATCH(CertifiedCrop[[#This Row],[1. Identifiant interne d’exploitation agricole*]],GroupMember[1. Identifiant interne d’exploitation agricole*],0)),FALSE,TRUE))</f>
        <v>1</v>
      </c>
      <c r="K629" s="122" t="b">
        <f t="array" ref="K629">IF(ISBLANK(CertifiedCrop[[#This Row],[2. Produit agricole certifié*]]),"",IF(ISERROR(MATCH(1,(#REF!=CertifiedCrop[[#This Row],[2. Produit agricole certifié*]])*(#REF!=CertifiedCrop[[#This Row],[3. Variété**]]),0)),FALSE,TRUE))</f>
        <v>0</v>
      </c>
      <c r="L629" s="20" t="str">
        <f t="shared" si="50"/>
        <v/>
      </c>
      <c r="M629" s="54" t="str">
        <f t="shared" si="51"/>
        <v>!</v>
      </c>
      <c r="N629" s="54" t="str">
        <f t="shared" si="52"/>
        <v>!</v>
      </c>
      <c r="O629" s="55">
        <f t="shared" si="53"/>
        <v>551.52671755725191</v>
      </c>
      <c r="P629" s="55">
        <f t="shared" si="54"/>
        <v>532.82442748091603</v>
      </c>
      <c r="Q629" s="9" t="str">
        <f ca="1">IFERROR((VLOOKUP(A629,GM_Table,8,FALSE)-SUMIFS(D:D,A:A,A629,B:B,B629,C:C,C629)),"")</f>
        <v/>
      </c>
      <c r="R629" s="9" t="str">
        <f ca="1">IFERROR(CONCATENATE(VLOOKUP(A629,GM_Table,12,FALSE)," ",(VLOOKUP(A629,GM_Table,13,FALSE))),"")</f>
        <v/>
      </c>
    </row>
    <row r="630" spans="1:18" ht="15" x14ac:dyDescent="0.2">
      <c r="A630" s="193" t="s">
        <v>2407</v>
      </c>
      <c r="B630" s="9" t="s">
        <v>3290</v>
      </c>
      <c r="C630" s="9" t="s">
        <v>3291</v>
      </c>
      <c r="D630" s="252">
        <v>3.92</v>
      </c>
      <c r="E630" s="245">
        <v>2354</v>
      </c>
      <c r="F630" s="246">
        <v>2285</v>
      </c>
      <c r="G630" s="247">
        <v>1791</v>
      </c>
      <c r="H630" s="248">
        <v>2156</v>
      </c>
      <c r="I630" s="249">
        <v>2300</v>
      </c>
      <c r="J630" s="122" t="b">
        <f>IF(ISBLANK(CertifiedCrop[[#This Row],[1. Identifiant interne d’exploitation agricole*]]),"",IF(ISERROR(MATCH(CertifiedCrop[[#This Row],[1. Identifiant interne d’exploitation agricole*]],GroupMember[1. Identifiant interne d’exploitation agricole*],0)),FALSE,TRUE))</f>
        <v>1</v>
      </c>
      <c r="K630" s="122" t="b">
        <f t="array" ref="K630">IF(ISBLANK(CertifiedCrop[[#This Row],[2. Produit agricole certifié*]]),"",IF(ISERROR(MATCH(1,(#REF!=CertifiedCrop[[#This Row],[2. Produit agricole certifié*]])*(#REF!=CertifiedCrop[[#This Row],[3. Variété**]]),0)),FALSE,TRUE))</f>
        <v>0</v>
      </c>
      <c r="L630" s="20" t="str">
        <f t="shared" si="50"/>
        <v/>
      </c>
      <c r="M630" s="54" t="str">
        <f t="shared" si="51"/>
        <v>!</v>
      </c>
      <c r="N630" s="54" t="str">
        <f t="shared" si="52"/>
        <v/>
      </c>
      <c r="O630" s="55">
        <f t="shared" si="53"/>
        <v>600.51020408163265</v>
      </c>
      <c r="P630" s="55">
        <f t="shared" si="54"/>
        <v>582.90816326530614</v>
      </c>
      <c r="Q630" s="9" t="str">
        <f ca="1">IFERROR((VLOOKUP(A630,GM_Table,8,FALSE)-SUMIFS(D:D,A:A,A630,B:B,B630,C:C,C630)),"")</f>
        <v/>
      </c>
      <c r="R630" s="9" t="str">
        <f ca="1">IFERROR(CONCATENATE(VLOOKUP(A630,GM_Table,12,FALSE)," ",(VLOOKUP(A630,GM_Table,13,FALSE))),"")</f>
        <v/>
      </c>
    </row>
    <row r="631" spans="1:18" ht="15" x14ac:dyDescent="0.2">
      <c r="A631" s="193" t="s">
        <v>2408</v>
      </c>
      <c r="B631" s="9" t="s">
        <v>3290</v>
      </c>
      <c r="C631" s="9" t="s">
        <v>3291</v>
      </c>
      <c r="D631" s="252">
        <v>2.1800000000000002</v>
      </c>
      <c r="E631" s="245">
        <v>1261</v>
      </c>
      <c r="F631" s="246">
        <v>1206</v>
      </c>
      <c r="G631" s="247">
        <v>606</v>
      </c>
      <c r="H631" s="248">
        <v>721</v>
      </c>
      <c r="I631" s="249">
        <v>1200</v>
      </c>
      <c r="J631" s="122" t="b">
        <f>IF(ISBLANK(CertifiedCrop[[#This Row],[1. Identifiant interne d’exploitation agricole*]]),"",IF(ISERROR(MATCH(CertifiedCrop[[#This Row],[1. Identifiant interne d’exploitation agricole*]],GroupMember[1. Identifiant interne d’exploitation agricole*],0)),FALSE,TRUE))</f>
        <v>1</v>
      </c>
      <c r="K631" s="122" t="b">
        <f t="array" ref="K631">IF(ISBLANK(CertifiedCrop[[#This Row],[2. Produit agricole certifié*]]),"",IF(ISERROR(MATCH(1,(#REF!=CertifiedCrop[[#This Row],[2. Produit agricole certifié*]])*(#REF!=CertifiedCrop[[#This Row],[3. Variété**]]),0)),FALSE,TRUE))</f>
        <v>0</v>
      </c>
      <c r="L631" s="20" t="str">
        <f t="shared" si="50"/>
        <v/>
      </c>
      <c r="M631" s="54" t="str">
        <f t="shared" si="51"/>
        <v>!</v>
      </c>
      <c r="N631" s="54" t="str">
        <f t="shared" si="52"/>
        <v/>
      </c>
      <c r="O631" s="55">
        <f t="shared" si="53"/>
        <v>578.44036697247702</v>
      </c>
      <c r="P631" s="55">
        <f t="shared" si="54"/>
        <v>553.21100917431193</v>
      </c>
      <c r="Q631" s="9" t="str">
        <f ca="1">IFERROR((VLOOKUP(A631,GM_Table,8,FALSE)-SUMIFS(D:D,A:A,A631,B:B,B631,C:C,C631)),"")</f>
        <v/>
      </c>
      <c r="R631" s="9" t="str">
        <f ca="1">IFERROR(CONCATENATE(VLOOKUP(A631,GM_Table,12,FALSE)," ",(VLOOKUP(A631,GM_Table,13,FALSE))),"")</f>
        <v/>
      </c>
    </row>
    <row r="632" spans="1:18" ht="15" x14ac:dyDescent="0.2">
      <c r="A632" s="193" t="s">
        <v>2410</v>
      </c>
      <c r="B632" s="9" t="s">
        <v>3290</v>
      </c>
      <c r="C632" s="9" t="s">
        <v>3291</v>
      </c>
      <c r="D632" s="252">
        <v>3.84</v>
      </c>
      <c r="E632" s="245">
        <v>2098</v>
      </c>
      <c r="F632" s="246">
        <v>2012</v>
      </c>
      <c r="G632" s="247">
        <v>2012</v>
      </c>
      <c r="H632" s="248">
        <v>1456</v>
      </c>
      <c r="I632" s="249">
        <v>2300</v>
      </c>
      <c r="J632" s="122" t="b">
        <f>IF(ISBLANK(CertifiedCrop[[#This Row],[1. Identifiant interne d’exploitation agricole*]]),"",IF(ISERROR(MATCH(CertifiedCrop[[#This Row],[1. Identifiant interne d’exploitation agricole*]],GroupMember[1. Identifiant interne d’exploitation agricole*],0)),FALSE,TRUE))</f>
        <v>1</v>
      </c>
      <c r="K632" s="122" t="b">
        <f t="array" ref="K632">IF(ISBLANK(CertifiedCrop[[#This Row],[2. Produit agricole certifié*]]),"",IF(ISERROR(MATCH(1,(#REF!=CertifiedCrop[[#This Row],[2. Produit agricole certifié*]])*(#REF!=CertifiedCrop[[#This Row],[3. Variété**]]),0)),FALSE,TRUE))</f>
        <v>0</v>
      </c>
      <c r="L632" s="20" t="str">
        <f t="shared" si="50"/>
        <v/>
      </c>
      <c r="M632" s="54" t="str">
        <f t="shared" si="51"/>
        <v/>
      </c>
      <c r="N632" s="54" t="str">
        <f t="shared" si="52"/>
        <v>!</v>
      </c>
      <c r="O632" s="55">
        <f t="shared" si="53"/>
        <v>546.35416666666674</v>
      </c>
      <c r="P632" s="55">
        <f t="shared" si="54"/>
        <v>523.95833333333337</v>
      </c>
      <c r="Q632" s="9" t="str">
        <f ca="1">IFERROR((VLOOKUP(A632,GM_Table,8,FALSE)-SUMIFS(D:D,A:A,A632,B:B,B632,C:C,C632)),"")</f>
        <v/>
      </c>
      <c r="R632" s="9" t="str">
        <f ca="1">IFERROR(CONCATENATE(VLOOKUP(A632,GM_Table,12,FALSE)," ",(VLOOKUP(A632,GM_Table,13,FALSE))),"")</f>
        <v/>
      </c>
    </row>
    <row r="633" spans="1:18" ht="15" x14ac:dyDescent="0.2">
      <c r="A633" s="193" t="s">
        <v>2412</v>
      </c>
      <c r="B633" s="9" t="s">
        <v>3290</v>
      </c>
      <c r="C633" s="9" t="s">
        <v>3291</v>
      </c>
      <c r="D633" s="252">
        <v>1.48</v>
      </c>
      <c r="E633" s="221">
        <v>849</v>
      </c>
      <c r="F633" s="246">
        <v>816</v>
      </c>
      <c r="G633" s="247">
        <v>549</v>
      </c>
      <c r="H633" s="248">
        <v>549</v>
      </c>
      <c r="I633" s="249">
        <v>900</v>
      </c>
      <c r="J633" s="122" t="b">
        <f>IF(ISBLANK(CertifiedCrop[[#This Row],[1. Identifiant interne d’exploitation agricole*]]),"",IF(ISERROR(MATCH(CertifiedCrop[[#This Row],[1. Identifiant interne d’exploitation agricole*]],GroupMember[1. Identifiant interne d’exploitation agricole*],0)),FALSE,TRUE))</f>
        <v>1</v>
      </c>
      <c r="K633" s="122" t="b">
        <f t="array" ref="K633">IF(ISBLANK(CertifiedCrop[[#This Row],[2. Produit agricole certifié*]]),"",IF(ISERROR(MATCH(1,(#REF!=CertifiedCrop[[#This Row],[2. Produit agricole certifié*]])*(#REF!=CertifiedCrop[[#This Row],[3. Variété**]]),0)),FALSE,TRUE))</f>
        <v>0</v>
      </c>
      <c r="L633" s="20" t="str">
        <f t="shared" si="50"/>
        <v/>
      </c>
      <c r="M633" s="54" t="str">
        <f t="shared" si="51"/>
        <v>!</v>
      </c>
      <c r="N633" s="54" t="str">
        <f t="shared" si="52"/>
        <v/>
      </c>
      <c r="O633" s="55">
        <f t="shared" si="53"/>
        <v>573.64864864864865</v>
      </c>
      <c r="P633" s="55">
        <f t="shared" si="54"/>
        <v>551.35135135135135</v>
      </c>
      <c r="Q633" s="9" t="str">
        <f ca="1">IFERROR((VLOOKUP(A633,GM_Table,8,FALSE)-SUMIFS(D:D,A:A,A633,B:B,B633,C:C,C633)),"")</f>
        <v/>
      </c>
      <c r="R633" s="9" t="str">
        <f ca="1">IFERROR(CONCATENATE(VLOOKUP(A633,GM_Table,12,FALSE)," ",(VLOOKUP(A633,GM_Table,13,FALSE))),"")</f>
        <v/>
      </c>
    </row>
    <row r="634" spans="1:18" ht="15" x14ac:dyDescent="0.2">
      <c r="A634" s="193" t="s">
        <v>2414</v>
      </c>
      <c r="B634" s="9" t="s">
        <v>3290</v>
      </c>
      <c r="C634" s="9" t="s">
        <v>3291</v>
      </c>
      <c r="D634" s="252">
        <v>2.67</v>
      </c>
      <c r="E634" s="245">
        <v>1513</v>
      </c>
      <c r="F634" s="246">
        <v>1452</v>
      </c>
      <c r="G634" s="247">
        <v>864</v>
      </c>
      <c r="H634" s="248">
        <v>1227</v>
      </c>
      <c r="I634" s="249">
        <v>1600</v>
      </c>
      <c r="J634" s="122" t="b">
        <f>IF(ISBLANK(CertifiedCrop[[#This Row],[1. Identifiant interne d’exploitation agricole*]]),"",IF(ISERROR(MATCH(CertifiedCrop[[#This Row],[1. Identifiant interne d’exploitation agricole*]],GroupMember[1. Identifiant interne d’exploitation agricole*],0)),FALSE,TRUE))</f>
        <v>1</v>
      </c>
      <c r="K634" s="122" t="b">
        <f t="array" ref="K634">IF(ISBLANK(CertifiedCrop[[#This Row],[2. Produit agricole certifié*]]),"",IF(ISERROR(MATCH(1,(#REF!=CertifiedCrop[[#This Row],[2. Produit agricole certifié*]])*(#REF!=CertifiedCrop[[#This Row],[3. Variété**]]),0)),FALSE,TRUE))</f>
        <v>0</v>
      </c>
      <c r="L634" s="20" t="str">
        <f t="shared" si="50"/>
        <v/>
      </c>
      <c r="M634" s="54" t="str">
        <f t="shared" si="51"/>
        <v>!</v>
      </c>
      <c r="N634" s="54" t="str">
        <f t="shared" si="52"/>
        <v>!</v>
      </c>
      <c r="O634" s="55">
        <f t="shared" si="53"/>
        <v>566.66666666666663</v>
      </c>
      <c r="P634" s="55">
        <f t="shared" si="54"/>
        <v>543.82022471910113</v>
      </c>
      <c r="Q634" s="9" t="str">
        <f ca="1">IFERROR((VLOOKUP(A634,GM_Table,8,FALSE)-SUMIFS(D:D,A:A,A634,B:B,B634,C:C,C634)),"")</f>
        <v/>
      </c>
      <c r="R634" s="9" t="str">
        <f ca="1">IFERROR(CONCATENATE(VLOOKUP(A634,GM_Table,12,FALSE)," ",(VLOOKUP(A634,GM_Table,13,FALSE))),"")</f>
        <v/>
      </c>
    </row>
    <row r="635" spans="1:18" ht="15" x14ac:dyDescent="0.2">
      <c r="A635" s="193" t="s">
        <v>2416</v>
      </c>
      <c r="B635" s="9" t="s">
        <v>3290</v>
      </c>
      <c r="C635" s="9" t="s">
        <v>3291</v>
      </c>
      <c r="D635" s="252">
        <v>3.06</v>
      </c>
      <c r="E635" s="245">
        <v>1770</v>
      </c>
      <c r="F635" s="246">
        <v>1685</v>
      </c>
      <c r="G635" s="247">
        <v>789</v>
      </c>
      <c r="H635" s="248">
        <v>896</v>
      </c>
      <c r="I635" s="249">
        <v>1800</v>
      </c>
      <c r="J635" s="122" t="b">
        <f>IF(ISBLANK(CertifiedCrop[[#This Row],[1. Identifiant interne d’exploitation agricole*]]),"",IF(ISERROR(MATCH(CertifiedCrop[[#This Row],[1. Identifiant interne d’exploitation agricole*]],GroupMember[1. Identifiant interne d’exploitation agricole*],0)),FALSE,TRUE))</f>
        <v>1</v>
      </c>
      <c r="K635" s="122" t="b">
        <f t="array" ref="K635">IF(ISBLANK(CertifiedCrop[[#This Row],[2. Produit agricole certifié*]]),"",IF(ISERROR(MATCH(1,(#REF!=CertifiedCrop[[#This Row],[2. Produit agricole certifié*]])*(#REF!=CertifiedCrop[[#This Row],[3. Variété**]]),0)),FALSE,TRUE))</f>
        <v>0</v>
      </c>
      <c r="L635" s="20" t="str">
        <f t="shared" si="50"/>
        <v/>
      </c>
      <c r="M635" s="54" t="str">
        <f t="shared" si="51"/>
        <v>!</v>
      </c>
      <c r="N635" s="54" t="str">
        <f t="shared" si="52"/>
        <v/>
      </c>
      <c r="O635" s="55">
        <f t="shared" si="53"/>
        <v>578.43137254901956</v>
      </c>
      <c r="P635" s="55">
        <f t="shared" si="54"/>
        <v>550.65359477124184</v>
      </c>
      <c r="Q635" s="9" t="str">
        <f ca="1">IFERROR((VLOOKUP(A635,GM_Table,8,FALSE)-SUMIFS(D:D,A:A,A635,B:B,B635,C:C,C635)),"")</f>
        <v/>
      </c>
      <c r="R635" s="9" t="str">
        <f ca="1">IFERROR(CONCATENATE(VLOOKUP(A635,GM_Table,12,FALSE)," ",(VLOOKUP(A635,GM_Table,13,FALSE))),"")</f>
        <v/>
      </c>
    </row>
    <row r="636" spans="1:18" ht="15" x14ac:dyDescent="0.2">
      <c r="A636" s="193" t="s">
        <v>2418</v>
      </c>
      <c r="B636" s="9" t="s">
        <v>3290</v>
      </c>
      <c r="C636" s="9" t="s">
        <v>3291</v>
      </c>
      <c r="D636" s="252">
        <v>9.56</v>
      </c>
      <c r="E636" s="245">
        <v>6066</v>
      </c>
      <c r="F636" s="246">
        <v>5698</v>
      </c>
      <c r="G636" s="247">
        <v>5698</v>
      </c>
      <c r="H636" s="248">
        <v>4712</v>
      </c>
      <c r="I636" s="249">
        <v>5800</v>
      </c>
      <c r="J636" s="122" t="b">
        <f>IF(ISBLANK(CertifiedCrop[[#This Row],[1. Identifiant interne d’exploitation agricole*]]),"",IF(ISERROR(MATCH(CertifiedCrop[[#This Row],[1. Identifiant interne d’exploitation agricole*]],GroupMember[1. Identifiant interne d’exploitation agricole*],0)),FALSE,TRUE))</f>
        <v>1</v>
      </c>
      <c r="K636" s="122" t="b">
        <f t="array" ref="K636">IF(ISBLANK(CertifiedCrop[[#This Row],[2. Produit agricole certifié*]]),"",IF(ISERROR(MATCH(1,(#REF!=CertifiedCrop[[#This Row],[2. Produit agricole certifié*]])*(#REF!=CertifiedCrop[[#This Row],[3. Variété**]]),0)),FALSE,TRUE))</f>
        <v>0</v>
      </c>
      <c r="L636" s="20" t="str">
        <f t="shared" si="50"/>
        <v/>
      </c>
      <c r="M636" s="54" t="str">
        <f t="shared" si="51"/>
        <v/>
      </c>
      <c r="N636" s="54" t="str">
        <f t="shared" si="52"/>
        <v/>
      </c>
      <c r="O636" s="55">
        <f t="shared" si="53"/>
        <v>634.51882845188277</v>
      </c>
      <c r="P636" s="55">
        <f t="shared" si="54"/>
        <v>596.0251046025104</v>
      </c>
      <c r="Q636" s="9" t="str">
        <f ca="1">IFERROR((VLOOKUP(A636,GM_Table,8,FALSE)-SUMIFS(D:D,A:A,A636,B:B,B636,C:C,C636)),"")</f>
        <v/>
      </c>
      <c r="R636" s="9" t="str">
        <f ca="1">IFERROR(CONCATENATE(VLOOKUP(A636,GM_Table,12,FALSE)," ",(VLOOKUP(A636,GM_Table,13,FALSE))),"")</f>
        <v/>
      </c>
    </row>
    <row r="637" spans="1:18" ht="15" x14ac:dyDescent="0.2">
      <c r="A637" s="193" t="s">
        <v>2420</v>
      </c>
      <c r="B637" s="9" t="s">
        <v>3290</v>
      </c>
      <c r="C637" s="9" t="s">
        <v>3291</v>
      </c>
      <c r="D637" s="252">
        <v>2.54</v>
      </c>
      <c r="E637" s="245">
        <v>1607</v>
      </c>
      <c r="F637" s="246">
        <v>1569</v>
      </c>
      <c r="G637" s="247">
        <v>1094</v>
      </c>
      <c r="H637" s="9">
        <v>0</v>
      </c>
      <c r="I637" s="255">
        <v>0</v>
      </c>
      <c r="J637" s="122" t="b">
        <f>IF(ISBLANK(CertifiedCrop[[#This Row],[1. Identifiant interne d’exploitation agricole*]]),"",IF(ISERROR(MATCH(CertifiedCrop[[#This Row],[1. Identifiant interne d’exploitation agricole*]],GroupMember[1. Identifiant interne d’exploitation agricole*],0)),FALSE,TRUE))</f>
        <v>1</v>
      </c>
      <c r="K637" s="122" t="b">
        <f t="array" ref="K637">IF(ISBLANK(CertifiedCrop[[#This Row],[2. Produit agricole certifié*]]),"",IF(ISERROR(MATCH(1,(#REF!=CertifiedCrop[[#This Row],[2. Produit agricole certifié*]])*(#REF!=CertifiedCrop[[#This Row],[3. Variété**]]),0)),FALSE,TRUE))</f>
        <v>0</v>
      </c>
      <c r="L637" s="20" t="str">
        <f t="shared" si="50"/>
        <v/>
      </c>
      <c r="M637" s="54" t="str">
        <f t="shared" si="51"/>
        <v>!</v>
      </c>
      <c r="N637" s="54" t="str">
        <f t="shared" si="52"/>
        <v/>
      </c>
      <c r="O637" s="55">
        <f t="shared" si="53"/>
        <v>632.67716535433067</v>
      </c>
      <c r="P637" s="55">
        <f t="shared" si="54"/>
        <v>617.71653543307082</v>
      </c>
      <c r="Q637" s="9" t="str">
        <f ca="1">IFERROR((VLOOKUP(A637,GM_Table,8,FALSE)-SUMIFS(D:D,A:A,A637,B:B,B637,C:C,C637)),"")</f>
        <v/>
      </c>
      <c r="R637" s="9" t="str">
        <f ca="1">IFERROR(CONCATENATE(VLOOKUP(A637,GM_Table,12,FALSE)," ",(VLOOKUP(A637,GM_Table,13,FALSE))),"")</f>
        <v/>
      </c>
    </row>
    <row r="638" spans="1:18" ht="15" x14ac:dyDescent="0.2">
      <c r="A638" s="193" t="s">
        <v>2423</v>
      </c>
      <c r="B638" s="9" t="s">
        <v>3290</v>
      </c>
      <c r="C638" s="9" t="s">
        <v>3291</v>
      </c>
      <c r="D638" s="252">
        <v>1.86</v>
      </c>
      <c r="E638" s="245">
        <v>1026</v>
      </c>
      <c r="F638" s="246">
        <v>989</v>
      </c>
      <c r="G638" s="247">
        <v>476</v>
      </c>
      <c r="H638" s="9">
        <v>0</v>
      </c>
      <c r="I638" s="255">
        <v>0</v>
      </c>
      <c r="J638" s="122" t="b">
        <f>IF(ISBLANK(CertifiedCrop[[#This Row],[1. Identifiant interne d’exploitation agricole*]]),"",IF(ISERROR(MATCH(CertifiedCrop[[#This Row],[1. Identifiant interne d’exploitation agricole*]],GroupMember[1. Identifiant interne d’exploitation agricole*],0)),FALSE,TRUE))</f>
        <v>1</v>
      </c>
      <c r="K638" s="122" t="b">
        <f t="array" ref="K638">IF(ISBLANK(CertifiedCrop[[#This Row],[2. Produit agricole certifié*]]),"",IF(ISERROR(MATCH(1,(#REF!=CertifiedCrop[[#This Row],[2. Produit agricole certifié*]])*(#REF!=CertifiedCrop[[#This Row],[3. Variété**]]),0)),FALSE,TRUE))</f>
        <v>0</v>
      </c>
      <c r="L638" s="20" t="str">
        <f t="shared" si="50"/>
        <v/>
      </c>
      <c r="M638" s="54" t="str">
        <f t="shared" si="51"/>
        <v>!</v>
      </c>
      <c r="N638" s="54" t="str">
        <f t="shared" si="52"/>
        <v/>
      </c>
      <c r="O638" s="55">
        <f t="shared" si="53"/>
        <v>551.61290322580646</v>
      </c>
      <c r="P638" s="55">
        <f t="shared" si="54"/>
        <v>531.72043010752691</v>
      </c>
      <c r="Q638" s="9" t="str">
        <f ca="1">IFERROR((VLOOKUP(A638,GM_Table,8,FALSE)-SUMIFS(D:D,A:A,A638,B:B,B638,C:C,C638)),"")</f>
        <v/>
      </c>
      <c r="R638" s="9" t="str">
        <f ca="1">IFERROR(CONCATENATE(VLOOKUP(A638,GM_Table,12,FALSE)," ",(VLOOKUP(A638,GM_Table,13,FALSE))),"")</f>
        <v/>
      </c>
    </row>
    <row r="639" spans="1:18" ht="15" x14ac:dyDescent="0.2">
      <c r="A639" s="193" t="s">
        <v>2425</v>
      </c>
      <c r="B639" s="9" t="s">
        <v>3290</v>
      </c>
      <c r="C639" s="9" t="s">
        <v>3291</v>
      </c>
      <c r="D639" s="252">
        <v>1.49</v>
      </c>
      <c r="E639" s="221">
        <v>899</v>
      </c>
      <c r="F639" s="246">
        <v>874</v>
      </c>
      <c r="G639" s="247">
        <v>541</v>
      </c>
      <c r="H639" s="9">
        <v>0</v>
      </c>
      <c r="I639" s="255">
        <v>0</v>
      </c>
      <c r="J639" s="122" t="b">
        <f>IF(ISBLANK(CertifiedCrop[[#This Row],[1. Identifiant interne d’exploitation agricole*]]),"",IF(ISERROR(MATCH(CertifiedCrop[[#This Row],[1. Identifiant interne d’exploitation agricole*]],GroupMember[1. Identifiant interne d’exploitation agricole*],0)),FALSE,TRUE))</f>
        <v>1</v>
      </c>
      <c r="K639" s="122" t="b">
        <f t="array" ref="K639">IF(ISBLANK(CertifiedCrop[[#This Row],[2. Produit agricole certifié*]]),"",IF(ISERROR(MATCH(1,(#REF!=CertifiedCrop[[#This Row],[2. Produit agricole certifié*]])*(#REF!=CertifiedCrop[[#This Row],[3. Variété**]]),0)),FALSE,TRUE))</f>
        <v>0</v>
      </c>
      <c r="L639" s="20" t="str">
        <f t="shared" si="50"/>
        <v/>
      </c>
      <c r="M639" s="54" t="str">
        <f t="shared" si="51"/>
        <v>!</v>
      </c>
      <c r="N639" s="54" t="str">
        <f t="shared" si="52"/>
        <v/>
      </c>
      <c r="O639" s="55">
        <f t="shared" si="53"/>
        <v>603.35570469798654</v>
      </c>
      <c r="P639" s="55">
        <f t="shared" si="54"/>
        <v>586.57718120805373</v>
      </c>
      <c r="Q639" s="9" t="str">
        <f ca="1">IFERROR((VLOOKUP(A639,GM_Table,8,FALSE)-SUMIFS(D:D,A:A,A639,B:B,B639,C:C,C639)),"")</f>
        <v/>
      </c>
      <c r="R639" s="9" t="str">
        <f ca="1">IFERROR(CONCATENATE(VLOOKUP(A639,GM_Table,12,FALSE)," ",(VLOOKUP(A639,GM_Table,13,FALSE))),"")</f>
        <v/>
      </c>
    </row>
    <row r="640" spans="1:18" ht="15" x14ac:dyDescent="0.2">
      <c r="A640" s="193" t="s">
        <v>2428</v>
      </c>
      <c r="B640" s="9" t="s">
        <v>3290</v>
      </c>
      <c r="C640" s="9" t="s">
        <v>3291</v>
      </c>
      <c r="D640" s="252">
        <v>2.04</v>
      </c>
      <c r="E640" s="245">
        <v>1300</v>
      </c>
      <c r="F640" s="246">
        <v>1287</v>
      </c>
      <c r="G640" s="247">
        <v>650</v>
      </c>
      <c r="H640" s="9">
        <v>0</v>
      </c>
      <c r="I640" s="255">
        <v>0</v>
      </c>
      <c r="J640" s="122" t="b">
        <f>IF(ISBLANK(CertifiedCrop[[#This Row],[1. Identifiant interne d’exploitation agricole*]]),"",IF(ISERROR(MATCH(CertifiedCrop[[#This Row],[1. Identifiant interne d’exploitation agricole*]],GroupMember[1. Identifiant interne d’exploitation agricole*],0)),FALSE,TRUE))</f>
        <v>1</v>
      </c>
      <c r="K640" s="122" t="b">
        <f t="array" ref="K640">IF(ISBLANK(CertifiedCrop[[#This Row],[2. Produit agricole certifié*]]),"",IF(ISERROR(MATCH(1,(#REF!=CertifiedCrop[[#This Row],[2. Produit agricole certifié*]])*(#REF!=CertifiedCrop[[#This Row],[3. Variété**]]),0)),FALSE,TRUE))</f>
        <v>0</v>
      </c>
      <c r="L640" s="20" t="str">
        <f t="shared" si="50"/>
        <v/>
      </c>
      <c r="M640" s="54" t="str">
        <f t="shared" si="51"/>
        <v>!</v>
      </c>
      <c r="N640" s="54" t="str">
        <f t="shared" si="52"/>
        <v/>
      </c>
      <c r="O640" s="55">
        <f t="shared" si="53"/>
        <v>637.25490196078431</v>
      </c>
      <c r="P640" s="55">
        <f t="shared" si="54"/>
        <v>630.88235294117646</v>
      </c>
      <c r="Q640" s="9" t="str">
        <f ca="1">IFERROR((VLOOKUP(A640,GM_Table,8,FALSE)-SUMIFS(D:D,A:A,A640,B:B,B640,C:C,C640)),"")</f>
        <v/>
      </c>
      <c r="R640" s="9" t="str">
        <f ca="1">IFERROR(CONCATENATE(VLOOKUP(A640,GM_Table,12,FALSE)," ",(VLOOKUP(A640,GM_Table,13,FALSE))),"")</f>
        <v/>
      </c>
    </row>
    <row r="641" spans="1:18" ht="15" x14ac:dyDescent="0.2">
      <c r="A641" s="193" t="s">
        <v>2430</v>
      </c>
      <c r="B641" s="9" t="s">
        <v>3290</v>
      </c>
      <c r="C641" s="9" t="s">
        <v>3291</v>
      </c>
      <c r="D641" s="252">
        <v>1.66</v>
      </c>
      <c r="E641" s="221">
        <v>903</v>
      </c>
      <c r="F641" s="246">
        <v>895</v>
      </c>
      <c r="G641" s="247">
        <v>524</v>
      </c>
      <c r="H641" s="9">
        <v>0</v>
      </c>
      <c r="I641" s="255">
        <v>0</v>
      </c>
      <c r="J641" s="122" t="b">
        <f>IF(ISBLANK(CertifiedCrop[[#This Row],[1. Identifiant interne d’exploitation agricole*]]),"",IF(ISERROR(MATCH(CertifiedCrop[[#This Row],[1. Identifiant interne d’exploitation agricole*]],GroupMember[1. Identifiant interne d’exploitation agricole*],0)),FALSE,TRUE))</f>
        <v>1</v>
      </c>
      <c r="K641" s="122" t="b">
        <f t="array" ref="K641">IF(ISBLANK(CertifiedCrop[[#This Row],[2. Produit agricole certifié*]]),"",IF(ISERROR(MATCH(1,(#REF!=CertifiedCrop[[#This Row],[2. Produit agricole certifié*]])*(#REF!=CertifiedCrop[[#This Row],[3. Variété**]]),0)),FALSE,TRUE))</f>
        <v>0</v>
      </c>
      <c r="L641" s="20" t="str">
        <f t="shared" si="50"/>
        <v/>
      </c>
      <c r="M641" s="54" t="str">
        <f t="shared" si="51"/>
        <v>!</v>
      </c>
      <c r="N641" s="54" t="str">
        <f t="shared" si="52"/>
        <v/>
      </c>
      <c r="O641" s="55">
        <f t="shared" si="53"/>
        <v>543.97590361445782</v>
      </c>
      <c r="P641" s="55">
        <f t="shared" si="54"/>
        <v>539.15662650602417</v>
      </c>
      <c r="Q641" s="9" t="str">
        <f ca="1">IFERROR((VLOOKUP(A641,GM_Table,8,FALSE)-SUMIFS(D:D,A:A,A641,B:B,B641,C:C,C641)),"")</f>
        <v/>
      </c>
      <c r="R641" s="9" t="str">
        <f ca="1">IFERROR(CONCATENATE(VLOOKUP(A641,GM_Table,12,FALSE)," ",(VLOOKUP(A641,GM_Table,13,FALSE))),"")</f>
        <v/>
      </c>
    </row>
    <row r="642" spans="1:18" ht="15" x14ac:dyDescent="0.2">
      <c r="A642" s="193" t="s">
        <v>2433</v>
      </c>
      <c r="B642" s="9" t="s">
        <v>3290</v>
      </c>
      <c r="C642" s="9" t="s">
        <v>3291</v>
      </c>
      <c r="D642" s="252">
        <v>1.79</v>
      </c>
      <c r="E642" s="245">
        <v>1075</v>
      </c>
      <c r="F642" s="246">
        <v>992</v>
      </c>
      <c r="G642" s="247">
        <v>992</v>
      </c>
      <c r="H642" s="9">
        <v>0</v>
      </c>
      <c r="I642" s="255">
        <v>0</v>
      </c>
      <c r="J642" s="122" t="b">
        <f>IF(ISBLANK(CertifiedCrop[[#This Row],[1. Identifiant interne d’exploitation agricole*]]),"",IF(ISERROR(MATCH(CertifiedCrop[[#This Row],[1. Identifiant interne d’exploitation agricole*]],GroupMember[1. Identifiant interne d’exploitation agricole*],0)),FALSE,TRUE))</f>
        <v>1</v>
      </c>
      <c r="K642" s="122" t="b">
        <f t="array" ref="K642">IF(ISBLANK(CertifiedCrop[[#This Row],[2. Produit agricole certifié*]]),"",IF(ISERROR(MATCH(1,(#REF!=CertifiedCrop[[#This Row],[2. Produit agricole certifié*]])*(#REF!=CertifiedCrop[[#This Row],[3. Variété**]]),0)),FALSE,TRUE))</f>
        <v>0</v>
      </c>
      <c r="L642" s="20" t="str">
        <f t="shared" si="50"/>
        <v/>
      </c>
      <c r="M642" s="54" t="str">
        <f t="shared" si="51"/>
        <v/>
      </c>
      <c r="N642" s="54" t="str">
        <f t="shared" si="52"/>
        <v/>
      </c>
      <c r="O642" s="55">
        <f t="shared" si="53"/>
        <v>600.55865921787711</v>
      </c>
      <c r="P642" s="55">
        <f t="shared" si="54"/>
        <v>554.18994413407825</v>
      </c>
      <c r="Q642" s="9" t="str">
        <f ca="1">IFERROR((VLOOKUP(A642,GM_Table,8,FALSE)-SUMIFS(D:D,A:A,A642,B:B,B642,C:C,C642)),"")</f>
        <v/>
      </c>
      <c r="R642" s="9" t="str">
        <f ca="1">IFERROR(CONCATENATE(VLOOKUP(A642,GM_Table,12,FALSE)," ",(VLOOKUP(A642,GM_Table,13,FALSE))),"")</f>
        <v/>
      </c>
    </row>
    <row r="643" spans="1:18" ht="15" x14ac:dyDescent="0.2">
      <c r="A643" s="193" t="s">
        <v>2435</v>
      </c>
      <c r="B643" s="9" t="s">
        <v>3290</v>
      </c>
      <c r="C643" s="9" t="s">
        <v>3291</v>
      </c>
      <c r="D643" s="252">
        <v>1.45</v>
      </c>
      <c r="E643" s="221">
        <v>771</v>
      </c>
      <c r="F643" s="246">
        <v>745</v>
      </c>
      <c r="G643" s="247">
        <v>571</v>
      </c>
      <c r="H643" s="9">
        <v>0</v>
      </c>
      <c r="I643" s="255">
        <v>0</v>
      </c>
      <c r="J643" s="122" t="b">
        <f>IF(ISBLANK(CertifiedCrop[[#This Row],[1. Identifiant interne d’exploitation agricole*]]),"",IF(ISERROR(MATCH(CertifiedCrop[[#This Row],[1. Identifiant interne d’exploitation agricole*]],GroupMember[1. Identifiant interne d’exploitation agricole*],0)),FALSE,TRUE))</f>
        <v>1</v>
      </c>
      <c r="K643" s="122" t="b">
        <f t="array" ref="K643">IF(ISBLANK(CertifiedCrop[[#This Row],[2. Produit agricole certifié*]]),"",IF(ISERROR(MATCH(1,(#REF!=CertifiedCrop[[#This Row],[2. Produit agricole certifié*]])*(#REF!=CertifiedCrop[[#This Row],[3. Variété**]]),0)),FALSE,TRUE))</f>
        <v>0</v>
      </c>
      <c r="L643" s="20" t="str">
        <f t="shared" si="50"/>
        <v/>
      </c>
      <c r="M643" s="54" t="str">
        <f t="shared" si="51"/>
        <v>!</v>
      </c>
      <c r="N643" s="54" t="str">
        <f t="shared" si="52"/>
        <v/>
      </c>
      <c r="O643" s="55">
        <f t="shared" si="53"/>
        <v>531.72413793103453</v>
      </c>
      <c r="P643" s="55">
        <f t="shared" si="54"/>
        <v>513.79310344827593</v>
      </c>
      <c r="Q643" s="9" t="str">
        <f ca="1">IFERROR((VLOOKUP(A643,GM_Table,8,FALSE)-SUMIFS(D:D,A:A,A643,B:B,B643,C:C,C643)),"")</f>
        <v/>
      </c>
      <c r="R643" s="9" t="str">
        <f ca="1">IFERROR(CONCATENATE(VLOOKUP(A643,GM_Table,12,FALSE)," ",(VLOOKUP(A643,GM_Table,13,FALSE))),"")</f>
        <v/>
      </c>
    </row>
    <row r="644" spans="1:18" ht="15" x14ac:dyDescent="0.2">
      <c r="A644" s="193" t="s">
        <v>2438</v>
      </c>
      <c r="B644" s="9" t="s">
        <v>3290</v>
      </c>
      <c r="C644" s="9" t="s">
        <v>3291</v>
      </c>
      <c r="D644" s="252">
        <v>1.18</v>
      </c>
      <c r="E644" s="221">
        <v>682</v>
      </c>
      <c r="F644" s="246">
        <v>635</v>
      </c>
      <c r="G644" s="247">
        <v>635</v>
      </c>
      <c r="H644" s="9">
        <v>0</v>
      </c>
      <c r="I644" s="255">
        <v>0</v>
      </c>
      <c r="J644" s="122" t="b">
        <f>IF(ISBLANK(CertifiedCrop[[#This Row],[1. Identifiant interne d’exploitation agricole*]]),"",IF(ISERROR(MATCH(CertifiedCrop[[#This Row],[1. Identifiant interne d’exploitation agricole*]],GroupMember[1. Identifiant interne d’exploitation agricole*],0)),FALSE,TRUE))</f>
        <v>1</v>
      </c>
      <c r="K644" s="122" t="b">
        <f t="array" ref="K644">IF(ISBLANK(CertifiedCrop[[#This Row],[2. Produit agricole certifié*]]),"",IF(ISERROR(MATCH(1,(#REF!=CertifiedCrop[[#This Row],[2. Produit agricole certifié*]])*(#REF!=CertifiedCrop[[#This Row],[3. Variété**]]),0)),FALSE,TRUE))</f>
        <v>0</v>
      </c>
      <c r="L644" s="20" t="str">
        <f t="shared" si="50"/>
        <v/>
      </c>
      <c r="M644" s="54" t="str">
        <f t="shared" si="51"/>
        <v/>
      </c>
      <c r="N644" s="54" t="str">
        <f t="shared" si="52"/>
        <v/>
      </c>
      <c r="O644" s="55">
        <f t="shared" si="53"/>
        <v>577.96610169491532</v>
      </c>
      <c r="P644" s="55">
        <f t="shared" si="54"/>
        <v>538.13559322033905</v>
      </c>
      <c r="Q644" s="9" t="str">
        <f ca="1">IFERROR((VLOOKUP(A644,GM_Table,8,FALSE)-SUMIFS(D:D,A:A,A644,B:B,B644,C:C,C644)),"")</f>
        <v/>
      </c>
      <c r="R644" s="9" t="str">
        <f ca="1">IFERROR(CONCATENATE(VLOOKUP(A644,GM_Table,12,FALSE)," ",(VLOOKUP(A644,GM_Table,13,FALSE))),"")</f>
        <v/>
      </c>
    </row>
    <row r="645" spans="1:18" ht="15" x14ac:dyDescent="0.2">
      <c r="A645" s="193" t="s">
        <v>2441</v>
      </c>
      <c r="B645" s="9" t="s">
        <v>3290</v>
      </c>
      <c r="C645" s="9" t="s">
        <v>3291</v>
      </c>
      <c r="D645" s="252">
        <v>0.93</v>
      </c>
      <c r="E645" s="221">
        <v>561</v>
      </c>
      <c r="F645" s="246">
        <v>514</v>
      </c>
      <c r="G645" s="247">
        <v>432</v>
      </c>
      <c r="H645" s="9">
        <v>0</v>
      </c>
      <c r="I645" s="255">
        <v>0</v>
      </c>
      <c r="J645" s="122" t="b">
        <f>IF(ISBLANK(CertifiedCrop[[#This Row],[1. Identifiant interne d’exploitation agricole*]]),"",IF(ISERROR(MATCH(CertifiedCrop[[#This Row],[1. Identifiant interne d’exploitation agricole*]],GroupMember[1. Identifiant interne d’exploitation agricole*],0)),FALSE,TRUE))</f>
        <v>1</v>
      </c>
      <c r="K645" s="122" t="b">
        <f t="array" ref="K645">IF(ISBLANK(CertifiedCrop[[#This Row],[2. Produit agricole certifié*]]),"",IF(ISERROR(MATCH(1,(#REF!=CertifiedCrop[[#This Row],[2. Produit agricole certifié*]])*(#REF!=CertifiedCrop[[#This Row],[3. Variété**]]),0)),FALSE,TRUE))</f>
        <v>0</v>
      </c>
      <c r="L645" s="20" t="str">
        <f t="shared" si="50"/>
        <v/>
      </c>
      <c r="M645" s="54" t="str">
        <f t="shared" si="51"/>
        <v/>
      </c>
      <c r="N645" s="54" t="str">
        <f t="shared" si="52"/>
        <v/>
      </c>
      <c r="O645" s="55">
        <f t="shared" si="53"/>
        <v>603.22580645161293</v>
      </c>
      <c r="P645" s="55">
        <f t="shared" si="54"/>
        <v>552.6881720430107</v>
      </c>
      <c r="Q645" s="9" t="str">
        <f ca="1">IFERROR((VLOOKUP(A645,GM_Table,8,FALSE)-SUMIFS(D:D,A:A,A645,B:B,B645,C:C,C645)),"")</f>
        <v/>
      </c>
      <c r="R645" s="9" t="str">
        <f ca="1">IFERROR(CONCATENATE(VLOOKUP(A645,GM_Table,12,FALSE)," ",(VLOOKUP(A645,GM_Table,13,FALSE))),"")</f>
        <v/>
      </c>
    </row>
    <row r="646" spans="1:18" ht="15" x14ac:dyDescent="0.2">
      <c r="A646" s="193" t="s">
        <v>2443</v>
      </c>
      <c r="B646" s="9" t="s">
        <v>3290</v>
      </c>
      <c r="C646" s="9" t="s">
        <v>3291</v>
      </c>
      <c r="D646" s="252">
        <v>2.76</v>
      </c>
      <c r="E646" s="245">
        <v>1757</v>
      </c>
      <c r="F646" s="246">
        <v>1696</v>
      </c>
      <c r="G646" s="247">
        <v>1388</v>
      </c>
      <c r="H646" s="9">
        <v>0</v>
      </c>
      <c r="I646" s="255">
        <v>0</v>
      </c>
      <c r="J646" s="122" t="b">
        <f>IF(ISBLANK(CertifiedCrop[[#This Row],[1. Identifiant interne d’exploitation agricole*]]),"",IF(ISERROR(MATCH(CertifiedCrop[[#This Row],[1. Identifiant interne d’exploitation agricole*]],GroupMember[1. Identifiant interne d’exploitation agricole*],0)),FALSE,TRUE))</f>
        <v>1</v>
      </c>
      <c r="K646" s="122" t="b">
        <f t="array" ref="K646">IF(ISBLANK(CertifiedCrop[[#This Row],[2. Produit agricole certifié*]]),"",IF(ISERROR(MATCH(1,(#REF!=CertifiedCrop[[#This Row],[2. Produit agricole certifié*]])*(#REF!=CertifiedCrop[[#This Row],[3. Variété**]]),0)),FALSE,TRUE))</f>
        <v>0</v>
      </c>
      <c r="L646" s="20" t="str">
        <f t="shared" si="50"/>
        <v/>
      </c>
      <c r="M646" s="54" t="str">
        <f t="shared" si="51"/>
        <v/>
      </c>
      <c r="N646" s="54" t="str">
        <f t="shared" si="52"/>
        <v/>
      </c>
      <c r="O646" s="55">
        <f t="shared" si="53"/>
        <v>636.59420289855075</v>
      </c>
      <c r="P646" s="55">
        <f t="shared" si="54"/>
        <v>614.49275362318849</v>
      </c>
      <c r="Q646" s="9" t="str">
        <f ca="1">IFERROR((VLOOKUP(A646,GM_Table,8,FALSE)-SUMIFS(D:D,A:A,A646,B:B,B646,C:C,C646)),"")</f>
        <v/>
      </c>
      <c r="R646" s="9" t="str">
        <f ca="1">IFERROR(CONCATENATE(VLOOKUP(A646,GM_Table,12,FALSE)," ",(VLOOKUP(A646,GM_Table,13,FALSE))),"")</f>
        <v/>
      </c>
    </row>
    <row r="647" spans="1:18" ht="15" x14ac:dyDescent="0.2">
      <c r="A647" s="193" t="s">
        <v>2447</v>
      </c>
      <c r="B647" s="9" t="s">
        <v>3290</v>
      </c>
      <c r="C647" s="9" t="s">
        <v>3291</v>
      </c>
      <c r="D647" s="252">
        <v>2.54</v>
      </c>
      <c r="E647" s="245">
        <v>1354</v>
      </c>
      <c r="F647" s="246">
        <v>1287</v>
      </c>
      <c r="G647" s="247">
        <v>1069</v>
      </c>
      <c r="H647" s="9">
        <v>0</v>
      </c>
      <c r="I647" s="255">
        <v>0</v>
      </c>
      <c r="J647" s="122" t="b">
        <f>IF(ISBLANK(CertifiedCrop[[#This Row],[1. Identifiant interne d’exploitation agricole*]]),"",IF(ISERROR(MATCH(CertifiedCrop[[#This Row],[1. Identifiant interne d’exploitation agricole*]],GroupMember[1. Identifiant interne d’exploitation agricole*],0)),FALSE,TRUE))</f>
        <v>1</v>
      </c>
      <c r="K647" s="122" t="b">
        <f t="array" ref="K647">IF(ISBLANK(CertifiedCrop[[#This Row],[2. Produit agricole certifié*]]),"",IF(ISERROR(MATCH(1,(#REF!=CertifiedCrop[[#This Row],[2. Produit agricole certifié*]])*(#REF!=CertifiedCrop[[#This Row],[3. Variété**]]),0)),FALSE,TRUE))</f>
        <v>0</v>
      </c>
      <c r="L647" s="20" t="str">
        <f t="shared" si="50"/>
        <v/>
      </c>
      <c r="M647" s="54" t="str">
        <f t="shared" si="51"/>
        <v/>
      </c>
      <c r="N647" s="54" t="str">
        <f t="shared" si="52"/>
        <v/>
      </c>
      <c r="O647" s="55">
        <f t="shared" si="53"/>
        <v>533.07086614173227</v>
      </c>
      <c r="P647" s="55">
        <f t="shared" si="54"/>
        <v>506.69291338582678</v>
      </c>
      <c r="Q647" s="9" t="str">
        <f ca="1">IFERROR((VLOOKUP(A647,GM_Table,8,FALSE)-SUMIFS(D:D,A:A,A647,B:B,B647,C:C,C647)),"")</f>
        <v/>
      </c>
      <c r="R647" s="9" t="str">
        <f ca="1">IFERROR(CONCATENATE(VLOOKUP(A647,GM_Table,12,FALSE)," ",(VLOOKUP(A647,GM_Table,13,FALSE))),"")</f>
        <v/>
      </c>
    </row>
    <row r="648" spans="1:18" ht="15" x14ac:dyDescent="0.2">
      <c r="A648" s="193" t="s">
        <v>2450</v>
      </c>
      <c r="B648" s="9" t="s">
        <v>3290</v>
      </c>
      <c r="C648" s="9" t="s">
        <v>3291</v>
      </c>
      <c r="D648" s="252">
        <v>2.0099999999999998</v>
      </c>
      <c r="E648" s="245">
        <v>1184</v>
      </c>
      <c r="F648" s="246">
        <v>1105</v>
      </c>
      <c r="G648" s="247">
        <v>562</v>
      </c>
      <c r="H648" s="9">
        <v>0</v>
      </c>
      <c r="I648" s="255">
        <v>0</v>
      </c>
      <c r="J648" s="122" t="b">
        <f>IF(ISBLANK(CertifiedCrop[[#This Row],[1. Identifiant interne d’exploitation agricole*]]),"",IF(ISERROR(MATCH(CertifiedCrop[[#This Row],[1. Identifiant interne d’exploitation agricole*]],GroupMember[1. Identifiant interne d’exploitation agricole*],0)),FALSE,TRUE))</f>
        <v>1</v>
      </c>
      <c r="K648" s="122" t="b">
        <f t="array" ref="K648">IF(ISBLANK(CertifiedCrop[[#This Row],[2. Produit agricole certifié*]]),"",IF(ISERROR(MATCH(1,(#REF!=CertifiedCrop[[#This Row],[2. Produit agricole certifié*]])*(#REF!=CertifiedCrop[[#This Row],[3. Variété**]]),0)),FALSE,TRUE))</f>
        <v>0</v>
      </c>
      <c r="L648" s="20" t="str">
        <f t="shared" si="50"/>
        <v/>
      </c>
      <c r="M648" s="54" t="str">
        <f t="shared" si="51"/>
        <v>!</v>
      </c>
      <c r="N648" s="54" t="str">
        <f t="shared" si="52"/>
        <v/>
      </c>
      <c r="O648" s="55">
        <f t="shared" si="53"/>
        <v>589.05472636815932</v>
      </c>
      <c r="P648" s="55">
        <f t="shared" si="54"/>
        <v>549.75124378109456</v>
      </c>
      <c r="Q648" s="9" t="str">
        <f ca="1">IFERROR((VLOOKUP(A648,GM_Table,8,FALSE)-SUMIFS(D:D,A:A,A648,B:B,B648,C:C,C648)),"")</f>
        <v/>
      </c>
      <c r="R648" s="9" t="str">
        <f ca="1">IFERROR(CONCATENATE(VLOOKUP(A648,GM_Table,12,FALSE)," ",(VLOOKUP(A648,GM_Table,13,FALSE))),"")</f>
        <v/>
      </c>
    </row>
    <row r="649" spans="1:18" ht="15" x14ac:dyDescent="0.2">
      <c r="A649" s="193" t="s">
        <v>2454</v>
      </c>
      <c r="B649" s="9" t="s">
        <v>3290</v>
      </c>
      <c r="C649" s="9" t="s">
        <v>3291</v>
      </c>
      <c r="D649" s="252">
        <v>1.88</v>
      </c>
      <c r="E649" s="245">
        <v>1199</v>
      </c>
      <c r="F649" s="246">
        <v>1109</v>
      </c>
      <c r="G649" s="247">
        <v>609</v>
      </c>
      <c r="H649" s="9">
        <v>0</v>
      </c>
      <c r="I649" s="255">
        <v>0</v>
      </c>
      <c r="J649" s="122" t="b">
        <f>IF(ISBLANK(CertifiedCrop[[#This Row],[1. Identifiant interne d’exploitation agricole*]]),"",IF(ISERROR(MATCH(CertifiedCrop[[#This Row],[1. Identifiant interne d’exploitation agricole*]],GroupMember[1. Identifiant interne d’exploitation agricole*],0)),FALSE,TRUE))</f>
        <v>1</v>
      </c>
      <c r="K649" s="122" t="b">
        <f t="array" ref="K649">IF(ISBLANK(CertifiedCrop[[#This Row],[2. Produit agricole certifié*]]),"",IF(ISERROR(MATCH(1,(#REF!=CertifiedCrop[[#This Row],[2. Produit agricole certifié*]])*(#REF!=CertifiedCrop[[#This Row],[3. Variété**]]),0)),FALSE,TRUE))</f>
        <v>0</v>
      </c>
      <c r="L649" s="20" t="str">
        <f t="shared" si="50"/>
        <v/>
      </c>
      <c r="M649" s="54" t="str">
        <f t="shared" si="51"/>
        <v>!</v>
      </c>
      <c r="N649" s="54" t="str">
        <f t="shared" si="52"/>
        <v/>
      </c>
      <c r="O649" s="55">
        <f t="shared" si="53"/>
        <v>637.76595744680856</v>
      </c>
      <c r="P649" s="55">
        <f t="shared" si="54"/>
        <v>589.89361702127667</v>
      </c>
      <c r="Q649" s="9" t="str">
        <f ca="1">IFERROR((VLOOKUP(A649,GM_Table,8,FALSE)-SUMIFS(D:D,A:A,A649,B:B,B649,C:C,C649)),"")</f>
        <v/>
      </c>
      <c r="R649" s="9" t="str">
        <f ca="1">IFERROR(CONCATENATE(VLOOKUP(A649,GM_Table,12,FALSE)," ",(VLOOKUP(A649,GM_Table,13,FALSE))),"")</f>
        <v/>
      </c>
    </row>
    <row r="650" spans="1:18" ht="15" x14ac:dyDescent="0.2">
      <c r="A650" s="193" t="s">
        <v>2457</v>
      </c>
      <c r="B650" s="9" t="s">
        <v>3290</v>
      </c>
      <c r="C650" s="9" t="s">
        <v>3291</v>
      </c>
      <c r="D650" s="252">
        <v>3.01</v>
      </c>
      <c r="E650" s="245">
        <v>1660</v>
      </c>
      <c r="F650" s="246">
        <v>1563</v>
      </c>
      <c r="G650" s="247">
        <v>1224</v>
      </c>
      <c r="H650" s="9">
        <v>0</v>
      </c>
      <c r="I650" s="255">
        <v>0</v>
      </c>
      <c r="J650" s="122" t="b">
        <f>IF(ISBLANK(CertifiedCrop[[#This Row],[1. Identifiant interne d’exploitation agricole*]]),"",IF(ISERROR(MATCH(CertifiedCrop[[#This Row],[1. Identifiant interne d’exploitation agricole*]],GroupMember[1. Identifiant interne d’exploitation agricole*],0)),FALSE,TRUE))</f>
        <v>1</v>
      </c>
      <c r="K650" s="122" t="b">
        <f t="array" ref="K650">IF(ISBLANK(CertifiedCrop[[#This Row],[2. Produit agricole certifié*]]),"",IF(ISERROR(MATCH(1,(#REF!=CertifiedCrop[[#This Row],[2. Produit agricole certifié*]])*(#REF!=CertifiedCrop[[#This Row],[3. Variété**]]),0)),FALSE,TRUE))</f>
        <v>0</v>
      </c>
      <c r="L650" s="20" t="str">
        <f t="shared" si="50"/>
        <v/>
      </c>
      <c r="M650" s="54" t="str">
        <f t="shared" si="51"/>
        <v>!</v>
      </c>
      <c r="N650" s="54" t="str">
        <f t="shared" si="52"/>
        <v/>
      </c>
      <c r="O650" s="55">
        <f t="shared" si="53"/>
        <v>551.49501661129568</v>
      </c>
      <c r="P650" s="55">
        <f t="shared" si="54"/>
        <v>519.26910299003328</v>
      </c>
      <c r="Q650" s="9" t="str">
        <f ca="1">IFERROR((VLOOKUP(A650,GM_Table,8,FALSE)-SUMIFS(D:D,A:A,A650,B:B,B650,C:C,C650)),"")</f>
        <v/>
      </c>
      <c r="R650" s="9" t="str">
        <f ca="1">IFERROR(CONCATENATE(VLOOKUP(A650,GM_Table,12,FALSE)," ",(VLOOKUP(A650,GM_Table,13,FALSE))),"")</f>
        <v/>
      </c>
    </row>
    <row r="651" spans="1:18" ht="15" x14ac:dyDescent="0.2">
      <c r="A651" s="193" t="s">
        <v>2460</v>
      </c>
      <c r="B651" s="9" t="s">
        <v>3290</v>
      </c>
      <c r="C651" s="9" t="s">
        <v>3291</v>
      </c>
      <c r="D651" s="252">
        <v>1.84</v>
      </c>
      <c r="E651" s="245">
        <v>1155</v>
      </c>
      <c r="F651" s="246">
        <v>1078</v>
      </c>
      <c r="G651" s="247">
        <v>960</v>
      </c>
      <c r="H651" s="9">
        <v>0</v>
      </c>
      <c r="I651" s="255">
        <v>0</v>
      </c>
      <c r="J651" s="122" t="b">
        <f>IF(ISBLANK(CertifiedCrop[[#This Row],[1. Identifiant interne d’exploitation agricole*]]),"",IF(ISERROR(MATCH(CertifiedCrop[[#This Row],[1. Identifiant interne d’exploitation agricole*]],GroupMember[1. Identifiant interne d’exploitation agricole*],0)),FALSE,TRUE))</f>
        <v>1</v>
      </c>
      <c r="K651" s="122" t="b">
        <f t="array" ref="K651">IF(ISBLANK(CertifiedCrop[[#This Row],[2. Produit agricole certifié*]]),"",IF(ISERROR(MATCH(1,(#REF!=CertifiedCrop[[#This Row],[2. Produit agricole certifié*]])*(#REF!=CertifiedCrop[[#This Row],[3. Variété**]]),0)),FALSE,TRUE))</f>
        <v>0</v>
      </c>
      <c r="L651" s="20" t="str">
        <f t="shared" si="50"/>
        <v/>
      </c>
      <c r="M651" s="54" t="str">
        <f t="shared" si="51"/>
        <v/>
      </c>
      <c r="N651" s="54" t="str">
        <f t="shared" si="52"/>
        <v/>
      </c>
      <c r="O651" s="55">
        <f t="shared" si="53"/>
        <v>627.71739130434776</v>
      </c>
      <c r="P651" s="55">
        <f t="shared" si="54"/>
        <v>585.86956521739125</v>
      </c>
      <c r="Q651" s="9" t="str">
        <f ca="1">IFERROR((VLOOKUP(A651,GM_Table,8,FALSE)-SUMIFS(D:D,A:A,A651,B:B,B651,C:C,C651)),"")</f>
        <v/>
      </c>
      <c r="R651" s="9" t="str">
        <f ca="1">IFERROR(CONCATENATE(VLOOKUP(A651,GM_Table,12,FALSE)," ",(VLOOKUP(A651,GM_Table,13,FALSE))),"")</f>
        <v/>
      </c>
    </row>
    <row r="652" spans="1:18" ht="15" x14ac:dyDescent="0.2">
      <c r="A652" s="193" t="s">
        <v>2464</v>
      </c>
      <c r="B652" s="9" t="s">
        <v>3290</v>
      </c>
      <c r="C652" s="9" t="s">
        <v>3291</v>
      </c>
      <c r="D652" s="252">
        <v>1.23</v>
      </c>
      <c r="E652" s="221">
        <v>665</v>
      </c>
      <c r="F652" s="246">
        <v>635</v>
      </c>
      <c r="G652" s="247">
        <v>524</v>
      </c>
      <c r="H652" s="9">
        <v>0</v>
      </c>
      <c r="I652" s="255">
        <v>0</v>
      </c>
      <c r="J652" s="122" t="b">
        <f>IF(ISBLANK(CertifiedCrop[[#This Row],[1. Identifiant interne d’exploitation agricole*]]),"",IF(ISERROR(MATCH(CertifiedCrop[[#This Row],[1. Identifiant interne d’exploitation agricole*]],GroupMember[1. Identifiant interne d’exploitation agricole*],0)),FALSE,TRUE))</f>
        <v>1</v>
      </c>
      <c r="K652" s="122" t="b">
        <f t="array" ref="K652">IF(ISBLANK(CertifiedCrop[[#This Row],[2. Produit agricole certifié*]]),"",IF(ISERROR(MATCH(1,(#REF!=CertifiedCrop[[#This Row],[2. Produit agricole certifié*]])*(#REF!=CertifiedCrop[[#This Row],[3. Variété**]]),0)),FALSE,TRUE))</f>
        <v>0</v>
      </c>
      <c r="L652" s="20" t="str">
        <f t="shared" si="50"/>
        <v/>
      </c>
      <c r="M652" s="54" t="str">
        <f t="shared" si="51"/>
        <v/>
      </c>
      <c r="N652" s="54" t="str">
        <f t="shared" si="52"/>
        <v/>
      </c>
      <c r="O652" s="55">
        <f t="shared" si="53"/>
        <v>540.65040650406502</v>
      </c>
      <c r="P652" s="55">
        <f t="shared" si="54"/>
        <v>516.26016260162601</v>
      </c>
      <c r="Q652" s="9" t="str">
        <f ca="1">IFERROR((VLOOKUP(A652,GM_Table,8,FALSE)-SUMIFS(D:D,A:A,A652,B:B,B652,C:C,C652)),"")</f>
        <v/>
      </c>
      <c r="R652" s="9" t="str">
        <f ca="1">IFERROR(CONCATENATE(VLOOKUP(A652,GM_Table,12,FALSE)," ",(VLOOKUP(A652,GM_Table,13,FALSE))),"")</f>
        <v/>
      </c>
    </row>
    <row r="653" spans="1:18" ht="15" x14ac:dyDescent="0.2">
      <c r="A653" s="193" t="s">
        <v>2465</v>
      </c>
      <c r="B653" s="9" t="s">
        <v>3290</v>
      </c>
      <c r="C653" s="9" t="s">
        <v>3291</v>
      </c>
      <c r="D653" s="252">
        <v>1.01</v>
      </c>
      <c r="E653" s="221">
        <v>598</v>
      </c>
      <c r="F653" s="246">
        <v>574</v>
      </c>
      <c r="G653" s="247">
        <v>428</v>
      </c>
      <c r="H653" s="9">
        <v>0</v>
      </c>
      <c r="I653" s="255">
        <v>0</v>
      </c>
      <c r="J653" s="122" t="b">
        <f>IF(ISBLANK(CertifiedCrop[[#This Row],[1. Identifiant interne d’exploitation agricole*]]),"",IF(ISERROR(MATCH(CertifiedCrop[[#This Row],[1. Identifiant interne d’exploitation agricole*]],GroupMember[1. Identifiant interne d’exploitation agricole*],0)),FALSE,TRUE))</f>
        <v>1</v>
      </c>
      <c r="K653" s="122" t="b">
        <f t="array" ref="K653">IF(ISBLANK(CertifiedCrop[[#This Row],[2. Produit agricole certifié*]]),"",IF(ISERROR(MATCH(1,(#REF!=CertifiedCrop[[#This Row],[2. Produit agricole certifié*]])*(#REF!=CertifiedCrop[[#This Row],[3. Variété**]]),0)),FALSE,TRUE))</f>
        <v>0</v>
      </c>
      <c r="L653" s="20" t="str">
        <f t="shared" si="50"/>
        <v/>
      </c>
      <c r="M653" s="54" t="str">
        <f t="shared" si="51"/>
        <v>!</v>
      </c>
      <c r="N653" s="54" t="str">
        <f t="shared" si="52"/>
        <v/>
      </c>
      <c r="O653" s="55">
        <f t="shared" si="53"/>
        <v>592.0792079207921</v>
      </c>
      <c r="P653" s="55">
        <f t="shared" si="54"/>
        <v>568.31683168316829</v>
      </c>
      <c r="Q653" s="9" t="str">
        <f ca="1">IFERROR((VLOOKUP(A653,GM_Table,8,FALSE)-SUMIFS(D:D,A:A,A653,B:B,B653,C:C,C653)),"")</f>
        <v/>
      </c>
      <c r="R653" s="9" t="str">
        <f ca="1">IFERROR(CONCATENATE(VLOOKUP(A653,GM_Table,12,FALSE)," ",(VLOOKUP(A653,GM_Table,13,FALSE))),"")</f>
        <v/>
      </c>
    </row>
    <row r="654" spans="1:18" ht="15" x14ac:dyDescent="0.2">
      <c r="A654" s="193" t="s">
        <v>2469</v>
      </c>
      <c r="B654" s="9" t="s">
        <v>3290</v>
      </c>
      <c r="C654" s="9" t="s">
        <v>3291</v>
      </c>
      <c r="D654" s="252">
        <v>2.11</v>
      </c>
      <c r="E654" s="245">
        <v>1155</v>
      </c>
      <c r="F654" s="246">
        <v>1087</v>
      </c>
      <c r="G654" s="247">
        <v>838</v>
      </c>
      <c r="H654" s="9">
        <v>0</v>
      </c>
      <c r="I654" s="255">
        <v>0</v>
      </c>
      <c r="J654" s="122" t="b">
        <f>IF(ISBLANK(CertifiedCrop[[#This Row],[1. Identifiant interne d’exploitation agricole*]]),"",IF(ISERROR(MATCH(CertifiedCrop[[#This Row],[1. Identifiant interne d’exploitation agricole*]],GroupMember[1. Identifiant interne d’exploitation agricole*],0)),FALSE,TRUE))</f>
        <v>1</v>
      </c>
      <c r="K654" s="122" t="b">
        <f t="array" ref="K654">IF(ISBLANK(CertifiedCrop[[#This Row],[2. Produit agricole certifié*]]),"",IF(ISERROR(MATCH(1,(#REF!=CertifiedCrop[[#This Row],[2. Produit agricole certifié*]])*(#REF!=CertifiedCrop[[#This Row],[3. Variété**]]),0)),FALSE,TRUE))</f>
        <v>0</v>
      </c>
      <c r="L654" s="20" t="str">
        <f t="shared" si="50"/>
        <v/>
      </c>
      <c r="M654" s="54" t="str">
        <f t="shared" si="51"/>
        <v>!</v>
      </c>
      <c r="N654" s="54" t="str">
        <f t="shared" si="52"/>
        <v/>
      </c>
      <c r="O654" s="55">
        <f t="shared" si="53"/>
        <v>547.39336492890993</v>
      </c>
      <c r="P654" s="55">
        <f t="shared" si="54"/>
        <v>515.16587677725124</v>
      </c>
      <c r="Q654" s="9" t="str">
        <f ca="1">IFERROR((VLOOKUP(A654,GM_Table,8,FALSE)-SUMIFS(D:D,A:A,A654,B:B,B654,C:C,C654)),"")</f>
        <v/>
      </c>
      <c r="R654" s="9" t="str">
        <f ca="1">IFERROR(CONCATENATE(VLOOKUP(A654,GM_Table,12,FALSE)," ",(VLOOKUP(A654,GM_Table,13,FALSE))),"")</f>
        <v/>
      </c>
    </row>
    <row r="655" spans="1:18" ht="15" x14ac:dyDescent="0.2">
      <c r="A655" s="193" t="s">
        <v>2472</v>
      </c>
      <c r="B655" s="9" t="s">
        <v>3290</v>
      </c>
      <c r="C655" s="9" t="s">
        <v>3291</v>
      </c>
      <c r="D655" s="252">
        <v>2.0699999999999998</v>
      </c>
      <c r="E655" s="245">
        <v>1225</v>
      </c>
      <c r="F655" s="246">
        <v>1187</v>
      </c>
      <c r="G655" s="247">
        <v>927</v>
      </c>
      <c r="H655" s="9">
        <v>0</v>
      </c>
      <c r="I655" s="255">
        <v>0</v>
      </c>
      <c r="J655" s="122" t="b">
        <f>IF(ISBLANK(CertifiedCrop[[#This Row],[1. Identifiant interne d’exploitation agricole*]]),"",IF(ISERROR(MATCH(CertifiedCrop[[#This Row],[1. Identifiant interne d’exploitation agricole*]],GroupMember[1. Identifiant interne d’exploitation agricole*],0)),FALSE,TRUE))</f>
        <v>1</v>
      </c>
      <c r="K655" s="122" t="b">
        <f t="array" ref="K655">IF(ISBLANK(CertifiedCrop[[#This Row],[2. Produit agricole certifié*]]),"",IF(ISERROR(MATCH(1,(#REF!=CertifiedCrop[[#This Row],[2. Produit agricole certifié*]])*(#REF!=CertifiedCrop[[#This Row],[3. Variété**]]),0)),FALSE,TRUE))</f>
        <v>0</v>
      </c>
      <c r="L655" s="20" t="str">
        <f t="shared" si="50"/>
        <v/>
      </c>
      <c r="M655" s="54" t="str">
        <f t="shared" si="51"/>
        <v>!</v>
      </c>
      <c r="N655" s="54" t="str">
        <f t="shared" si="52"/>
        <v/>
      </c>
      <c r="O655" s="55">
        <f t="shared" si="53"/>
        <v>591.78743961352666</v>
      </c>
      <c r="P655" s="55">
        <f t="shared" si="54"/>
        <v>573.42995169082133</v>
      </c>
      <c r="Q655" s="9" t="str">
        <f ca="1">IFERROR((VLOOKUP(A655,GM_Table,8,FALSE)-SUMIFS(D:D,A:A,A655,B:B,B655,C:C,C655)),"")</f>
        <v/>
      </c>
      <c r="R655" s="9" t="str">
        <f ca="1">IFERROR(CONCATENATE(VLOOKUP(A655,GM_Table,12,FALSE)," ",(VLOOKUP(A655,GM_Table,13,FALSE))),"")</f>
        <v/>
      </c>
    </row>
    <row r="656" spans="1:18" ht="15" x14ac:dyDescent="0.2">
      <c r="A656" s="193" t="s">
        <v>2475</v>
      </c>
      <c r="B656" s="9" t="s">
        <v>3290</v>
      </c>
      <c r="C656" s="9" t="s">
        <v>3291</v>
      </c>
      <c r="D656" s="252">
        <v>4.04</v>
      </c>
      <c r="E656" s="245">
        <v>2114</v>
      </c>
      <c r="F656" s="246">
        <v>2069</v>
      </c>
      <c r="G656" s="247">
        <v>1862</v>
      </c>
      <c r="H656" s="9">
        <v>0</v>
      </c>
      <c r="I656" s="255">
        <v>0</v>
      </c>
      <c r="J656" s="122" t="b">
        <f>IF(ISBLANK(CertifiedCrop[[#This Row],[1. Identifiant interne d’exploitation agricole*]]),"",IF(ISERROR(MATCH(CertifiedCrop[[#This Row],[1. Identifiant interne d’exploitation agricole*]],GroupMember[1. Identifiant interne d’exploitation agricole*],0)),FALSE,TRUE))</f>
        <v>1</v>
      </c>
      <c r="K656" s="122" t="b">
        <f t="array" ref="K656">IF(ISBLANK(CertifiedCrop[[#This Row],[2. Produit agricole certifié*]]),"",IF(ISERROR(MATCH(1,(#REF!=CertifiedCrop[[#This Row],[2. Produit agricole certifié*]])*(#REF!=CertifiedCrop[[#This Row],[3. Variété**]]),0)),FALSE,TRUE))</f>
        <v>0</v>
      </c>
      <c r="L656" s="20" t="str">
        <f t="shared" si="50"/>
        <v/>
      </c>
      <c r="M656" s="54" t="str">
        <f t="shared" si="51"/>
        <v/>
      </c>
      <c r="N656" s="54" t="str">
        <f t="shared" si="52"/>
        <v/>
      </c>
      <c r="O656" s="55">
        <f t="shared" si="53"/>
        <v>523.26732673267327</v>
      </c>
      <c r="P656" s="55">
        <f t="shared" si="54"/>
        <v>512.12871287128712</v>
      </c>
      <c r="Q656" s="9" t="str">
        <f ca="1">IFERROR((VLOOKUP(A656,GM_Table,8,FALSE)-SUMIFS(D:D,A:A,A656,B:B,B656,C:C,C656)),"")</f>
        <v/>
      </c>
      <c r="R656" s="9" t="str">
        <f ca="1">IFERROR(CONCATENATE(VLOOKUP(A656,GM_Table,12,FALSE)," ",(VLOOKUP(A656,GM_Table,13,FALSE))),"")</f>
        <v/>
      </c>
    </row>
    <row r="657" spans="1:18" ht="15" x14ac:dyDescent="0.2">
      <c r="A657" s="193" t="s">
        <v>2478</v>
      </c>
      <c r="B657" s="9" t="s">
        <v>3290</v>
      </c>
      <c r="C657" s="9" t="s">
        <v>3291</v>
      </c>
      <c r="D657" s="252">
        <v>4.26</v>
      </c>
      <c r="E657" s="245">
        <v>2558</v>
      </c>
      <c r="F657" s="246">
        <v>2478</v>
      </c>
      <c r="G657" s="247">
        <v>2285</v>
      </c>
      <c r="H657" s="9">
        <v>0</v>
      </c>
      <c r="I657" s="255">
        <v>0</v>
      </c>
      <c r="J657" s="122" t="b">
        <f>IF(ISBLANK(CertifiedCrop[[#This Row],[1. Identifiant interne d’exploitation agricole*]]),"",IF(ISERROR(MATCH(CertifiedCrop[[#This Row],[1. Identifiant interne d’exploitation agricole*]],GroupMember[1. Identifiant interne d’exploitation agricole*],0)),FALSE,TRUE))</f>
        <v>1</v>
      </c>
      <c r="K657" s="122" t="b">
        <f t="array" ref="K657">IF(ISBLANK(CertifiedCrop[[#This Row],[2. Produit agricole certifié*]]),"",IF(ISERROR(MATCH(1,(#REF!=CertifiedCrop[[#This Row],[2. Produit agricole certifié*]])*(#REF!=CertifiedCrop[[#This Row],[3. Variété**]]),0)),FALSE,TRUE))</f>
        <v>0</v>
      </c>
      <c r="L657" s="20" t="str">
        <f t="shared" si="50"/>
        <v/>
      </c>
      <c r="M657" s="54" t="str">
        <f t="shared" si="51"/>
        <v/>
      </c>
      <c r="N657" s="54" t="str">
        <f t="shared" si="52"/>
        <v/>
      </c>
      <c r="O657" s="55">
        <f t="shared" si="53"/>
        <v>600.46948356807513</v>
      </c>
      <c r="P657" s="55">
        <f t="shared" si="54"/>
        <v>581.69014084507046</v>
      </c>
      <c r="Q657" s="9" t="str">
        <f ca="1">IFERROR((VLOOKUP(A657,GM_Table,8,FALSE)-SUMIFS(D:D,A:A,A657,B:B,B657,C:C,C657)),"")</f>
        <v/>
      </c>
      <c r="R657" s="9" t="str">
        <f ca="1">IFERROR(CONCATENATE(VLOOKUP(A657,GM_Table,12,FALSE)," ",(VLOOKUP(A657,GM_Table,13,FALSE))),"")</f>
        <v/>
      </c>
    </row>
    <row r="658" spans="1:18" ht="15" x14ac:dyDescent="0.2">
      <c r="A658" s="193" t="s">
        <v>2481</v>
      </c>
      <c r="B658" s="9" t="s">
        <v>3290</v>
      </c>
      <c r="C658" s="9" t="s">
        <v>3291</v>
      </c>
      <c r="D658" s="252">
        <v>2.0099999999999998</v>
      </c>
      <c r="E658" s="245">
        <v>1279</v>
      </c>
      <c r="F658" s="246">
        <v>1205</v>
      </c>
      <c r="G658" s="247">
        <v>985</v>
      </c>
      <c r="H658" s="9">
        <v>0</v>
      </c>
      <c r="I658" s="255">
        <v>0</v>
      </c>
      <c r="J658" s="122" t="b">
        <f>IF(ISBLANK(CertifiedCrop[[#This Row],[1. Identifiant interne d’exploitation agricole*]]),"",IF(ISERROR(MATCH(CertifiedCrop[[#This Row],[1. Identifiant interne d’exploitation agricole*]],GroupMember[1. Identifiant interne d’exploitation agricole*],0)),FALSE,TRUE))</f>
        <v>1</v>
      </c>
      <c r="K658" s="122" t="b">
        <f t="array" ref="K658">IF(ISBLANK(CertifiedCrop[[#This Row],[2. Produit agricole certifié*]]),"",IF(ISERROR(MATCH(1,(#REF!=CertifiedCrop[[#This Row],[2. Produit agricole certifié*]])*(#REF!=CertifiedCrop[[#This Row],[3. Variété**]]),0)),FALSE,TRUE))</f>
        <v>0</v>
      </c>
      <c r="L658" s="20" t="str">
        <f t="shared" si="50"/>
        <v/>
      </c>
      <c r="M658" s="54" t="str">
        <f t="shared" si="51"/>
        <v/>
      </c>
      <c r="N658" s="54" t="str">
        <f t="shared" si="52"/>
        <v/>
      </c>
      <c r="O658" s="55">
        <f t="shared" si="53"/>
        <v>636.31840796019912</v>
      </c>
      <c r="P658" s="55">
        <f t="shared" si="54"/>
        <v>599.50248756218912</v>
      </c>
      <c r="Q658" s="9" t="str">
        <f ca="1">IFERROR((VLOOKUP(A658,GM_Table,8,FALSE)-SUMIFS(D:D,A:A,A658,B:B,B658,C:C,C658)),"")</f>
        <v/>
      </c>
      <c r="R658" s="9" t="str">
        <f ca="1">IFERROR(CONCATENATE(VLOOKUP(A658,GM_Table,12,FALSE)," ",(VLOOKUP(A658,GM_Table,13,FALSE))),"")</f>
        <v/>
      </c>
    </row>
    <row r="659" spans="1:18" ht="15" x14ac:dyDescent="0.2">
      <c r="A659" s="193" t="s">
        <v>2483</v>
      </c>
      <c r="B659" s="9" t="s">
        <v>3290</v>
      </c>
      <c r="C659" s="9" t="s">
        <v>3291</v>
      </c>
      <c r="D659" s="252">
        <v>1.46</v>
      </c>
      <c r="E659" s="221">
        <v>916</v>
      </c>
      <c r="F659" s="246">
        <v>904</v>
      </c>
      <c r="G659" s="247">
        <v>359</v>
      </c>
      <c r="H659" s="9">
        <v>0</v>
      </c>
      <c r="I659" s="255">
        <v>0</v>
      </c>
      <c r="J659" s="122" t="b">
        <f>IF(ISBLANK(CertifiedCrop[[#This Row],[1. Identifiant interne d’exploitation agricole*]]),"",IF(ISERROR(MATCH(CertifiedCrop[[#This Row],[1. Identifiant interne d’exploitation agricole*]],GroupMember[1. Identifiant interne d’exploitation agricole*],0)),FALSE,TRUE))</f>
        <v>1</v>
      </c>
      <c r="K659" s="122" t="b">
        <f t="array" ref="K659">IF(ISBLANK(CertifiedCrop[[#This Row],[2. Produit agricole certifié*]]),"",IF(ISERROR(MATCH(1,(#REF!=CertifiedCrop[[#This Row],[2. Produit agricole certifié*]])*(#REF!=CertifiedCrop[[#This Row],[3. Variété**]]),0)),FALSE,TRUE))</f>
        <v>0</v>
      </c>
      <c r="L659" s="20" t="str">
        <f t="shared" si="50"/>
        <v/>
      </c>
      <c r="M659" s="54" t="str">
        <f t="shared" si="51"/>
        <v>!</v>
      </c>
      <c r="N659" s="54" t="str">
        <f t="shared" si="52"/>
        <v/>
      </c>
      <c r="O659" s="55">
        <f t="shared" si="53"/>
        <v>627.39726027397262</v>
      </c>
      <c r="P659" s="55">
        <f t="shared" si="54"/>
        <v>619.17808219178085</v>
      </c>
      <c r="Q659" s="9" t="str">
        <f ca="1">IFERROR((VLOOKUP(A659,GM_Table,8,FALSE)-SUMIFS(D:D,A:A,A659,B:B,B659,C:C,C659)),"")</f>
        <v/>
      </c>
      <c r="R659" s="9" t="str">
        <f ca="1">IFERROR(CONCATENATE(VLOOKUP(A659,GM_Table,12,FALSE)," ",(VLOOKUP(A659,GM_Table,13,FALSE))),"")</f>
        <v/>
      </c>
    </row>
    <row r="660" spans="1:18" ht="15" x14ac:dyDescent="0.2">
      <c r="A660" s="193" t="s">
        <v>2486</v>
      </c>
      <c r="B660" s="9" t="s">
        <v>3290</v>
      </c>
      <c r="C660" s="9" t="s">
        <v>3291</v>
      </c>
      <c r="D660" s="252">
        <v>4.09</v>
      </c>
      <c r="E660" s="245">
        <v>2384</v>
      </c>
      <c r="F660" s="246">
        <v>2308</v>
      </c>
      <c r="G660" s="247">
        <v>2308</v>
      </c>
      <c r="H660" s="9">
        <v>0</v>
      </c>
      <c r="I660" s="255">
        <v>0</v>
      </c>
      <c r="J660" s="122" t="b">
        <f>IF(ISBLANK(CertifiedCrop[[#This Row],[1. Identifiant interne d’exploitation agricole*]]),"",IF(ISERROR(MATCH(CertifiedCrop[[#This Row],[1. Identifiant interne d’exploitation agricole*]],GroupMember[1. Identifiant interne d’exploitation agricole*],0)),FALSE,TRUE))</f>
        <v>1</v>
      </c>
      <c r="K660" s="122" t="b">
        <f t="array" ref="K660">IF(ISBLANK(CertifiedCrop[[#This Row],[2. Produit agricole certifié*]]),"",IF(ISERROR(MATCH(1,(#REF!=CertifiedCrop[[#This Row],[2. Produit agricole certifié*]])*(#REF!=CertifiedCrop[[#This Row],[3. Variété**]]),0)),FALSE,TRUE))</f>
        <v>0</v>
      </c>
      <c r="L660" s="20" t="str">
        <f t="shared" si="50"/>
        <v/>
      </c>
      <c r="M660" s="54" t="str">
        <f t="shared" si="51"/>
        <v/>
      </c>
      <c r="N660" s="54" t="str">
        <f t="shared" si="52"/>
        <v/>
      </c>
      <c r="O660" s="55">
        <f t="shared" si="53"/>
        <v>582.88508557457214</v>
      </c>
      <c r="P660" s="55">
        <f t="shared" si="54"/>
        <v>564.30317848410755</v>
      </c>
      <c r="Q660" s="9" t="str">
        <f ca="1">IFERROR((VLOOKUP(A660,GM_Table,8,FALSE)-SUMIFS(D:D,A:A,A660,B:B,B660,C:C,C660)),"")</f>
        <v/>
      </c>
      <c r="R660" s="9" t="str">
        <f ca="1">IFERROR(CONCATENATE(VLOOKUP(A660,GM_Table,12,FALSE)," ",(VLOOKUP(A660,GM_Table,13,FALSE))),"")</f>
        <v/>
      </c>
    </row>
    <row r="661" spans="1:18" ht="15" x14ac:dyDescent="0.2">
      <c r="A661" s="193" t="s">
        <v>2488</v>
      </c>
      <c r="B661" s="9" t="s">
        <v>3290</v>
      </c>
      <c r="C661" s="9" t="s">
        <v>3291</v>
      </c>
      <c r="D661" s="252">
        <v>6.2</v>
      </c>
      <c r="E661" s="245">
        <v>3947</v>
      </c>
      <c r="F661" s="246">
        <v>3845</v>
      </c>
      <c r="G661" s="247">
        <v>3362</v>
      </c>
      <c r="H661" s="9">
        <v>0</v>
      </c>
      <c r="I661" s="255">
        <v>0</v>
      </c>
      <c r="J661" s="122" t="b">
        <f>IF(ISBLANK(CertifiedCrop[[#This Row],[1. Identifiant interne d’exploitation agricole*]]),"",IF(ISERROR(MATCH(CertifiedCrop[[#This Row],[1. Identifiant interne d’exploitation agricole*]],GroupMember[1. Identifiant interne d’exploitation agricole*],0)),FALSE,TRUE))</f>
        <v>1</v>
      </c>
      <c r="K661" s="122" t="b">
        <f t="array" ref="K661">IF(ISBLANK(CertifiedCrop[[#This Row],[2. Produit agricole certifié*]]),"",IF(ISERROR(MATCH(1,(#REF!=CertifiedCrop[[#This Row],[2. Produit agricole certifié*]])*(#REF!=CertifiedCrop[[#This Row],[3. Variété**]]),0)),FALSE,TRUE))</f>
        <v>0</v>
      </c>
      <c r="L661" s="20" t="str">
        <f t="shared" si="50"/>
        <v/>
      </c>
      <c r="M661" s="54" t="str">
        <f t="shared" si="51"/>
        <v/>
      </c>
      <c r="N661" s="54" t="str">
        <f t="shared" si="52"/>
        <v/>
      </c>
      <c r="O661" s="55">
        <f t="shared" si="53"/>
        <v>636.61290322580646</v>
      </c>
      <c r="P661" s="55">
        <f t="shared" si="54"/>
        <v>620.16129032258061</v>
      </c>
      <c r="Q661" s="9" t="str">
        <f ca="1">IFERROR((VLOOKUP(A661,GM_Table,8,FALSE)-SUMIFS(D:D,A:A,A661,B:B,B661,C:C,C661)),"")</f>
        <v/>
      </c>
      <c r="R661" s="9" t="str">
        <f ca="1">IFERROR(CONCATENATE(VLOOKUP(A661,GM_Table,12,FALSE)," ",(VLOOKUP(A661,GM_Table,13,FALSE))),"")</f>
        <v/>
      </c>
    </row>
    <row r="662" spans="1:18" ht="15" x14ac:dyDescent="0.2">
      <c r="A662" s="193" t="s">
        <v>2491</v>
      </c>
      <c r="B662" s="9" t="s">
        <v>3290</v>
      </c>
      <c r="C662" s="9" t="s">
        <v>3291</v>
      </c>
      <c r="D662" s="252">
        <v>4.95</v>
      </c>
      <c r="E662" s="245">
        <v>2705</v>
      </c>
      <c r="F662" s="246">
        <v>2689</v>
      </c>
      <c r="G662" s="247">
        <v>2142</v>
      </c>
      <c r="H662" s="9">
        <v>0</v>
      </c>
      <c r="I662" s="255">
        <v>0</v>
      </c>
      <c r="J662" s="122" t="b">
        <f>IF(ISBLANK(CertifiedCrop[[#This Row],[1. Identifiant interne d’exploitation agricole*]]),"",IF(ISERROR(MATCH(CertifiedCrop[[#This Row],[1. Identifiant interne d’exploitation agricole*]],GroupMember[1. Identifiant interne d’exploitation agricole*],0)),FALSE,TRUE))</f>
        <v>1</v>
      </c>
      <c r="K662" s="122" t="b">
        <f t="array" ref="K662">IF(ISBLANK(CertifiedCrop[[#This Row],[2. Produit agricole certifié*]]),"",IF(ISERROR(MATCH(1,(#REF!=CertifiedCrop[[#This Row],[2. Produit agricole certifié*]])*(#REF!=CertifiedCrop[[#This Row],[3. Variété**]]),0)),FALSE,TRUE))</f>
        <v>0</v>
      </c>
      <c r="L662" s="20" t="str">
        <f t="shared" si="50"/>
        <v/>
      </c>
      <c r="M662" s="54" t="str">
        <f t="shared" si="51"/>
        <v>!</v>
      </c>
      <c r="N662" s="54" t="str">
        <f t="shared" si="52"/>
        <v/>
      </c>
      <c r="O662" s="55">
        <f t="shared" si="53"/>
        <v>546.46464646464642</v>
      </c>
      <c r="P662" s="55">
        <f t="shared" si="54"/>
        <v>543.23232323232321</v>
      </c>
      <c r="Q662" s="9" t="str">
        <f ca="1">IFERROR((VLOOKUP(A662,GM_Table,8,FALSE)-SUMIFS(D:D,A:A,A662,B:B,B662,C:C,C662)),"")</f>
        <v/>
      </c>
      <c r="R662" s="9" t="str">
        <f ca="1">IFERROR(CONCATENATE(VLOOKUP(A662,GM_Table,12,FALSE)," ",(VLOOKUP(A662,GM_Table,13,FALSE))),"")</f>
        <v/>
      </c>
    </row>
    <row r="663" spans="1:18" ht="15" x14ac:dyDescent="0.2">
      <c r="A663" s="193" t="s">
        <v>2494</v>
      </c>
      <c r="B663" s="9" t="s">
        <v>3290</v>
      </c>
      <c r="C663" s="9" t="s">
        <v>3291</v>
      </c>
      <c r="D663" s="252">
        <v>1.46</v>
      </c>
      <c r="E663" s="221">
        <v>881</v>
      </c>
      <c r="F663" s="246">
        <v>841</v>
      </c>
      <c r="G663" s="247">
        <v>728</v>
      </c>
      <c r="H663" s="9">
        <v>0</v>
      </c>
      <c r="I663" s="255">
        <v>0</v>
      </c>
      <c r="J663" s="122" t="b">
        <f>IF(ISBLANK(CertifiedCrop[[#This Row],[1. Identifiant interne d’exploitation agricole*]]),"",IF(ISERROR(MATCH(CertifiedCrop[[#This Row],[1. Identifiant interne d’exploitation agricole*]],GroupMember[1. Identifiant interne d’exploitation agricole*],0)),FALSE,TRUE))</f>
        <v>1</v>
      </c>
      <c r="K663" s="122" t="b">
        <f t="array" ref="K663">IF(ISBLANK(CertifiedCrop[[#This Row],[2. Produit agricole certifié*]]),"",IF(ISERROR(MATCH(1,(#REF!=CertifiedCrop[[#This Row],[2. Produit agricole certifié*]])*(#REF!=CertifiedCrop[[#This Row],[3. Variété**]]),0)),FALSE,TRUE))</f>
        <v>0</v>
      </c>
      <c r="L663" s="20" t="str">
        <f t="shared" si="50"/>
        <v/>
      </c>
      <c r="M663" s="54" t="str">
        <f t="shared" si="51"/>
        <v/>
      </c>
      <c r="N663" s="54" t="str">
        <f t="shared" si="52"/>
        <v/>
      </c>
      <c r="O663" s="55">
        <f t="shared" si="53"/>
        <v>603.42465753424653</v>
      </c>
      <c r="P663" s="55">
        <f t="shared" si="54"/>
        <v>576.02739726027403</v>
      </c>
      <c r="Q663" s="9" t="str">
        <f ca="1">IFERROR((VLOOKUP(A663,GM_Table,8,FALSE)-SUMIFS(D:D,A:A,A663,B:B,B663,C:C,C663)),"")</f>
        <v/>
      </c>
      <c r="R663" s="9" t="str">
        <f ca="1">IFERROR(CONCATENATE(VLOOKUP(A663,GM_Table,12,FALSE)," ",(VLOOKUP(A663,GM_Table,13,FALSE))),"")</f>
        <v/>
      </c>
    </row>
    <row r="664" spans="1:18" ht="15" x14ac:dyDescent="0.2">
      <c r="A664" s="193" t="s">
        <v>2498</v>
      </c>
      <c r="B664" s="9" t="s">
        <v>3290</v>
      </c>
      <c r="C664" s="9" t="s">
        <v>3291</v>
      </c>
      <c r="D664" s="252">
        <v>3.73</v>
      </c>
      <c r="E664" s="245">
        <v>2208</v>
      </c>
      <c r="F664" s="246">
        <v>2165</v>
      </c>
      <c r="G664" s="247">
        <v>2165</v>
      </c>
      <c r="H664" s="9">
        <v>0</v>
      </c>
      <c r="I664" s="255">
        <v>0</v>
      </c>
      <c r="J664" s="122" t="b">
        <f>IF(ISBLANK(CertifiedCrop[[#This Row],[1. Identifiant interne d’exploitation agricole*]]),"",IF(ISERROR(MATCH(CertifiedCrop[[#This Row],[1. Identifiant interne d’exploitation agricole*]],GroupMember[1. Identifiant interne d’exploitation agricole*],0)),FALSE,TRUE))</f>
        <v>1</v>
      </c>
      <c r="K664" s="122" t="b">
        <f t="array" ref="K664">IF(ISBLANK(CertifiedCrop[[#This Row],[2. Produit agricole certifié*]]),"",IF(ISERROR(MATCH(1,(#REF!=CertifiedCrop[[#This Row],[2. Produit agricole certifié*]])*(#REF!=CertifiedCrop[[#This Row],[3. Variété**]]),0)),FALSE,TRUE))</f>
        <v>0</v>
      </c>
      <c r="L664" s="20" t="str">
        <f t="shared" si="50"/>
        <v/>
      </c>
      <c r="M664" s="54" t="str">
        <f t="shared" si="51"/>
        <v/>
      </c>
      <c r="N664" s="54" t="str">
        <f t="shared" si="52"/>
        <v/>
      </c>
      <c r="O664" s="55">
        <f t="shared" si="53"/>
        <v>591.95710455764072</v>
      </c>
      <c r="P664" s="55">
        <f t="shared" si="54"/>
        <v>580.42895442359247</v>
      </c>
      <c r="Q664" s="9" t="str">
        <f ca="1">IFERROR((VLOOKUP(A664,GM_Table,8,FALSE)-SUMIFS(D:D,A:A,A664,B:B,B664,C:C,C664)),"")</f>
        <v/>
      </c>
      <c r="R664" s="9" t="str">
        <f ca="1">IFERROR(CONCATENATE(VLOOKUP(A664,GM_Table,12,FALSE)," ",(VLOOKUP(A664,GM_Table,13,FALSE))),"")</f>
        <v/>
      </c>
    </row>
    <row r="665" spans="1:18" ht="15" x14ac:dyDescent="0.2">
      <c r="A665" s="193" t="s">
        <v>2500</v>
      </c>
      <c r="B665" s="9" t="s">
        <v>3290</v>
      </c>
      <c r="C665" s="9" t="s">
        <v>3291</v>
      </c>
      <c r="D665" s="252">
        <v>1.87</v>
      </c>
      <c r="E665" s="245">
        <v>1106</v>
      </c>
      <c r="F665" s="246">
        <v>1065</v>
      </c>
      <c r="G665" s="247">
        <v>990</v>
      </c>
      <c r="H665" s="9">
        <v>0</v>
      </c>
      <c r="I665" s="255">
        <v>0</v>
      </c>
      <c r="J665" s="122" t="b">
        <f>IF(ISBLANK(CertifiedCrop[[#This Row],[1. Identifiant interne d’exploitation agricole*]]),"",IF(ISERROR(MATCH(CertifiedCrop[[#This Row],[1. Identifiant interne d’exploitation agricole*]],GroupMember[1. Identifiant interne d’exploitation agricole*],0)),FALSE,TRUE))</f>
        <v>1</v>
      </c>
      <c r="K665" s="122" t="b">
        <f t="array" ref="K665">IF(ISBLANK(CertifiedCrop[[#This Row],[2. Produit agricole certifié*]]),"",IF(ISERROR(MATCH(1,(#REF!=CertifiedCrop[[#This Row],[2. Produit agricole certifié*]])*(#REF!=CertifiedCrop[[#This Row],[3. Variété**]]),0)),FALSE,TRUE))</f>
        <v>0</v>
      </c>
      <c r="L665" s="20" t="str">
        <f t="shared" si="50"/>
        <v/>
      </c>
      <c r="M665" s="54" t="str">
        <f t="shared" si="51"/>
        <v/>
      </c>
      <c r="N665" s="54" t="str">
        <f t="shared" si="52"/>
        <v/>
      </c>
      <c r="O665" s="55">
        <f t="shared" si="53"/>
        <v>591.44385026737962</v>
      </c>
      <c r="P665" s="55">
        <f t="shared" si="54"/>
        <v>569.51871657754009</v>
      </c>
      <c r="Q665" s="9" t="str">
        <f ca="1">IFERROR((VLOOKUP(A665,GM_Table,8,FALSE)-SUMIFS(D:D,A:A,A665,B:B,B665,C:C,C665)),"")</f>
        <v/>
      </c>
      <c r="R665" s="9" t="str">
        <f ca="1">IFERROR(CONCATENATE(VLOOKUP(A665,GM_Table,12,FALSE)," ",(VLOOKUP(A665,GM_Table,13,FALSE))),"")</f>
        <v/>
      </c>
    </row>
    <row r="666" spans="1:18" ht="15" x14ac:dyDescent="0.2">
      <c r="A666" s="193" t="s">
        <v>2504</v>
      </c>
      <c r="B666" s="9" t="s">
        <v>3290</v>
      </c>
      <c r="C666" s="9" t="s">
        <v>3291</v>
      </c>
      <c r="D666" s="252">
        <v>1.84</v>
      </c>
      <c r="E666" s="245">
        <v>1065</v>
      </c>
      <c r="F666" s="246">
        <v>1026</v>
      </c>
      <c r="G666" s="247">
        <v>720</v>
      </c>
      <c r="H666" s="9">
        <v>0</v>
      </c>
      <c r="I666" s="255">
        <v>0</v>
      </c>
      <c r="J666" s="122" t="b">
        <f>IF(ISBLANK(CertifiedCrop[[#This Row],[1. Identifiant interne d’exploitation agricole*]]),"",IF(ISERROR(MATCH(CertifiedCrop[[#This Row],[1. Identifiant interne d’exploitation agricole*]],GroupMember[1. Identifiant interne d’exploitation agricole*],0)),FALSE,TRUE))</f>
        <v>1</v>
      </c>
      <c r="K666" s="122" t="b">
        <f t="array" ref="K666">IF(ISBLANK(CertifiedCrop[[#This Row],[2. Produit agricole certifié*]]),"",IF(ISERROR(MATCH(1,(#REF!=CertifiedCrop[[#This Row],[2. Produit agricole certifié*]])*(#REF!=CertifiedCrop[[#This Row],[3. Variété**]]),0)),FALSE,TRUE))</f>
        <v>0</v>
      </c>
      <c r="L666" s="20" t="str">
        <f t="shared" si="50"/>
        <v/>
      </c>
      <c r="M666" s="54" t="str">
        <f t="shared" si="51"/>
        <v>!</v>
      </c>
      <c r="N666" s="54" t="str">
        <f t="shared" si="52"/>
        <v/>
      </c>
      <c r="O666" s="55">
        <f t="shared" si="53"/>
        <v>578.80434782608688</v>
      </c>
      <c r="P666" s="55">
        <f t="shared" si="54"/>
        <v>557.60869565217388</v>
      </c>
      <c r="Q666" s="9" t="str">
        <f ca="1">IFERROR((VLOOKUP(A666,GM_Table,8,FALSE)-SUMIFS(D:D,A:A,A666,B:B,B666,C:C,C666)),"")</f>
        <v/>
      </c>
      <c r="R666" s="9" t="str">
        <f ca="1">IFERROR(CONCATENATE(VLOOKUP(A666,GM_Table,12,FALSE)," ",(VLOOKUP(A666,GM_Table,13,FALSE))),"")</f>
        <v/>
      </c>
    </row>
    <row r="667" spans="1:18" ht="15" x14ac:dyDescent="0.2">
      <c r="A667" s="193" t="s">
        <v>2506</v>
      </c>
      <c r="B667" s="9" t="s">
        <v>3290</v>
      </c>
      <c r="C667" s="9" t="s">
        <v>3291</v>
      </c>
      <c r="D667" s="252">
        <v>2.31</v>
      </c>
      <c r="E667" s="245">
        <v>1314</v>
      </c>
      <c r="F667" s="246">
        <v>1236</v>
      </c>
      <c r="G667" s="247">
        <v>947</v>
      </c>
      <c r="H667" s="9">
        <v>0</v>
      </c>
      <c r="I667" s="255">
        <v>0</v>
      </c>
      <c r="J667" s="122" t="b">
        <f>IF(ISBLANK(CertifiedCrop[[#This Row],[1. Identifiant interne d’exploitation agricole*]]),"",IF(ISERROR(MATCH(CertifiedCrop[[#This Row],[1. Identifiant interne d’exploitation agricole*]],GroupMember[1. Identifiant interne d’exploitation agricole*],0)),FALSE,TRUE))</f>
        <v>1</v>
      </c>
      <c r="K667" s="122" t="b">
        <f t="array" ref="K667">IF(ISBLANK(CertifiedCrop[[#This Row],[2. Produit agricole certifié*]]),"",IF(ISERROR(MATCH(1,(#REF!=CertifiedCrop[[#This Row],[2. Produit agricole certifié*]])*(#REF!=CertifiedCrop[[#This Row],[3. Variété**]]),0)),FALSE,TRUE))</f>
        <v>0</v>
      </c>
      <c r="L667" s="20" t="str">
        <f t="shared" si="50"/>
        <v/>
      </c>
      <c r="M667" s="54" t="str">
        <f t="shared" si="51"/>
        <v>!</v>
      </c>
      <c r="N667" s="54" t="str">
        <f t="shared" si="52"/>
        <v/>
      </c>
      <c r="O667" s="55">
        <f t="shared" si="53"/>
        <v>568.83116883116884</v>
      </c>
      <c r="P667" s="55">
        <f t="shared" si="54"/>
        <v>535.06493506493507</v>
      </c>
      <c r="Q667" s="9" t="str">
        <f ca="1">IFERROR((VLOOKUP(A667,GM_Table,8,FALSE)-SUMIFS(D:D,A:A,A667,B:B,B667,C:C,C667)),"")</f>
        <v/>
      </c>
      <c r="R667" s="9" t="str">
        <f ca="1">IFERROR(CONCATENATE(VLOOKUP(A667,GM_Table,12,FALSE)," ",(VLOOKUP(A667,GM_Table,13,FALSE))),"")</f>
        <v/>
      </c>
    </row>
    <row r="668" spans="1:18" ht="15" x14ac:dyDescent="0.2">
      <c r="A668" s="193" t="s">
        <v>2509</v>
      </c>
      <c r="B668" s="9" t="s">
        <v>3290</v>
      </c>
      <c r="C668" s="9" t="s">
        <v>3291</v>
      </c>
      <c r="D668" s="252">
        <v>2.35</v>
      </c>
      <c r="E668" s="245">
        <v>1361</v>
      </c>
      <c r="F668" s="246">
        <v>1241</v>
      </c>
      <c r="G668" s="247">
        <v>679</v>
      </c>
      <c r="H668" s="9">
        <v>0</v>
      </c>
      <c r="I668" s="255">
        <v>0</v>
      </c>
      <c r="J668" s="122" t="b">
        <f>IF(ISBLANK(CertifiedCrop[[#This Row],[1. Identifiant interne d’exploitation agricole*]]),"",IF(ISERROR(MATCH(CertifiedCrop[[#This Row],[1. Identifiant interne d’exploitation agricole*]],GroupMember[1. Identifiant interne d’exploitation agricole*],0)),FALSE,TRUE))</f>
        <v>1</v>
      </c>
      <c r="K668" s="122" t="b">
        <f t="array" ref="K668">IF(ISBLANK(CertifiedCrop[[#This Row],[2. Produit agricole certifié*]]),"",IF(ISERROR(MATCH(1,(#REF!=CertifiedCrop[[#This Row],[2. Produit agricole certifié*]])*(#REF!=CertifiedCrop[[#This Row],[3. Variété**]]),0)),FALSE,TRUE))</f>
        <v>0</v>
      </c>
      <c r="L668" s="20" t="str">
        <f t="shared" si="50"/>
        <v/>
      </c>
      <c r="M668" s="54" t="str">
        <f t="shared" si="51"/>
        <v>!</v>
      </c>
      <c r="N668" s="54" t="str">
        <f t="shared" si="52"/>
        <v/>
      </c>
      <c r="O668" s="55">
        <f t="shared" si="53"/>
        <v>579.14893617021278</v>
      </c>
      <c r="P668" s="55">
        <f t="shared" si="54"/>
        <v>528.08510638297867</v>
      </c>
      <c r="Q668" s="9" t="str">
        <f ca="1">IFERROR((VLOOKUP(A668,GM_Table,8,FALSE)-SUMIFS(D:D,A:A,A668,B:B,B668,C:C,C668)),"")</f>
        <v/>
      </c>
      <c r="R668" s="9" t="str">
        <f ca="1">IFERROR(CONCATENATE(VLOOKUP(A668,GM_Table,12,FALSE)," ",(VLOOKUP(A668,GM_Table,13,FALSE))),"")</f>
        <v/>
      </c>
    </row>
    <row r="669" spans="1:18" ht="15" x14ac:dyDescent="0.2">
      <c r="A669" s="193" t="s">
        <v>2513</v>
      </c>
      <c r="B669" s="9" t="s">
        <v>3290</v>
      </c>
      <c r="C669" s="9" t="s">
        <v>3291</v>
      </c>
      <c r="D669" s="252">
        <v>1.99</v>
      </c>
      <c r="E669" s="245">
        <v>1030</v>
      </c>
      <c r="F669" s="246">
        <v>1003</v>
      </c>
      <c r="G669" s="247">
        <v>853</v>
      </c>
      <c r="H669" s="9">
        <v>0</v>
      </c>
      <c r="I669" s="255">
        <v>0</v>
      </c>
      <c r="J669" s="122" t="b">
        <f>IF(ISBLANK(CertifiedCrop[[#This Row],[1. Identifiant interne d’exploitation agricole*]]),"",IF(ISERROR(MATCH(CertifiedCrop[[#This Row],[1. Identifiant interne d’exploitation agricole*]],GroupMember[1. Identifiant interne d’exploitation agricole*],0)),FALSE,TRUE))</f>
        <v>1</v>
      </c>
      <c r="K669" s="122" t="b">
        <f t="array" ref="K669">IF(ISBLANK(CertifiedCrop[[#This Row],[2. Produit agricole certifié*]]),"",IF(ISERROR(MATCH(1,(#REF!=CertifiedCrop[[#This Row],[2. Produit agricole certifié*]])*(#REF!=CertifiedCrop[[#This Row],[3. Variété**]]),0)),FALSE,TRUE))</f>
        <v>0</v>
      </c>
      <c r="L669" s="20" t="str">
        <f t="shared" si="50"/>
        <v/>
      </c>
      <c r="M669" s="54" t="str">
        <f t="shared" si="51"/>
        <v/>
      </c>
      <c r="N669" s="54" t="str">
        <f t="shared" si="52"/>
        <v/>
      </c>
      <c r="O669" s="55">
        <f t="shared" si="53"/>
        <v>517.58793969849251</v>
      </c>
      <c r="P669" s="55">
        <f t="shared" si="54"/>
        <v>504.02010050251255</v>
      </c>
      <c r="Q669" s="9" t="str">
        <f ca="1">IFERROR((VLOOKUP(A669,GM_Table,8,FALSE)-SUMIFS(D:D,A:A,A669,B:B,B669,C:C,C669)),"")</f>
        <v/>
      </c>
      <c r="R669" s="9" t="str">
        <f ca="1">IFERROR(CONCATENATE(VLOOKUP(A669,GM_Table,12,FALSE)," ",(VLOOKUP(A669,GM_Table,13,FALSE))),"")</f>
        <v/>
      </c>
    </row>
    <row r="670" spans="1:18" ht="15" x14ac:dyDescent="0.2">
      <c r="A670" s="193" t="s">
        <v>2515</v>
      </c>
      <c r="B670" s="9" t="s">
        <v>3290</v>
      </c>
      <c r="C670" s="9" t="s">
        <v>3291</v>
      </c>
      <c r="D670" s="252">
        <v>11.09</v>
      </c>
      <c r="E670" s="245">
        <v>5993</v>
      </c>
      <c r="F670" s="246">
        <v>5589</v>
      </c>
      <c r="G670" s="247">
        <v>5221</v>
      </c>
      <c r="H670" s="9">
        <v>0</v>
      </c>
      <c r="I670" s="255">
        <v>0</v>
      </c>
      <c r="J670" s="122" t="b">
        <f>IF(ISBLANK(CertifiedCrop[[#This Row],[1. Identifiant interne d’exploitation agricole*]]),"",IF(ISERROR(MATCH(CertifiedCrop[[#This Row],[1. Identifiant interne d’exploitation agricole*]],GroupMember[1. Identifiant interne d’exploitation agricole*],0)),FALSE,TRUE))</f>
        <v>1</v>
      </c>
      <c r="K670" s="122" t="b">
        <f t="array" ref="K670">IF(ISBLANK(CertifiedCrop[[#This Row],[2. Produit agricole certifié*]]),"",IF(ISERROR(MATCH(1,(#REF!=CertifiedCrop[[#This Row],[2. Produit agricole certifié*]])*(#REF!=CertifiedCrop[[#This Row],[3. Variété**]]),0)),FALSE,TRUE))</f>
        <v>0</v>
      </c>
      <c r="L670" s="20" t="str">
        <f t="shared" si="50"/>
        <v/>
      </c>
      <c r="M670" s="54" t="str">
        <f t="shared" si="51"/>
        <v/>
      </c>
      <c r="N670" s="54" t="str">
        <f t="shared" si="52"/>
        <v/>
      </c>
      <c r="O670" s="55">
        <f t="shared" si="53"/>
        <v>540.39675383228132</v>
      </c>
      <c r="P670" s="55">
        <f t="shared" si="54"/>
        <v>503.96753832281337</v>
      </c>
      <c r="Q670" s="9" t="str">
        <f ca="1">IFERROR((VLOOKUP(A670,GM_Table,8,FALSE)-SUMIFS(D:D,A:A,A670,B:B,B670,C:C,C670)),"")</f>
        <v/>
      </c>
      <c r="R670" s="9" t="str">
        <f ca="1">IFERROR(CONCATENATE(VLOOKUP(A670,GM_Table,12,FALSE)," ",(VLOOKUP(A670,GM_Table,13,FALSE))),"")</f>
        <v/>
      </c>
    </row>
    <row r="671" spans="1:18" ht="15" x14ac:dyDescent="0.2">
      <c r="A671" s="193" t="s">
        <v>2517</v>
      </c>
      <c r="B671" s="9" t="s">
        <v>3290</v>
      </c>
      <c r="C671" s="9" t="s">
        <v>3291</v>
      </c>
      <c r="D671" s="252">
        <v>1.53</v>
      </c>
      <c r="E671" s="221">
        <v>922</v>
      </c>
      <c r="F671" s="246">
        <v>906</v>
      </c>
      <c r="G671" s="247">
        <v>531</v>
      </c>
      <c r="H671" s="9">
        <v>0</v>
      </c>
      <c r="I671" s="255">
        <v>0</v>
      </c>
      <c r="J671" s="122" t="b">
        <f>IF(ISBLANK(CertifiedCrop[[#This Row],[1. Identifiant interne d’exploitation agricole*]]),"",IF(ISERROR(MATCH(CertifiedCrop[[#This Row],[1. Identifiant interne d’exploitation agricole*]],GroupMember[1. Identifiant interne d’exploitation agricole*],0)),FALSE,TRUE))</f>
        <v>1</v>
      </c>
      <c r="K671" s="122" t="b">
        <f t="array" ref="K671">IF(ISBLANK(CertifiedCrop[[#This Row],[2. Produit agricole certifié*]]),"",IF(ISERROR(MATCH(1,(#REF!=CertifiedCrop[[#This Row],[2. Produit agricole certifié*]])*(#REF!=CertifiedCrop[[#This Row],[3. Variété**]]),0)),FALSE,TRUE))</f>
        <v>0</v>
      </c>
      <c r="L671" s="20" t="str">
        <f t="shared" si="50"/>
        <v/>
      </c>
      <c r="M671" s="54" t="str">
        <f t="shared" si="51"/>
        <v>!</v>
      </c>
      <c r="N671" s="54" t="str">
        <f t="shared" si="52"/>
        <v/>
      </c>
      <c r="O671" s="55">
        <f t="shared" si="53"/>
        <v>602.61437908496725</v>
      </c>
      <c r="P671" s="55">
        <f t="shared" si="54"/>
        <v>592.15686274509801</v>
      </c>
      <c r="Q671" s="9" t="str">
        <f ca="1">IFERROR((VLOOKUP(A671,GM_Table,8,FALSE)-SUMIFS(D:D,A:A,A671,B:B,B671,C:C,C671)),"")</f>
        <v/>
      </c>
      <c r="R671" s="9" t="str">
        <f ca="1">IFERROR(CONCATENATE(VLOOKUP(A671,GM_Table,12,FALSE)," ",(VLOOKUP(A671,GM_Table,13,FALSE))),"")</f>
        <v/>
      </c>
    </row>
    <row r="672" spans="1:18" ht="15" x14ac:dyDescent="0.2">
      <c r="A672" s="193" t="s">
        <v>2519</v>
      </c>
      <c r="B672" s="9" t="s">
        <v>3290</v>
      </c>
      <c r="C672" s="9" t="s">
        <v>3291</v>
      </c>
      <c r="D672" s="252">
        <v>1.87</v>
      </c>
      <c r="E672" s="245">
        <v>1192</v>
      </c>
      <c r="F672" s="246">
        <v>1157</v>
      </c>
      <c r="G672" s="247">
        <v>1157</v>
      </c>
      <c r="H672" s="9">
        <v>0</v>
      </c>
      <c r="I672" s="255">
        <v>0</v>
      </c>
      <c r="J672" s="122" t="b">
        <f>IF(ISBLANK(CertifiedCrop[[#This Row],[1. Identifiant interne d’exploitation agricole*]]),"",IF(ISERROR(MATCH(CertifiedCrop[[#This Row],[1. Identifiant interne d’exploitation agricole*]],GroupMember[1. Identifiant interne d’exploitation agricole*],0)),FALSE,TRUE))</f>
        <v>1</v>
      </c>
      <c r="K672" s="122" t="b">
        <f t="array" ref="K672">IF(ISBLANK(CertifiedCrop[[#This Row],[2. Produit agricole certifié*]]),"",IF(ISERROR(MATCH(1,(#REF!=CertifiedCrop[[#This Row],[2. Produit agricole certifié*]])*(#REF!=CertifiedCrop[[#This Row],[3. Variété**]]),0)),FALSE,TRUE))</f>
        <v>0</v>
      </c>
      <c r="L672" s="20" t="str">
        <f t="shared" si="50"/>
        <v/>
      </c>
      <c r="M672" s="54" t="str">
        <f t="shared" si="51"/>
        <v/>
      </c>
      <c r="N672" s="54" t="str">
        <f t="shared" si="52"/>
        <v/>
      </c>
      <c r="O672" s="55">
        <f t="shared" si="53"/>
        <v>637.43315508021385</v>
      </c>
      <c r="P672" s="55">
        <f t="shared" si="54"/>
        <v>618.71657754010687</v>
      </c>
      <c r="Q672" s="9" t="str">
        <f ca="1">IFERROR((VLOOKUP(A672,GM_Table,8,FALSE)-SUMIFS(D:D,A:A,A672,B:B,B672,C:C,C672)),"")</f>
        <v/>
      </c>
      <c r="R672" s="9" t="str">
        <f ca="1">IFERROR(CONCATENATE(VLOOKUP(A672,GM_Table,12,FALSE)," ",(VLOOKUP(A672,GM_Table,13,FALSE))),"")</f>
        <v/>
      </c>
    </row>
    <row r="673" spans="1:18" ht="15" x14ac:dyDescent="0.2">
      <c r="A673" s="193" t="s">
        <v>2522</v>
      </c>
      <c r="B673" s="9" t="s">
        <v>3290</v>
      </c>
      <c r="C673" s="9" t="s">
        <v>3291</v>
      </c>
      <c r="D673" s="252">
        <v>2.37</v>
      </c>
      <c r="E673" s="245">
        <v>1290</v>
      </c>
      <c r="F673" s="246">
        <v>1189</v>
      </c>
      <c r="G673" s="247">
        <v>1159</v>
      </c>
      <c r="H673" s="9">
        <v>0</v>
      </c>
      <c r="I673" s="255">
        <v>0</v>
      </c>
      <c r="J673" s="122" t="b">
        <f>IF(ISBLANK(CertifiedCrop[[#This Row],[1. Identifiant interne d’exploitation agricole*]]),"",IF(ISERROR(MATCH(CertifiedCrop[[#This Row],[1. Identifiant interne d’exploitation agricole*]],GroupMember[1. Identifiant interne d’exploitation agricole*],0)),FALSE,TRUE))</f>
        <v>1</v>
      </c>
      <c r="K673" s="122" t="b">
        <f t="array" ref="K673">IF(ISBLANK(CertifiedCrop[[#This Row],[2. Produit agricole certifié*]]),"",IF(ISERROR(MATCH(1,(#REF!=CertifiedCrop[[#This Row],[2. Produit agricole certifié*]])*(#REF!=CertifiedCrop[[#This Row],[3. Variété**]]),0)),FALSE,TRUE))</f>
        <v>0</v>
      </c>
      <c r="L673" s="20" t="str">
        <f t="shared" si="50"/>
        <v/>
      </c>
      <c r="M673" s="54" t="str">
        <f t="shared" si="51"/>
        <v/>
      </c>
      <c r="N673" s="54" t="str">
        <f t="shared" si="52"/>
        <v/>
      </c>
      <c r="O673" s="55">
        <f t="shared" si="53"/>
        <v>544.30379746835445</v>
      </c>
      <c r="P673" s="55">
        <f t="shared" si="54"/>
        <v>501.68776371308013</v>
      </c>
      <c r="Q673" s="9" t="str">
        <f ca="1">IFERROR((VLOOKUP(A673,GM_Table,8,FALSE)-SUMIFS(D:D,A:A,A673,B:B,B673,C:C,C673)),"")</f>
        <v/>
      </c>
      <c r="R673" s="9" t="str">
        <f ca="1">IFERROR(CONCATENATE(VLOOKUP(A673,GM_Table,12,FALSE)," ",(VLOOKUP(A673,GM_Table,13,FALSE))),"")</f>
        <v/>
      </c>
    </row>
    <row r="674" spans="1:18" ht="15" x14ac:dyDescent="0.2">
      <c r="A674" s="193" t="s">
        <v>2525</v>
      </c>
      <c r="B674" s="9" t="s">
        <v>3290</v>
      </c>
      <c r="C674" s="9" t="s">
        <v>3291</v>
      </c>
      <c r="D674" s="252">
        <v>2.95</v>
      </c>
      <c r="E674" s="245">
        <v>1878</v>
      </c>
      <c r="F674" s="246">
        <v>1746</v>
      </c>
      <c r="G674" s="247">
        <v>1377</v>
      </c>
      <c r="H674" s="9">
        <v>0</v>
      </c>
      <c r="I674" s="255">
        <v>0</v>
      </c>
      <c r="J674" s="122" t="b">
        <f>IF(ISBLANK(CertifiedCrop[[#This Row],[1. Identifiant interne d’exploitation agricole*]]),"",IF(ISERROR(MATCH(CertifiedCrop[[#This Row],[1. Identifiant interne d’exploitation agricole*]],GroupMember[1. Identifiant interne d’exploitation agricole*],0)),FALSE,TRUE))</f>
        <v>1</v>
      </c>
      <c r="K674" s="122" t="b">
        <f t="array" ref="K674">IF(ISBLANK(CertifiedCrop[[#This Row],[2. Produit agricole certifié*]]),"",IF(ISERROR(MATCH(1,(#REF!=CertifiedCrop[[#This Row],[2. Produit agricole certifié*]])*(#REF!=CertifiedCrop[[#This Row],[3. Variété**]]),0)),FALSE,TRUE))</f>
        <v>0</v>
      </c>
      <c r="L674" s="20" t="str">
        <f t="shared" si="50"/>
        <v/>
      </c>
      <c r="M674" s="54" t="str">
        <f t="shared" si="51"/>
        <v>!</v>
      </c>
      <c r="N674" s="54" t="str">
        <f t="shared" si="52"/>
        <v/>
      </c>
      <c r="O674" s="55">
        <f t="shared" si="53"/>
        <v>636.61016949152543</v>
      </c>
      <c r="P674" s="55">
        <f t="shared" si="54"/>
        <v>591.86440677966095</v>
      </c>
      <c r="Q674" s="9" t="str">
        <f ca="1">IFERROR((VLOOKUP(A674,GM_Table,8,FALSE)-SUMIFS(D:D,A:A,A674,B:B,B674,C:C,C674)),"")</f>
        <v/>
      </c>
      <c r="R674" s="9" t="str">
        <f ca="1">IFERROR(CONCATENATE(VLOOKUP(A674,GM_Table,12,FALSE)," ",(VLOOKUP(A674,GM_Table,13,FALSE))),"")</f>
        <v/>
      </c>
    </row>
    <row r="675" spans="1:18" ht="15" x14ac:dyDescent="0.2">
      <c r="A675" s="193" t="s">
        <v>2529</v>
      </c>
      <c r="B675" s="9" t="s">
        <v>3290</v>
      </c>
      <c r="C675" s="9" t="s">
        <v>3291</v>
      </c>
      <c r="D675" s="252">
        <v>0.93</v>
      </c>
      <c r="E675" s="221">
        <v>508</v>
      </c>
      <c r="F675" s="246">
        <v>501</v>
      </c>
      <c r="G675" s="247">
        <v>411</v>
      </c>
      <c r="H675" s="9">
        <v>0</v>
      </c>
      <c r="I675" s="255">
        <v>0</v>
      </c>
      <c r="J675" s="122" t="b">
        <f>IF(ISBLANK(CertifiedCrop[[#This Row],[1. Identifiant interne d’exploitation agricole*]]),"",IF(ISERROR(MATCH(CertifiedCrop[[#This Row],[1. Identifiant interne d’exploitation agricole*]],GroupMember[1. Identifiant interne d’exploitation agricole*],0)),FALSE,TRUE))</f>
        <v>1</v>
      </c>
      <c r="K675" s="122" t="b">
        <f t="array" ref="K675">IF(ISBLANK(CertifiedCrop[[#This Row],[2. Produit agricole certifié*]]),"",IF(ISERROR(MATCH(1,(#REF!=CertifiedCrop[[#This Row],[2. Produit agricole certifié*]])*(#REF!=CertifiedCrop[[#This Row],[3. Variété**]]),0)),FALSE,TRUE))</f>
        <v>0</v>
      </c>
      <c r="L675" s="20" t="str">
        <f t="shared" si="50"/>
        <v/>
      </c>
      <c r="M675" s="54" t="str">
        <f t="shared" si="51"/>
        <v/>
      </c>
      <c r="N675" s="54" t="str">
        <f t="shared" si="52"/>
        <v/>
      </c>
      <c r="O675" s="55">
        <f t="shared" si="53"/>
        <v>546.23655913978496</v>
      </c>
      <c r="P675" s="55">
        <f t="shared" si="54"/>
        <v>538.70967741935476</v>
      </c>
      <c r="Q675" s="9" t="str">
        <f ca="1">IFERROR((VLOOKUP(A675,GM_Table,8,FALSE)-SUMIFS(D:D,A:A,A675,B:B,B675,C:C,C675)),"")</f>
        <v/>
      </c>
      <c r="R675" s="9" t="str">
        <f ca="1">IFERROR(CONCATENATE(VLOOKUP(A675,GM_Table,12,FALSE)," ",(VLOOKUP(A675,GM_Table,13,FALSE))),"")</f>
        <v/>
      </c>
    </row>
    <row r="676" spans="1:18" ht="15" x14ac:dyDescent="0.2">
      <c r="A676" s="193" t="s">
        <v>2532</v>
      </c>
      <c r="B676" s="9" t="s">
        <v>3290</v>
      </c>
      <c r="C676" s="9" t="s">
        <v>3291</v>
      </c>
      <c r="D676" s="252">
        <v>1.05</v>
      </c>
      <c r="E676" s="221">
        <v>591</v>
      </c>
      <c r="F676" s="246">
        <v>562</v>
      </c>
      <c r="G676" s="247">
        <v>487</v>
      </c>
      <c r="H676" s="9">
        <v>0</v>
      </c>
      <c r="I676" s="255">
        <v>0</v>
      </c>
      <c r="J676" s="122" t="b">
        <f>IF(ISBLANK(CertifiedCrop[[#This Row],[1. Identifiant interne d’exploitation agricole*]]),"",IF(ISERROR(MATCH(CertifiedCrop[[#This Row],[1. Identifiant interne d’exploitation agricole*]],GroupMember[1. Identifiant interne d’exploitation agricole*],0)),FALSE,TRUE))</f>
        <v>1</v>
      </c>
      <c r="K676" s="122" t="b">
        <f t="array" ref="K676">IF(ISBLANK(CertifiedCrop[[#This Row],[2. Produit agricole certifié*]]),"",IF(ISERROR(MATCH(1,(#REF!=CertifiedCrop[[#This Row],[2. Produit agricole certifié*]])*(#REF!=CertifiedCrop[[#This Row],[3. Variété**]]),0)),FALSE,TRUE))</f>
        <v>0</v>
      </c>
      <c r="L676" s="20" t="str">
        <f t="shared" si="50"/>
        <v/>
      </c>
      <c r="M676" s="54" t="str">
        <f t="shared" si="51"/>
        <v/>
      </c>
      <c r="N676" s="54" t="str">
        <f t="shared" si="52"/>
        <v/>
      </c>
      <c r="O676" s="55">
        <f t="shared" si="53"/>
        <v>562.85714285714289</v>
      </c>
      <c r="P676" s="55">
        <f t="shared" si="54"/>
        <v>535.23809523809518</v>
      </c>
      <c r="Q676" s="9" t="str">
        <f ca="1">IFERROR((VLOOKUP(A676,GM_Table,8,FALSE)-SUMIFS(D:D,A:A,A676,B:B,B676,C:C,C676)),"")</f>
        <v/>
      </c>
      <c r="R676" s="9" t="str">
        <f ca="1">IFERROR(CONCATENATE(VLOOKUP(A676,GM_Table,12,FALSE)," ",(VLOOKUP(A676,GM_Table,13,FALSE))),"")</f>
        <v/>
      </c>
    </row>
    <row r="677" spans="1:18" ht="15" x14ac:dyDescent="0.2">
      <c r="A677" s="193" t="s">
        <v>2535</v>
      </c>
      <c r="B677" s="9" t="s">
        <v>3290</v>
      </c>
      <c r="C677" s="9" t="s">
        <v>3291</v>
      </c>
      <c r="D677" s="252">
        <v>2.74</v>
      </c>
      <c r="E677" s="245">
        <v>1736</v>
      </c>
      <c r="F677" s="246">
        <v>1653</v>
      </c>
      <c r="G677" s="247">
        <v>1124</v>
      </c>
      <c r="H677" s="9">
        <v>0</v>
      </c>
      <c r="I677" s="255">
        <v>0</v>
      </c>
      <c r="J677" s="122" t="b">
        <f>IF(ISBLANK(CertifiedCrop[[#This Row],[1. Identifiant interne d’exploitation agricole*]]),"",IF(ISERROR(MATCH(CertifiedCrop[[#This Row],[1. Identifiant interne d’exploitation agricole*]],GroupMember[1. Identifiant interne d’exploitation agricole*],0)),FALSE,TRUE))</f>
        <v>1</v>
      </c>
      <c r="K677" s="122" t="b">
        <f t="array" ref="K677">IF(ISBLANK(CertifiedCrop[[#This Row],[2. Produit agricole certifié*]]),"",IF(ISERROR(MATCH(1,(#REF!=CertifiedCrop[[#This Row],[2. Produit agricole certifié*]])*(#REF!=CertifiedCrop[[#This Row],[3. Variété**]]),0)),FALSE,TRUE))</f>
        <v>0</v>
      </c>
      <c r="L677" s="20" t="str">
        <f t="shared" si="50"/>
        <v/>
      </c>
      <c r="M677" s="54" t="str">
        <f t="shared" si="51"/>
        <v>!</v>
      </c>
      <c r="N677" s="54" t="str">
        <f t="shared" si="52"/>
        <v/>
      </c>
      <c r="O677" s="55">
        <f t="shared" si="53"/>
        <v>633.57664233576634</v>
      </c>
      <c r="P677" s="55">
        <f t="shared" si="54"/>
        <v>603.28467153284669</v>
      </c>
      <c r="Q677" s="9" t="str">
        <f ca="1">IFERROR((VLOOKUP(A677,GM_Table,8,FALSE)-SUMIFS(D:D,A:A,A677,B:B,B677,C:C,C677)),"")</f>
        <v/>
      </c>
      <c r="R677" s="9" t="str">
        <f ca="1">IFERROR(CONCATENATE(VLOOKUP(A677,GM_Table,12,FALSE)," ",(VLOOKUP(A677,GM_Table,13,FALSE))),"")</f>
        <v/>
      </c>
    </row>
    <row r="678" spans="1:18" ht="15" x14ac:dyDescent="0.2">
      <c r="A678" s="193" t="s">
        <v>2537</v>
      </c>
      <c r="B678" s="9" t="s">
        <v>3290</v>
      </c>
      <c r="C678" s="9" t="s">
        <v>3291</v>
      </c>
      <c r="D678" s="252">
        <v>3.67</v>
      </c>
      <c r="E678" s="245">
        <v>1899</v>
      </c>
      <c r="F678" s="246">
        <v>1731</v>
      </c>
      <c r="G678" s="247">
        <v>1731</v>
      </c>
      <c r="H678" s="9">
        <v>0</v>
      </c>
      <c r="I678" s="255">
        <v>0</v>
      </c>
      <c r="J678" s="122" t="b">
        <f>IF(ISBLANK(CertifiedCrop[[#This Row],[1. Identifiant interne d’exploitation agricole*]]),"",IF(ISERROR(MATCH(CertifiedCrop[[#This Row],[1. Identifiant interne d’exploitation agricole*]],GroupMember[1. Identifiant interne d’exploitation agricole*],0)),FALSE,TRUE))</f>
        <v>1</v>
      </c>
      <c r="K678" s="122" t="b">
        <f t="array" ref="K678">IF(ISBLANK(CertifiedCrop[[#This Row],[2. Produit agricole certifié*]]),"",IF(ISERROR(MATCH(1,(#REF!=CertifiedCrop[[#This Row],[2. Produit agricole certifié*]])*(#REF!=CertifiedCrop[[#This Row],[3. Variété**]]),0)),FALSE,TRUE))</f>
        <v>0</v>
      </c>
      <c r="L678" s="20" t="str">
        <f t="shared" si="50"/>
        <v/>
      </c>
      <c r="M678" s="54" t="str">
        <f t="shared" si="51"/>
        <v/>
      </c>
      <c r="N678" s="54" t="str">
        <f t="shared" si="52"/>
        <v/>
      </c>
      <c r="O678" s="55">
        <f t="shared" si="53"/>
        <v>517.4386920980927</v>
      </c>
      <c r="P678" s="55">
        <f t="shared" si="54"/>
        <v>471.66212534059946</v>
      </c>
      <c r="Q678" s="9" t="str">
        <f ca="1">IFERROR((VLOOKUP(A678,GM_Table,8,FALSE)-SUMIFS(D:D,A:A,A678,B:B,B678,C:C,C678)),"")</f>
        <v/>
      </c>
      <c r="R678" s="9" t="str">
        <f ca="1">IFERROR(CONCATENATE(VLOOKUP(A678,GM_Table,12,FALSE)," ",(VLOOKUP(A678,GM_Table,13,FALSE))),"")</f>
        <v/>
      </c>
    </row>
    <row r="679" spans="1:18" ht="15" x14ac:dyDescent="0.2">
      <c r="A679" s="193" t="s">
        <v>2538</v>
      </c>
      <c r="B679" s="9" t="s">
        <v>3290</v>
      </c>
      <c r="C679" s="9" t="s">
        <v>3291</v>
      </c>
      <c r="D679" s="252">
        <v>6.79</v>
      </c>
      <c r="E679" s="245">
        <v>3965</v>
      </c>
      <c r="F679" s="246">
        <v>3712</v>
      </c>
      <c r="G679" s="247">
        <v>3712</v>
      </c>
      <c r="H679" s="9">
        <v>0</v>
      </c>
      <c r="I679" s="255">
        <v>0</v>
      </c>
      <c r="J679" s="122" t="b">
        <f>IF(ISBLANK(CertifiedCrop[[#This Row],[1. Identifiant interne d’exploitation agricole*]]),"",IF(ISERROR(MATCH(CertifiedCrop[[#This Row],[1. Identifiant interne d’exploitation agricole*]],GroupMember[1. Identifiant interne d’exploitation agricole*],0)),FALSE,TRUE))</f>
        <v>1</v>
      </c>
      <c r="K679" s="122" t="b">
        <f t="array" ref="K679">IF(ISBLANK(CertifiedCrop[[#This Row],[2. Produit agricole certifié*]]),"",IF(ISERROR(MATCH(1,(#REF!=CertifiedCrop[[#This Row],[2. Produit agricole certifié*]])*(#REF!=CertifiedCrop[[#This Row],[3. Variété**]]),0)),FALSE,TRUE))</f>
        <v>0</v>
      </c>
      <c r="L679" s="20" t="str">
        <f t="shared" si="50"/>
        <v/>
      </c>
      <c r="M679" s="54" t="str">
        <f t="shared" si="51"/>
        <v/>
      </c>
      <c r="N679" s="54" t="str">
        <f t="shared" si="52"/>
        <v/>
      </c>
      <c r="O679" s="55">
        <f t="shared" si="53"/>
        <v>583.94698085419736</v>
      </c>
      <c r="P679" s="55">
        <f t="shared" si="54"/>
        <v>546.68630338733431</v>
      </c>
      <c r="Q679" s="9" t="str">
        <f ca="1">IFERROR((VLOOKUP(A679,GM_Table,8,FALSE)-SUMIFS(D:D,A:A,A679,B:B,B679,C:C,C679)),"")</f>
        <v/>
      </c>
      <c r="R679" s="9" t="str">
        <f ca="1">IFERROR(CONCATENATE(VLOOKUP(A679,GM_Table,12,FALSE)," ",(VLOOKUP(A679,GM_Table,13,FALSE))),"")</f>
        <v/>
      </c>
    </row>
    <row r="680" spans="1:18" ht="15" x14ac:dyDescent="0.2">
      <c r="A680" s="193" t="s">
        <v>2542</v>
      </c>
      <c r="B680" s="9" t="s">
        <v>3290</v>
      </c>
      <c r="C680" s="9" t="s">
        <v>3291</v>
      </c>
      <c r="D680" s="252">
        <v>9.6199999999999992</v>
      </c>
      <c r="E680" s="245">
        <v>5695</v>
      </c>
      <c r="F680" s="246">
        <v>6062</v>
      </c>
      <c r="G680" s="247">
        <v>6062</v>
      </c>
      <c r="H680" s="9">
        <v>0</v>
      </c>
      <c r="I680" s="255">
        <v>0</v>
      </c>
      <c r="J680" s="122" t="b">
        <f>IF(ISBLANK(CertifiedCrop[[#This Row],[1. Identifiant interne d’exploitation agricole*]]),"",IF(ISERROR(MATCH(CertifiedCrop[[#This Row],[1. Identifiant interne d’exploitation agricole*]],GroupMember[1. Identifiant interne d’exploitation agricole*],0)),FALSE,TRUE))</f>
        <v>1</v>
      </c>
      <c r="K680" s="122" t="b">
        <f t="array" ref="K680">IF(ISBLANK(CertifiedCrop[[#This Row],[2. Produit agricole certifié*]]),"",IF(ISERROR(MATCH(1,(#REF!=CertifiedCrop[[#This Row],[2. Produit agricole certifié*]])*(#REF!=CertifiedCrop[[#This Row],[3. Variété**]]),0)),FALSE,TRUE))</f>
        <v>0</v>
      </c>
      <c r="L680" s="20" t="str">
        <f t="shared" si="50"/>
        <v/>
      </c>
      <c r="M680" s="54" t="str">
        <f t="shared" si="51"/>
        <v/>
      </c>
      <c r="N680" s="54" t="str">
        <f t="shared" si="52"/>
        <v/>
      </c>
      <c r="O680" s="55">
        <f t="shared" si="53"/>
        <v>591.99584199584206</v>
      </c>
      <c r="P680" s="55">
        <f t="shared" si="54"/>
        <v>630.14553014553019</v>
      </c>
      <c r="Q680" s="9" t="str">
        <f ca="1">IFERROR((VLOOKUP(A680,GM_Table,8,FALSE)-SUMIFS(D:D,A:A,A680,B:B,B680,C:C,C680)),"")</f>
        <v/>
      </c>
      <c r="R680" s="9" t="str">
        <f ca="1">IFERROR(CONCATENATE(VLOOKUP(A680,GM_Table,12,FALSE)," ",(VLOOKUP(A680,GM_Table,13,FALSE))),"")</f>
        <v/>
      </c>
    </row>
    <row r="681" spans="1:18" ht="15" x14ac:dyDescent="0.2">
      <c r="A681" s="193" t="s">
        <v>2544</v>
      </c>
      <c r="B681" s="9" t="s">
        <v>3290</v>
      </c>
      <c r="C681" s="9" t="s">
        <v>3291</v>
      </c>
      <c r="D681" s="252">
        <v>4.4400000000000004</v>
      </c>
      <c r="E681" s="245">
        <v>2519</v>
      </c>
      <c r="F681" s="246">
        <v>2462</v>
      </c>
      <c r="G681" s="247">
        <v>2087</v>
      </c>
      <c r="H681" s="9">
        <v>0</v>
      </c>
      <c r="I681" s="255">
        <v>0</v>
      </c>
      <c r="J681" s="122" t="b">
        <f>IF(ISBLANK(CertifiedCrop[[#This Row],[1. Identifiant interne d’exploitation agricole*]]),"",IF(ISERROR(MATCH(CertifiedCrop[[#This Row],[1. Identifiant interne d’exploitation agricole*]],GroupMember[1. Identifiant interne d’exploitation agricole*],0)),FALSE,TRUE))</f>
        <v>1</v>
      </c>
      <c r="K681" s="122" t="b">
        <f t="array" ref="K681">IF(ISBLANK(CertifiedCrop[[#This Row],[2. Produit agricole certifié*]]),"",IF(ISERROR(MATCH(1,(#REF!=CertifiedCrop[[#This Row],[2. Produit agricole certifié*]])*(#REF!=CertifiedCrop[[#This Row],[3. Variété**]]),0)),FALSE,TRUE))</f>
        <v>0</v>
      </c>
      <c r="L681" s="20" t="str">
        <f t="shared" si="50"/>
        <v/>
      </c>
      <c r="M681" s="54" t="str">
        <f t="shared" si="51"/>
        <v/>
      </c>
      <c r="N681" s="54" t="str">
        <f t="shared" si="52"/>
        <v/>
      </c>
      <c r="O681" s="55">
        <f t="shared" si="53"/>
        <v>567.34234234234225</v>
      </c>
      <c r="P681" s="55">
        <f t="shared" si="54"/>
        <v>554.50450450450444</v>
      </c>
      <c r="Q681" s="9" t="str">
        <f ca="1">IFERROR((VLOOKUP(A681,GM_Table,8,FALSE)-SUMIFS(D:D,A:A,A681,B:B,B681,C:C,C681)),"")</f>
        <v/>
      </c>
      <c r="R681" s="9" t="str">
        <f ca="1">IFERROR(CONCATENATE(VLOOKUP(A681,GM_Table,12,FALSE)," ",(VLOOKUP(A681,GM_Table,13,FALSE))),"")</f>
        <v/>
      </c>
    </row>
    <row r="682" spans="1:18" ht="15" x14ac:dyDescent="0.2">
      <c r="A682" s="193" t="s">
        <v>2546</v>
      </c>
      <c r="B682" s="9" t="s">
        <v>3290</v>
      </c>
      <c r="C682" s="9" t="s">
        <v>3291</v>
      </c>
      <c r="D682" s="252">
        <v>2.99</v>
      </c>
      <c r="E682" s="245">
        <v>1877</v>
      </c>
      <c r="F682" s="246">
        <v>1784</v>
      </c>
      <c r="G682" s="247">
        <v>1177</v>
      </c>
      <c r="H682" s="9">
        <v>0</v>
      </c>
      <c r="I682" s="255">
        <v>0</v>
      </c>
      <c r="J682" s="122" t="b">
        <f>IF(ISBLANK(CertifiedCrop[[#This Row],[1. Identifiant interne d’exploitation agricole*]]),"",IF(ISERROR(MATCH(CertifiedCrop[[#This Row],[1. Identifiant interne d’exploitation agricole*]],GroupMember[1. Identifiant interne d’exploitation agricole*],0)),FALSE,TRUE))</f>
        <v>1</v>
      </c>
      <c r="K682" s="122" t="b">
        <f t="array" ref="K682">IF(ISBLANK(CertifiedCrop[[#This Row],[2. Produit agricole certifié*]]),"",IF(ISERROR(MATCH(1,(#REF!=CertifiedCrop[[#This Row],[2. Produit agricole certifié*]])*(#REF!=CertifiedCrop[[#This Row],[3. Variété**]]),0)),FALSE,TRUE))</f>
        <v>0</v>
      </c>
      <c r="L682" s="20" t="str">
        <f t="shared" si="50"/>
        <v/>
      </c>
      <c r="M682" s="54" t="str">
        <f t="shared" si="51"/>
        <v>!</v>
      </c>
      <c r="N682" s="54" t="str">
        <f t="shared" si="52"/>
        <v/>
      </c>
      <c r="O682" s="55">
        <f t="shared" si="53"/>
        <v>627.75919732441469</v>
      </c>
      <c r="P682" s="55">
        <f t="shared" si="54"/>
        <v>596.65551839464877</v>
      </c>
      <c r="Q682" s="9" t="str">
        <f ca="1">IFERROR((VLOOKUP(A682,GM_Table,8,FALSE)-SUMIFS(D:D,A:A,A682,B:B,B682,C:C,C682)),"")</f>
        <v/>
      </c>
      <c r="R682" s="9" t="str">
        <f ca="1">IFERROR(CONCATENATE(VLOOKUP(A682,GM_Table,12,FALSE)," ",(VLOOKUP(A682,GM_Table,13,FALSE))),"")</f>
        <v/>
      </c>
    </row>
    <row r="683" spans="1:18" ht="15" x14ac:dyDescent="0.2">
      <c r="A683" s="193" t="s">
        <v>2549</v>
      </c>
      <c r="B683" s="9" t="s">
        <v>3290</v>
      </c>
      <c r="C683" s="9" t="s">
        <v>3291</v>
      </c>
      <c r="D683" s="252">
        <v>1.18</v>
      </c>
      <c r="E683" s="221">
        <v>643</v>
      </c>
      <c r="F683" s="246">
        <v>613</v>
      </c>
      <c r="G683" s="247">
        <v>368</v>
      </c>
      <c r="H683" s="9">
        <v>0</v>
      </c>
      <c r="I683" s="255">
        <v>0</v>
      </c>
      <c r="J683" s="122" t="b">
        <f>IF(ISBLANK(CertifiedCrop[[#This Row],[1. Identifiant interne d’exploitation agricole*]]),"",IF(ISERROR(MATCH(CertifiedCrop[[#This Row],[1. Identifiant interne d’exploitation agricole*]],GroupMember[1. Identifiant interne d’exploitation agricole*],0)),FALSE,TRUE))</f>
        <v>1</v>
      </c>
      <c r="K683" s="122" t="b">
        <f t="array" ref="K683">IF(ISBLANK(CertifiedCrop[[#This Row],[2. Produit agricole certifié*]]),"",IF(ISERROR(MATCH(1,(#REF!=CertifiedCrop[[#This Row],[2. Produit agricole certifié*]])*(#REF!=CertifiedCrop[[#This Row],[3. Variété**]]),0)),FALSE,TRUE))</f>
        <v>0</v>
      </c>
      <c r="L683" s="20" t="str">
        <f t="shared" si="50"/>
        <v/>
      </c>
      <c r="M683" s="54" t="str">
        <f t="shared" si="51"/>
        <v>!</v>
      </c>
      <c r="N683" s="54" t="str">
        <f t="shared" si="52"/>
        <v/>
      </c>
      <c r="O683" s="55">
        <f t="shared" si="53"/>
        <v>544.9152542372882</v>
      </c>
      <c r="P683" s="55">
        <f t="shared" si="54"/>
        <v>519.49152542372883</v>
      </c>
      <c r="Q683" s="9" t="str">
        <f ca="1">IFERROR((VLOOKUP(A683,GM_Table,8,FALSE)-SUMIFS(D:D,A:A,A683,B:B,B683,C:C,C683)),"")</f>
        <v/>
      </c>
      <c r="R683" s="9" t="str">
        <f ca="1">IFERROR(CONCATENATE(VLOOKUP(A683,GM_Table,12,FALSE)," ",(VLOOKUP(A683,GM_Table,13,FALSE))),"")</f>
        <v/>
      </c>
    </row>
    <row r="684" spans="1:18" ht="15" x14ac:dyDescent="0.2">
      <c r="A684" s="193" t="s">
        <v>2551</v>
      </c>
      <c r="B684" s="9" t="s">
        <v>3290</v>
      </c>
      <c r="C684" s="9" t="s">
        <v>3291</v>
      </c>
      <c r="D684" s="252">
        <v>2.63</v>
      </c>
      <c r="E684" s="245">
        <v>1440</v>
      </c>
      <c r="F684" s="246">
        <v>1326</v>
      </c>
      <c r="G684" s="247">
        <v>1046</v>
      </c>
      <c r="H684" s="9">
        <v>0</v>
      </c>
      <c r="I684" s="255">
        <v>0</v>
      </c>
      <c r="J684" s="122" t="b">
        <f>IF(ISBLANK(CertifiedCrop[[#This Row],[1. Identifiant interne d’exploitation agricole*]]),"",IF(ISERROR(MATCH(CertifiedCrop[[#This Row],[1. Identifiant interne d’exploitation agricole*]],GroupMember[1. Identifiant interne d’exploitation agricole*],0)),FALSE,TRUE))</f>
        <v>1</v>
      </c>
      <c r="K684" s="122" t="b">
        <f t="array" ref="K684">IF(ISBLANK(CertifiedCrop[[#This Row],[2. Produit agricole certifié*]]),"",IF(ISERROR(MATCH(1,(#REF!=CertifiedCrop[[#This Row],[2. Produit agricole certifié*]])*(#REF!=CertifiedCrop[[#This Row],[3. Variété**]]),0)),FALSE,TRUE))</f>
        <v>0</v>
      </c>
      <c r="L684" s="20" t="str">
        <f t="shared" si="50"/>
        <v/>
      </c>
      <c r="M684" s="54" t="str">
        <f t="shared" si="51"/>
        <v>!</v>
      </c>
      <c r="N684" s="54" t="str">
        <f t="shared" si="52"/>
        <v/>
      </c>
      <c r="O684" s="55">
        <f t="shared" si="53"/>
        <v>547.52851711026619</v>
      </c>
      <c r="P684" s="55">
        <f t="shared" si="54"/>
        <v>504.18250950570342</v>
      </c>
      <c r="Q684" s="9" t="str">
        <f ca="1">IFERROR((VLOOKUP(A684,GM_Table,8,FALSE)-SUMIFS(D:D,A:A,A684,B:B,B684,C:C,C684)),"")</f>
        <v/>
      </c>
      <c r="R684" s="9" t="str">
        <f ca="1">IFERROR(CONCATENATE(VLOOKUP(A684,GM_Table,12,FALSE)," ",(VLOOKUP(A684,GM_Table,13,FALSE))),"")</f>
        <v/>
      </c>
    </row>
    <row r="685" spans="1:18" ht="15" x14ac:dyDescent="0.2">
      <c r="A685" s="193" t="s">
        <v>2553</v>
      </c>
      <c r="B685" s="9" t="s">
        <v>3290</v>
      </c>
      <c r="C685" s="9" t="s">
        <v>3291</v>
      </c>
      <c r="D685" s="252">
        <v>2.11</v>
      </c>
      <c r="E685" s="245">
        <v>1228</v>
      </c>
      <c r="F685" s="246">
        <v>1205</v>
      </c>
      <c r="G685" s="247">
        <v>796</v>
      </c>
      <c r="H685" s="9">
        <v>0</v>
      </c>
      <c r="I685" s="255">
        <v>0</v>
      </c>
      <c r="J685" s="122" t="b">
        <f>IF(ISBLANK(CertifiedCrop[[#This Row],[1. Identifiant interne d’exploitation agricole*]]),"",IF(ISERROR(MATCH(CertifiedCrop[[#This Row],[1. Identifiant interne d’exploitation agricole*]],GroupMember[1. Identifiant interne d’exploitation agricole*],0)),FALSE,TRUE))</f>
        <v>1</v>
      </c>
      <c r="K685" s="122" t="b">
        <f t="array" ref="K685">IF(ISBLANK(CertifiedCrop[[#This Row],[2. Produit agricole certifié*]]),"",IF(ISERROR(MATCH(1,(#REF!=CertifiedCrop[[#This Row],[2. Produit agricole certifié*]])*(#REF!=CertifiedCrop[[#This Row],[3. Variété**]]),0)),FALSE,TRUE))</f>
        <v>0</v>
      </c>
      <c r="L685" s="20" t="str">
        <f t="shared" si="50"/>
        <v/>
      </c>
      <c r="M685" s="54" t="str">
        <f t="shared" si="51"/>
        <v>!</v>
      </c>
      <c r="N685" s="54" t="str">
        <f t="shared" si="52"/>
        <v/>
      </c>
      <c r="O685" s="55">
        <f t="shared" si="53"/>
        <v>581.99052132701422</v>
      </c>
      <c r="P685" s="55">
        <f t="shared" si="54"/>
        <v>571.09004739336501</v>
      </c>
      <c r="Q685" s="9" t="str">
        <f ca="1">IFERROR((VLOOKUP(A685,GM_Table,8,FALSE)-SUMIFS(D:D,A:A,A685,B:B,B685,C:C,C685)),"")</f>
        <v/>
      </c>
      <c r="R685" s="9" t="str">
        <f ca="1">IFERROR(CONCATENATE(VLOOKUP(A685,GM_Table,12,FALSE)," ",(VLOOKUP(A685,GM_Table,13,FALSE))),"")</f>
        <v/>
      </c>
    </row>
    <row r="686" spans="1:18" ht="15" x14ac:dyDescent="0.2">
      <c r="A686" s="193" t="s">
        <v>2554</v>
      </c>
      <c r="B686" s="9" t="s">
        <v>3290</v>
      </c>
      <c r="C686" s="9" t="s">
        <v>3291</v>
      </c>
      <c r="D686" s="252">
        <v>1.28</v>
      </c>
      <c r="E686" s="221">
        <v>759</v>
      </c>
      <c r="F686" s="246">
        <v>786</v>
      </c>
      <c r="G686" s="247">
        <v>786</v>
      </c>
      <c r="H686" s="9">
        <v>0</v>
      </c>
      <c r="I686" s="255">
        <v>0</v>
      </c>
      <c r="J686" s="122" t="b">
        <f>IF(ISBLANK(CertifiedCrop[[#This Row],[1. Identifiant interne d’exploitation agricole*]]),"",IF(ISERROR(MATCH(CertifiedCrop[[#This Row],[1. Identifiant interne d’exploitation agricole*]],GroupMember[1. Identifiant interne d’exploitation agricole*],0)),FALSE,TRUE))</f>
        <v>1</v>
      </c>
      <c r="K686" s="122" t="b">
        <f t="array" ref="K686">IF(ISBLANK(CertifiedCrop[[#This Row],[2. Produit agricole certifié*]]),"",IF(ISERROR(MATCH(1,(#REF!=CertifiedCrop[[#This Row],[2. Produit agricole certifié*]])*(#REF!=CertifiedCrop[[#This Row],[3. Variété**]]),0)),FALSE,TRUE))</f>
        <v>0</v>
      </c>
      <c r="L686" s="20" t="str">
        <f t="shared" si="50"/>
        <v/>
      </c>
      <c r="M686" s="54" t="str">
        <f t="shared" si="51"/>
        <v/>
      </c>
      <c r="N686" s="54" t="str">
        <f t="shared" si="52"/>
        <v/>
      </c>
      <c r="O686" s="55">
        <f t="shared" si="53"/>
        <v>592.96875</v>
      </c>
      <c r="P686" s="55">
        <f t="shared" si="54"/>
        <v>614.0625</v>
      </c>
      <c r="Q686" s="9" t="str">
        <f ca="1">IFERROR((VLOOKUP(A686,GM_Table,8,FALSE)-SUMIFS(D:D,A:A,A686,B:B,B686,C:C,C686)),"")</f>
        <v/>
      </c>
      <c r="R686" s="9" t="str">
        <f ca="1">IFERROR(CONCATENATE(VLOOKUP(A686,GM_Table,12,FALSE)," ",(VLOOKUP(A686,GM_Table,13,FALSE))),"")</f>
        <v/>
      </c>
    </row>
    <row r="687" spans="1:18" ht="15" x14ac:dyDescent="0.2">
      <c r="A687" s="193" t="s">
        <v>2556</v>
      </c>
      <c r="B687" s="9" t="s">
        <v>3290</v>
      </c>
      <c r="C687" s="9" t="s">
        <v>3291</v>
      </c>
      <c r="D687" s="252">
        <v>3.22</v>
      </c>
      <c r="E687" s="245">
        <v>1682</v>
      </c>
      <c r="F687" s="246">
        <v>1562</v>
      </c>
      <c r="G687" s="247">
        <v>1223</v>
      </c>
      <c r="H687" s="9">
        <v>0</v>
      </c>
      <c r="I687" s="255">
        <v>0</v>
      </c>
      <c r="J687" s="122" t="b">
        <f>IF(ISBLANK(CertifiedCrop[[#This Row],[1. Identifiant interne d’exploitation agricole*]]),"",IF(ISERROR(MATCH(CertifiedCrop[[#This Row],[1. Identifiant interne d’exploitation agricole*]],GroupMember[1. Identifiant interne d’exploitation agricole*],0)),FALSE,TRUE))</f>
        <v>1</v>
      </c>
      <c r="K687" s="122" t="b">
        <f t="array" ref="K687">IF(ISBLANK(CertifiedCrop[[#This Row],[2. Produit agricole certifié*]]),"",IF(ISERROR(MATCH(1,(#REF!=CertifiedCrop[[#This Row],[2. Produit agricole certifié*]])*(#REF!=CertifiedCrop[[#This Row],[3. Variété**]]),0)),FALSE,TRUE))</f>
        <v>0</v>
      </c>
      <c r="L687" s="20" t="str">
        <f t="shared" si="50"/>
        <v/>
      </c>
      <c r="M687" s="54" t="str">
        <f t="shared" si="51"/>
        <v>!</v>
      </c>
      <c r="N687" s="54" t="str">
        <f t="shared" si="52"/>
        <v/>
      </c>
      <c r="O687" s="55">
        <f t="shared" si="53"/>
        <v>522.36024844720498</v>
      </c>
      <c r="P687" s="55">
        <f t="shared" si="54"/>
        <v>485.09316770186331</v>
      </c>
      <c r="Q687" s="9" t="str">
        <f ca="1">IFERROR((VLOOKUP(A687,GM_Table,8,FALSE)-SUMIFS(D:D,A:A,A687,B:B,B687,C:C,C687)),"")</f>
        <v/>
      </c>
      <c r="R687" s="9" t="str">
        <f ca="1">IFERROR(CONCATENATE(VLOOKUP(A687,GM_Table,12,FALSE)," ",(VLOOKUP(A687,GM_Table,13,FALSE))),"")</f>
        <v/>
      </c>
    </row>
    <row r="688" spans="1:18" ht="15" x14ac:dyDescent="0.2">
      <c r="A688" s="193" t="s">
        <v>2559</v>
      </c>
      <c r="B688" s="9" t="s">
        <v>3290</v>
      </c>
      <c r="C688" s="9" t="s">
        <v>3291</v>
      </c>
      <c r="D688" s="252">
        <v>3.31</v>
      </c>
      <c r="E688" s="245">
        <v>1878</v>
      </c>
      <c r="F688" s="246">
        <v>1846</v>
      </c>
      <c r="G688" s="247">
        <v>1846</v>
      </c>
      <c r="H688" s="9">
        <v>0</v>
      </c>
      <c r="I688" s="255">
        <v>0</v>
      </c>
      <c r="J688" s="122" t="b">
        <f>IF(ISBLANK(CertifiedCrop[[#This Row],[1. Identifiant interne d’exploitation agricole*]]),"",IF(ISERROR(MATCH(CertifiedCrop[[#This Row],[1. Identifiant interne d’exploitation agricole*]],GroupMember[1. Identifiant interne d’exploitation agricole*],0)),FALSE,TRUE))</f>
        <v>1</v>
      </c>
      <c r="K688" s="122" t="b">
        <f t="array" ref="K688">IF(ISBLANK(CertifiedCrop[[#This Row],[2. Produit agricole certifié*]]),"",IF(ISERROR(MATCH(1,(#REF!=CertifiedCrop[[#This Row],[2. Produit agricole certifié*]])*(#REF!=CertifiedCrop[[#This Row],[3. Variété**]]),0)),FALSE,TRUE))</f>
        <v>0</v>
      </c>
      <c r="L688" s="20" t="str">
        <f t="shared" si="50"/>
        <v/>
      </c>
      <c r="M688" s="54" t="str">
        <f t="shared" si="51"/>
        <v/>
      </c>
      <c r="N688" s="54" t="str">
        <f t="shared" si="52"/>
        <v/>
      </c>
      <c r="O688" s="55">
        <f t="shared" si="53"/>
        <v>567.3716012084592</v>
      </c>
      <c r="P688" s="55">
        <f t="shared" si="54"/>
        <v>557.70392749244706</v>
      </c>
      <c r="Q688" s="9" t="str">
        <f ca="1">IFERROR((VLOOKUP(A688,GM_Table,8,FALSE)-SUMIFS(D:D,A:A,A688,B:B,B688,C:C,C688)),"")</f>
        <v/>
      </c>
      <c r="R688" s="9" t="str">
        <f ca="1">IFERROR(CONCATENATE(VLOOKUP(A688,GM_Table,12,FALSE)," ",(VLOOKUP(A688,GM_Table,13,FALSE))),"")</f>
        <v/>
      </c>
    </row>
    <row r="689" spans="1:18" ht="15" x14ac:dyDescent="0.2">
      <c r="A689" s="193" t="s">
        <v>2562</v>
      </c>
      <c r="B689" s="9" t="s">
        <v>3290</v>
      </c>
      <c r="C689" s="9" t="s">
        <v>3291</v>
      </c>
      <c r="D689" s="252">
        <v>4.91</v>
      </c>
      <c r="E689" s="245">
        <v>2708</v>
      </c>
      <c r="F689" s="246">
        <v>2587</v>
      </c>
      <c r="G689" s="247">
        <v>2313</v>
      </c>
      <c r="H689" s="9">
        <v>0</v>
      </c>
      <c r="I689" s="255">
        <v>0</v>
      </c>
      <c r="J689" s="122" t="b">
        <f>IF(ISBLANK(CertifiedCrop[[#This Row],[1. Identifiant interne d’exploitation agricole*]]),"",IF(ISERROR(MATCH(CertifiedCrop[[#This Row],[1. Identifiant interne d’exploitation agricole*]],GroupMember[1. Identifiant interne d’exploitation agricole*],0)),FALSE,TRUE))</f>
        <v>1</v>
      </c>
      <c r="K689" s="122" t="b">
        <f t="array" ref="K689">IF(ISBLANK(CertifiedCrop[[#This Row],[2. Produit agricole certifié*]]),"",IF(ISERROR(MATCH(1,(#REF!=CertifiedCrop[[#This Row],[2. Produit agricole certifié*]])*(#REF!=CertifiedCrop[[#This Row],[3. Variété**]]),0)),FALSE,TRUE))</f>
        <v>0</v>
      </c>
      <c r="L689" s="20" t="str">
        <f t="shared" si="50"/>
        <v/>
      </c>
      <c r="M689" s="54" t="str">
        <f t="shared" si="51"/>
        <v/>
      </c>
      <c r="N689" s="54" t="str">
        <f t="shared" si="52"/>
        <v/>
      </c>
      <c r="O689" s="55">
        <f t="shared" si="53"/>
        <v>551.52749490835026</v>
      </c>
      <c r="P689" s="55">
        <f t="shared" si="54"/>
        <v>526.88391038696534</v>
      </c>
      <c r="Q689" s="9" t="str">
        <f ca="1">IFERROR((VLOOKUP(A689,GM_Table,8,FALSE)-SUMIFS(D:D,A:A,A689,B:B,B689,C:C,C689)),"")</f>
        <v/>
      </c>
      <c r="R689" s="9" t="str">
        <f ca="1">IFERROR(CONCATENATE(VLOOKUP(A689,GM_Table,12,FALSE)," ",(VLOOKUP(A689,GM_Table,13,FALSE))),"")</f>
        <v/>
      </c>
    </row>
    <row r="690" spans="1:18" ht="15" x14ac:dyDescent="0.2">
      <c r="A690" s="193" t="s">
        <v>2564</v>
      </c>
      <c r="B690" s="9" t="s">
        <v>3290</v>
      </c>
      <c r="C690" s="9" t="s">
        <v>3291</v>
      </c>
      <c r="D690" s="252">
        <v>1.38</v>
      </c>
      <c r="E690" s="221">
        <v>819</v>
      </c>
      <c r="F690" s="246">
        <v>805</v>
      </c>
      <c r="G690" s="247">
        <v>482</v>
      </c>
      <c r="H690" s="9">
        <v>0</v>
      </c>
      <c r="I690" s="255">
        <v>0</v>
      </c>
      <c r="J690" s="122" t="b">
        <f>IF(ISBLANK(CertifiedCrop[[#This Row],[1. Identifiant interne d’exploitation agricole*]]),"",IF(ISERROR(MATCH(CertifiedCrop[[#This Row],[1. Identifiant interne d’exploitation agricole*]],GroupMember[1. Identifiant interne d’exploitation agricole*],0)),FALSE,TRUE))</f>
        <v>1</v>
      </c>
      <c r="K690" s="122" t="b">
        <f t="array" ref="K690">IF(ISBLANK(CertifiedCrop[[#This Row],[2. Produit agricole certifié*]]),"",IF(ISERROR(MATCH(1,(#REF!=CertifiedCrop[[#This Row],[2. Produit agricole certifié*]])*(#REF!=CertifiedCrop[[#This Row],[3. Variété**]]),0)),FALSE,TRUE))</f>
        <v>0</v>
      </c>
      <c r="L690" s="20" t="str">
        <f t="shared" si="50"/>
        <v/>
      </c>
      <c r="M690" s="54" t="str">
        <f t="shared" si="51"/>
        <v>!</v>
      </c>
      <c r="N690" s="54" t="str">
        <f t="shared" si="52"/>
        <v/>
      </c>
      <c r="O690" s="55">
        <f t="shared" si="53"/>
        <v>593.47826086956525</v>
      </c>
      <c r="P690" s="55">
        <f t="shared" si="54"/>
        <v>583.33333333333337</v>
      </c>
      <c r="Q690" s="9" t="str">
        <f ca="1">IFERROR((VLOOKUP(A690,GM_Table,8,FALSE)-SUMIFS(D:D,A:A,A690,B:B,B690,C:C,C690)),"")</f>
        <v/>
      </c>
      <c r="R690" s="9" t="str">
        <f ca="1">IFERROR(CONCATENATE(VLOOKUP(A690,GM_Table,12,FALSE)," ",(VLOOKUP(A690,GM_Table,13,FALSE))),"")</f>
        <v/>
      </c>
    </row>
    <row r="691" spans="1:18" ht="15" x14ac:dyDescent="0.2">
      <c r="A691" s="193" t="s">
        <v>2566</v>
      </c>
      <c r="B691" s="9" t="s">
        <v>3290</v>
      </c>
      <c r="C691" s="9" t="s">
        <v>3291</v>
      </c>
      <c r="D691" s="252">
        <v>2.4500000000000002</v>
      </c>
      <c r="E691" s="245">
        <v>1433</v>
      </c>
      <c r="F691" s="246">
        <v>1367</v>
      </c>
      <c r="G691" s="247">
        <v>1061</v>
      </c>
      <c r="H691" s="9">
        <v>0</v>
      </c>
      <c r="I691" s="255">
        <v>0</v>
      </c>
      <c r="J691" s="122" t="b">
        <f>IF(ISBLANK(CertifiedCrop[[#This Row],[1. Identifiant interne d’exploitation agricole*]]),"",IF(ISERROR(MATCH(CertifiedCrop[[#This Row],[1. Identifiant interne d’exploitation agricole*]],GroupMember[1. Identifiant interne d’exploitation agricole*],0)),FALSE,TRUE))</f>
        <v>1</v>
      </c>
      <c r="K691" s="122" t="b">
        <f t="array" ref="K691">IF(ISBLANK(CertifiedCrop[[#This Row],[2. Produit agricole certifié*]]),"",IF(ISERROR(MATCH(1,(#REF!=CertifiedCrop[[#This Row],[2. Produit agricole certifié*]])*(#REF!=CertifiedCrop[[#This Row],[3. Variété**]]),0)),FALSE,TRUE))</f>
        <v>0</v>
      </c>
      <c r="L691" s="20" t="str">
        <f t="shared" ref="L691:L754" si="55">IF((F691-G691)&lt;0,"!","")</f>
        <v/>
      </c>
      <c r="M691" s="54" t="str">
        <f t="shared" ref="M691:M754" si="56">IFERROR(IF((F691-G691)/G691&gt;25%,"!",IF((F691-G691)/G691&lt;-25%,"!","")),"")</f>
        <v>!</v>
      </c>
      <c r="N691" s="54" t="str">
        <f t="shared" ref="N691:N754" si="57">IFERROR(IF((G691-H691)/H691&gt;25%,"!",IF((G691-H691)/H691&lt;-25%,"!","")),"")</f>
        <v/>
      </c>
      <c r="O691" s="55">
        <f t="shared" ref="O691:O754" si="58">IFERROR(E691/D691,"")</f>
        <v>584.89795918367338</v>
      </c>
      <c r="P691" s="55">
        <f t="shared" ref="P691:P754" si="59">IFERROR(F691/D691,"")</f>
        <v>557.9591836734694</v>
      </c>
      <c r="Q691" s="9" t="str">
        <f ca="1">IFERROR((VLOOKUP(A691,GM_Table,8,FALSE)-SUMIFS(D:D,A:A,A691,B:B,B691,C:C,C691)),"")</f>
        <v/>
      </c>
      <c r="R691" s="9" t="str">
        <f ca="1">IFERROR(CONCATENATE(VLOOKUP(A691,GM_Table,12,FALSE)," ",(VLOOKUP(A691,GM_Table,13,FALSE))),"")</f>
        <v/>
      </c>
    </row>
    <row r="692" spans="1:18" ht="15" x14ac:dyDescent="0.2">
      <c r="A692" s="193" t="s">
        <v>2569</v>
      </c>
      <c r="B692" s="9" t="s">
        <v>3290</v>
      </c>
      <c r="C692" s="9" t="s">
        <v>3291</v>
      </c>
      <c r="D692" s="252">
        <v>0.92</v>
      </c>
      <c r="E692" s="221">
        <v>577</v>
      </c>
      <c r="F692" s="246">
        <v>556</v>
      </c>
      <c r="G692" s="247">
        <v>274</v>
      </c>
      <c r="H692" s="9">
        <v>0</v>
      </c>
      <c r="I692" s="255">
        <v>0</v>
      </c>
      <c r="J692" s="122" t="b">
        <f>IF(ISBLANK(CertifiedCrop[[#This Row],[1. Identifiant interne d’exploitation agricole*]]),"",IF(ISERROR(MATCH(CertifiedCrop[[#This Row],[1. Identifiant interne d’exploitation agricole*]],GroupMember[1. Identifiant interne d’exploitation agricole*],0)),FALSE,TRUE))</f>
        <v>1</v>
      </c>
      <c r="K692" s="122" t="b">
        <f t="array" ref="K692">IF(ISBLANK(CertifiedCrop[[#This Row],[2. Produit agricole certifié*]]),"",IF(ISERROR(MATCH(1,(#REF!=CertifiedCrop[[#This Row],[2. Produit agricole certifié*]])*(#REF!=CertifiedCrop[[#This Row],[3. Variété**]]),0)),FALSE,TRUE))</f>
        <v>0</v>
      </c>
      <c r="L692" s="20" t="str">
        <f t="shared" si="55"/>
        <v/>
      </c>
      <c r="M692" s="54" t="str">
        <f t="shared" si="56"/>
        <v>!</v>
      </c>
      <c r="N692" s="54" t="str">
        <f t="shared" si="57"/>
        <v/>
      </c>
      <c r="O692" s="55">
        <f t="shared" si="58"/>
        <v>627.17391304347825</v>
      </c>
      <c r="P692" s="55">
        <f t="shared" si="59"/>
        <v>604.3478260869565</v>
      </c>
      <c r="Q692" s="9" t="str">
        <f ca="1">IFERROR((VLOOKUP(A692,GM_Table,8,FALSE)-SUMIFS(D:D,A:A,A692,B:B,B692,C:C,C692)),"")</f>
        <v/>
      </c>
      <c r="R692" s="9" t="str">
        <f ca="1">IFERROR(CONCATENATE(VLOOKUP(A692,GM_Table,12,FALSE)," ",(VLOOKUP(A692,GM_Table,13,FALSE))),"")</f>
        <v/>
      </c>
    </row>
    <row r="693" spans="1:18" ht="15" x14ac:dyDescent="0.2">
      <c r="A693" s="193" t="s">
        <v>2571</v>
      </c>
      <c r="B693" s="9" t="s">
        <v>3290</v>
      </c>
      <c r="C693" s="9" t="s">
        <v>3291</v>
      </c>
      <c r="D693" s="252">
        <v>3.31</v>
      </c>
      <c r="E693" s="245">
        <v>1806</v>
      </c>
      <c r="F693" s="246">
        <v>1657</v>
      </c>
      <c r="G693" s="247">
        <v>1657</v>
      </c>
      <c r="H693" s="9">
        <v>0</v>
      </c>
      <c r="I693" s="255">
        <v>0</v>
      </c>
      <c r="J693" s="122" t="b">
        <f>IF(ISBLANK(CertifiedCrop[[#This Row],[1. Identifiant interne d’exploitation agricole*]]),"",IF(ISERROR(MATCH(CertifiedCrop[[#This Row],[1. Identifiant interne d’exploitation agricole*]],GroupMember[1. Identifiant interne d’exploitation agricole*],0)),FALSE,TRUE))</f>
        <v>1</v>
      </c>
      <c r="K693" s="122" t="b">
        <f t="array" ref="K693">IF(ISBLANK(CertifiedCrop[[#This Row],[2. Produit agricole certifié*]]),"",IF(ISERROR(MATCH(1,(#REF!=CertifiedCrop[[#This Row],[2. Produit agricole certifié*]])*(#REF!=CertifiedCrop[[#This Row],[3. Variété**]]),0)),FALSE,TRUE))</f>
        <v>0</v>
      </c>
      <c r="L693" s="20" t="str">
        <f t="shared" si="55"/>
        <v/>
      </c>
      <c r="M693" s="54" t="str">
        <f t="shared" si="56"/>
        <v/>
      </c>
      <c r="N693" s="54" t="str">
        <f t="shared" si="57"/>
        <v/>
      </c>
      <c r="O693" s="55">
        <f t="shared" si="58"/>
        <v>545.61933534743207</v>
      </c>
      <c r="P693" s="55">
        <f t="shared" si="59"/>
        <v>500.60422960725077</v>
      </c>
      <c r="Q693" s="9" t="str">
        <f ca="1">IFERROR((VLOOKUP(A693,GM_Table,8,FALSE)-SUMIFS(D:D,A:A,A693,B:B,B693,C:C,C693)),"")</f>
        <v/>
      </c>
      <c r="R693" s="9" t="str">
        <f ca="1">IFERROR(CONCATENATE(VLOOKUP(A693,GM_Table,12,FALSE)," ",(VLOOKUP(A693,GM_Table,13,FALSE))),"")</f>
        <v/>
      </c>
    </row>
    <row r="694" spans="1:18" ht="15" x14ac:dyDescent="0.2">
      <c r="A694" s="193" t="s">
        <v>2574</v>
      </c>
      <c r="B694" s="9" t="s">
        <v>3290</v>
      </c>
      <c r="C694" s="9" t="s">
        <v>3291</v>
      </c>
      <c r="D694" s="252">
        <v>3.86</v>
      </c>
      <c r="E694" s="245">
        <v>2318</v>
      </c>
      <c r="F694" s="246">
        <v>2181</v>
      </c>
      <c r="G694" s="247">
        <v>2181</v>
      </c>
      <c r="H694" s="9">
        <v>0</v>
      </c>
      <c r="I694" s="255">
        <v>0</v>
      </c>
      <c r="J694" s="122" t="b">
        <f>IF(ISBLANK(CertifiedCrop[[#This Row],[1. Identifiant interne d’exploitation agricole*]]),"",IF(ISERROR(MATCH(CertifiedCrop[[#This Row],[1. Identifiant interne d’exploitation agricole*]],GroupMember[1. Identifiant interne d’exploitation agricole*],0)),FALSE,TRUE))</f>
        <v>1</v>
      </c>
      <c r="K694" s="122" t="b">
        <f t="array" ref="K694">IF(ISBLANK(CertifiedCrop[[#This Row],[2. Produit agricole certifié*]]),"",IF(ISERROR(MATCH(1,(#REF!=CertifiedCrop[[#This Row],[2. Produit agricole certifié*]])*(#REF!=CertifiedCrop[[#This Row],[3. Variété**]]),0)),FALSE,TRUE))</f>
        <v>0</v>
      </c>
      <c r="L694" s="20" t="str">
        <f t="shared" si="55"/>
        <v/>
      </c>
      <c r="M694" s="54" t="str">
        <f t="shared" si="56"/>
        <v/>
      </c>
      <c r="N694" s="54" t="str">
        <f t="shared" si="57"/>
        <v/>
      </c>
      <c r="O694" s="55">
        <f t="shared" si="58"/>
        <v>600.51813471502589</v>
      </c>
      <c r="P694" s="55">
        <f t="shared" si="59"/>
        <v>565.02590673575128</v>
      </c>
      <c r="Q694" s="9" t="str">
        <f ca="1">IFERROR((VLOOKUP(A694,GM_Table,8,FALSE)-SUMIFS(D:D,A:A,A694,B:B,B694,C:C,C694)),"")</f>
        <v/>
      </c>
      <c r="R694" s="9" t="str">
        <f ca="1">IFERROR(CONCATENATE(VLOOKUP(A694,GM_Table,12,FALSE)," ",(VLOOKUP(A694,GM_Table,13,FALSE))),"")</f>
        <v/>
      </c>
    </row>
    <row r="695" spans="1:18" ht="15" x14ac:dyDescent="0.2">
      <c r="A695" s="193" t="s">
        <v>2577</v>
      </c>
      <c r="B695" s="9" t="s">
        <v>3290</v>
      </c>
      <c r="C695" s="9" t="s">
        <v>3291</v>
      </c>
      <c r="D695" s="252">
        <v>1.93</v>
      </c>
      <c r="E695" s="245">
        <v>1014</v>
      </c>
      <c r="F695" s="246">
        <v>1004</v>
      </c>
      <c r="G695" s="247">
        <v>541</v>
      </c>
      <c r="H695" s="9">
        <v>0</v>
      </c>
      <c r="I695" s="255">
        <v>0</v>
      </c>
      <c r="J695" s="122" t="b">
        <f>IF(ISBLANK(CertifiedCrop[[#This Row],[1. Identifiant interne d’exploitation agricole*]]),"",IF(ISERROR(MATCH(CertifiedCrop[[#This Row],[1. Identifiant interne d’exploitation agricole*]],GroupMember[1. Identifiant interne d’exploitation agricole*],0)),FALSE,TRUE))</f>
        <v>1</v>
      </c>
      <c r="K695" s="122" t="b">
        <f t="array" ref="K695">IF(ISBLANK(CertifiedCrop[[#This Row],[2. Produit agricole certifié*]]),"",IF(ISERROR(MATCH(1,(#REF!=CertifiedCrop[[#This Row],[2. Produit agricole certifié*]])*(#REF!=CertifiedCrop[[#This Row],[3. Variété**]]),0)),FALSE,TRUE))</f>
        <v>0</v>
      </c>
      <c r="L695" s="20" t="str">
        <f t="shared" si="55"/>
        <v/>
      </c>
      <c r="M695" s="54" t="str">
        <f t="shared" si="56"/>
        <v>!</v>
      </c>
      <c r="N695" s="54" t="str">
        <f t="shared" si="57"/>
        <v/>
      </c>
      <c r="O695" s="55">
        <f t="shared" si="58"/>
        <v>525.38860103626939</v>
      </c>
      <c r="P695" s="55">
        <f t="shared" si="59"/>
        <v>520.20725388601034</v>
      </c>
      <c r="Q695" s="9" t="str">
        <f ca="1">IFERROR((VLOOKUP(A695,GM_Table,8,FALSE)-SUMIFS(D:D,A:A,A695,B:B,B695,C:C,C695)),"")</f>
        <v/>
      </c>
      <c r="R695" s="9" t="str">
        <f ca="1">IFERROR(CONCATENATE(VLOOKUP(A695,GM_Table,12,FALSE)," ",(VLOOKUP(A695,GM_Table,13,FALSE))),"")</f>
        <v/>
      </c>
    </row>
    <row r="696" spans="1:18" ht="15" x14ac:dyDescent="0.2">
      <c r="A696" s="193" t="s">
        <v>2580</v>
      </c>
      <c r="B696" s="9" t="s">
        <v>3290</v>
      </c>
      <c r="C696" s="9" t="s">
        <v>3291</v>
      </c>
      <c r="D696" s="252">
        <v>3.21</v>
      </c>
      <c r="E696" s="245">
        <v>1899</v>
      </c>
      <c r="F696" s="246">
        <v>1789</v>
      </c>
      <c r="G696" s="247">
        <v>1550</v>
      </c>
      <c r="H696" s="9">
        <v>0</v>
      </c>
      <c r="I696" s="255">
        <v>0</v>
      </c>
      <c r="J696" s="122" t="b">
        <f>IF(ISBLANK(CertifiedCrop[[#This Row],[1. Identifiant interne d’exploitation agricole*]]),"",IF(ISERROR(MATCH(CertifiedCrop[[#This Row],[1. Identifiant interne d’exploitation agricole*]],GroupMember[1. Identifiant interne d’exploitation agricole*],0)),FALSE,TRUE))</f>
        <v>1</v>
      </c>
      <c r="K696" s="122" t="b">
        <f t="array" ref="K696">IF(ISBLANK(CertifiedCrop[[#This Row],[2. Produit agricole certifié*]]),"",IF(ISERROR(MATCH(1,(#REF!=CertifiedCrop[[#This Row],[2. Produit agricole certifié*]])*(#REF!=CertifiedCrop[[#This Row],[3. Variété**]]),0)),FALSE,TRUE))</f>
        <v>0</v>
      </c>
      <c r="L696" s="20" t="str">
        <f t="shared" si="55"/>
        <v/>
      </c>
      <c r="M696" s="54" t="str">
        <f t="shared" si="56"/>
        <v/>
      </c>
      <c r="N696" s="54" t="str">
        <f t="shared" si="57"/>
        <v/>
      </c>
      <c r="O696" s="55">
        <f t="shared" si="58"/>
        <v>591.58878504672896</v>
      </c>
      <c r="P696" s="55">
        <f t="shared" si="59"/>
        <v>557.32087227414331</v>
      </c>
      <c r="Q696" s="9" t="str">
        <f ca="1">IFERROR((VLOOKUP(A696,GM_Table,8,FALSE)-SUMIFS(D:D,A:A,A696,B:B,B696,C:C,C696)),"")</f>
        <v/>
      </c>
      <c r="R696" s="9" t="str">
        <f ca="1">IFERROR(CONCATENATE(VLOOKUP(A696,GM_Table,12,FALSE)," ",(VLOOKUP(A696,GM_Table,13,FALSE))),"")</f>
        <v/>
      </c>
    </row>
    <row r="697" spans="1:18" ht="15" x14ac:dyDescent="0.2">
      <c r="A697" s="193" t="s">
        <v>2582</v>
      </c>
      <c r="B697" s="9" t="s">
        <v>3290</v>
      </c>
      <c r="C697" s="9" t="s">
        <v>3291</v>
      </c>
      <c r="D697" s="252">
        <v>1.25</v>
      </c>
      <c r="E697" s="221">
        <v>739</v>
      </c>
      <c r="F697" s="246">
        <v>788</v>
      </c>
      <c r="G697" s="247">
        <v>788</v>
      </c>
      <c r="H697" s="9">
        <v>0</v>
      </c>
      <c r="I697" s="255">
        <v>0</v>
      </c>
      <c r="J697" s="122" t="b">
        <f>IF(ISBLANK(CertifiedCrop[[#This Row],[1. Identifiant interne d’exploitation agricole*]]),"",IF(ISERROR(MATCH(CertifiedCrop[[#This Row],[1. Identifiant interne d’exploitation agricole*]],GroupMember[1. Identifiant interne d’exploitation agricole*],0)),FALSE,TRUE))</f>
        <v>1</v>
      </c>
      <c r="K697" s="122" t="b">
        <f t="array" ref="K697">IF(ISBLANK(CertifiedCrop[[#This Row],[2. Produit agricole certifié*]]),"",IF(ISERROR(MATCH(1,(#REF!=CertifiedCrop[[#This Row],[2. Produit agricole certifié*]])*(#REF!=CertifiedCrop[[#This Row],[3. Variété**]]),0)),FALSE,TRUE))</f>
        <v>0</v>
      </c>
      <c r="L697" s="20" t="str">
        <f t="shared" si="55"/>
        <v/>
      </c>
      <c r="M697" s="54" t="str">
        <f t="shared" si="56"/>
        <v/>
      </c>
      <c r="N697" s="54" t="str">
        <f t="shared" si="57"/>
        <v/>
      </c>
      <c r="O697" s="55">
        <f t="shared" si="58"/>
        <v>591.20000000000005</v>
      </c>
      <c r="P697" s="55">
        <f t="shared" si="59"/>
        <v>630.4</v>
      </c>
      <c r="Q697" s="9" t="str">
        <f ca="1">IFERROR((VLOOKUP(A697,GM_Table,8,FALSE)-SUMIFS(D:D,A:A,A697,B:B,B697,C:C,C697)),"")</f>
        <v/>
      </c>
      <c r="R697" s="9" t="str">
        <f ca="1">IFERROR(CONCATENATE(VLOOKUP(A697,GM_Table,12,FALSE)," ",(VLOOKUP(A697,GM_Table,13,FALSE))),"")</f>
        <v/>
      </c>
    </row>
    <row r="698" spans="1:18" ht="15" x14ac:dyDescent="0.2">
      <c r="A698" s="193" t="s">
        <v>2585</v>
      </c>
      <c r="B698" s="9" t="s">
        <v>3290</v>
      </c>
      <c r="C698" s="9" t="s">
        <v>3291</v>
      </c>
      <c r="D698" s="252">
        <v>1.89</v>
      </c>
      <c r="E698" s="245">
        <v>1197</v>
      </c>
      <c r="F698" s="246">
        <v>1103</v>
      </c>
      <c r="G698" s="247">
        <v>448</v>
      </c>
      <c r="H698" s="9">
        <v>0</v>
      </c>
      <c r="I698" s="255">
        <v>0</v>
      </c>
      <c r="J698" s="122" t="b">
        <f>IF(ISBLANK(CertifiedCrop[[#This Row],[1. Identifiant interne d’exploitation agricole*]]),"",IF(ISERROR(MATCH(CertifiedCrop[[#This Row],[1. Identifiant interne d’exploitation agricole*]],GroupMember[1. Identifiant interne d’exploitation agricole*],0)),FALSE,TRUE))</f>
        <v>1</v>
      </c>
      <c r="K698" s="122" t="b">
        <f t="array" ref="K698">IF(ISBLANK(CertifiedCrop[[#This Row],[2. Produit agricole certifié*]]),"",IF(ISERROR(MATCH(1,(#REF!=CertifiedCrop[[#This Row],[2. Produit agricole certifié*]])*(#REF!=CertifiedCrop[[#This Row],[3. Variété**]]),0)),FALSE,TRUE))</f>
        <v>0</v>
      </c>
      <c r="L698" s="20" t="str">
        <f t="shared" si="55"/>
        <v/>
      </c>
      <c r="M698" s="54" t="str">
        <f t="shared" si="56"/>
        <v>!</v>
      </c>
      <c r="N698" s="54" t="str">
        <f t="shared" si="57"/>
        <v/>
      </c>
      <c r="O698" s="55">
        <f t="shared" si="58"/>
        <v>633.33333333333337</v>
      </c>
      <c r="P698" s="55">
        <f t="shared" si="59"/>
        <v>583.59788359788365</v>
      </c>
      <c r="Q698" s="9" t="str">
        <f ca="1">IFERROR((VLOOKUP(A698,GM_Table,8,FALSE)-SUMIFS(D:D,A:A,A698,B:B,B698,C:C,C698)),"")</f>
        <v/>
      </c>
      <c r="R698" s="9" t="str">
        <f ca="1">IFERROR(CONCATENATE(VLOOKUP(A698,GM_Table,12,FALSE)," ",(VLOOKUP(A698,GM_Table,13,FALSE))),"")</f>
        <v/>
      </c>
    </row>
    <row r="699" spans="1:18" ht="15" x14ac:dyDescent="0.2">
      <c r="A699" s="193" t="s">
        <v>2587</v>
      </c>
      <c r="B699" s="9" t="s">
        <v>3290</v>
      </c>
      <c r="C699" s="9" t="s">
        <v>3291</v>
      </c>
      <c r="D699" s="252">
        <v>1.29</v>
      </c>
      <c r="E699" s="221">
        <v>765</v>
      </c>
      <c r="F699" s="246">
        <v>745</v>
      </c>
      <c r="G699" s="247">
        <v>633</v>
      </c>
      <c r="H699" s="9">
        <v>0</v>
      </c>
      <c r="I699" s="255">
        <v>0</v>
      </c>
      <c r="J699" s="122" t="b">
        <f>IF(ISBLANK(CertifiedCrop[[#This Row],[1. Identifiant interne d’exploitation agricole*]]),"",IF(ISERROR(MATCH(CertifiedCrop[[#This Row],[1. Identifiant interne d’exploitation agricole*]],GroupMember[1. Identifiant interne d’exploitation agricole*],0)),FALSE,TRUE))</f>
        <v>1</v>
      </c>
      <c r="K699" s="122" t="b">
        <f t="array" ref="K699">IF(ISBLANK(CertifiedCrop[[#This Row],[2. Produit agricole certifié*]]),"",IF(ISERROR(MATCH(1,(#REF!=CertifiedCrop[[#This Row],[2. Produit agricole certifié*]])*(#REF!=CertifiedCrop[[#This Row],[3. Variété**]]),0)),FALSE,TRUE))</f>
        <v>0</v>
      </c>
      <c r="L699" s="20" t="str">
        <f t="shared" si="55"/>
        <v/>
      </c>
      <c r="M699" s="54" t="str">
        <f t="shared" si="56"/>
        <v/>
      </c>
      <c r="N699" s="54" t="str">
        <f t="shared" si="57"/>
        <v/>
      </c>
      <c r="O699" s="55">
        <f t="shared" si="58"/>
        <v>593.02325581395348</v>
      </c>
      <c r="P699" s="55">
        <f t="shared" si="59"/>
        <v>577.51937984496124</v>
      </c>
      <c r="Q699" s="9" t="str">
        <f ca="1">IFERROR((VLOOKUP(A699,GM_Table,8,FALSE)-SUMIFS(D:D,A:A,A699,B:B,B699,C:C,C699)),"")</f>
        <v/>
      </c>
      <c r="R699" s="9" t="str">
        <f ca="1">IFERROR(CONCATENATE(VLOOKUP(A699,GM_Table,12,FALSE)," ",(VLOOKUP(A699,GM_Table,13,FALSE))),"")</f>
        <v/>
      </c>
    </row>
    <row r="700" spans="1:18" ht="15" x14ac:dyDescent="0.2">
      <c r="A700" s="193" t="s">
        <v>2589</v>
      </c>
      <c r="B700" s="9" t="s">
        <v>3290</v>
      </c>
      <c r="C700" s="9" t="s">
        <v>3291</v>
      </c>
      <c r="D700" s="252">
        <v>2.13</v>
      </c>
      <c r="E700" s="245">
        <v>1248</v>
      </c>
      <c r="F700" s="246">
        <v>1367</v>
      </c>
      <c r="G700" s="247">
        <v>1367</v>
      </c>
      <c r="H700" s="9">
        <v>0</v>
      </c>
      <c r="I700" s="255">
        <v>0</v>
      </c>
      <c r="J700" s="122" t="b">
        <f>IF(ISBLANK(CertifiedCrop[[#This Row],[1. Identifiant interne d’exploitation agricole*]]),"",IF(ISERROR(MATCH(CertifiedCrop[[#This Row],[1. Identifiant interne d’exploitation agricole*]],GroupMember[1. Identifiant interne d’exploitation agricole*],0)),FALSE,TRUE))</f>
        <v>1</v>
      </c>
      <c r="K700" s="122" t="b">
        <f t="array" ref="K700">IF(ISBLANK(CertifiedCrop[[#This Row],[2. Produit agricole certifié*]]),"",IF(ISERROR(MATCH(1,(#REF!=CertifiedCrop[[#This Row],[2. Produit agricole certifié*]])*(#REF!=CertifiedCrop[[#This Row],[3. Variété**]]),0)),FALSE,TRUE))</f>
        <v>0</v>
      </c>
      <c r="L700" s="20" t="str">
        <f t="shared" si="55"/>
        <v/>
      </c>
      <c r="M700" s="54" t="str">
        <f t="shared" si="56"/>
        <v/>
      </c>
      <c r="N700" s="54" t="str">
        <f t="shared" si="57"/>
        <v/>
      </c>
      <c r="O700" s="55">
        <f t="shared" si="58"/>
        <v>585.91549295774655</v>
      </c>
      <c r="P700" s="55">
        <f t="shared" si="59"/>
        <v>641.78403755868544</v>
      </c>
      <c r="Q700" s="9" t="str">
        <f ca="1">IFERROR((VLOOKUP(A700,GM_Table,8,FALSE)-SUMIFS(D:D,A:A,A700,B:B,B700,C:C,C700)),"")</f>
        <v/>
      </c>
      <c r="R700" s="9" t="str">
        <f ca="1">IFERROR(CONCATENATE(VLOOKUP(A700,GM_Table,12,FALSE)," ",(VLOOKUP(A700,GM_Table,13,FALSE))),"")</f>
        <v/>
      </c>
    </row>
    <row r="701" spans="1:18" ht="15" x14ac:dyDescent="0.2">
      <c r="A701" s="193" t="s">
        <v>2592</v>
      </c>
      <c r="B701" s="9" t="s">
        <v>3290</v>
      </c>
      <c r="C701" s="9" t="s">
        <v>3291</v>
      </c>
      <c r="D701" s="252">
        <v>3.23</v>
      </c>
      <c r="E701" s="245">
        <v>2027</v>
      </c>
      <c r="F701" s="246">
        <v>2001</v>
      </c>
      <c r="G701" s="247">
        <v>1266</v>
      </c>
      <c r="H701" s="9">
        <v>0</v>
      </c>
      <c r="I701" s="255">
        <v>0</v>
      </c>
      <c r="J701" s="122" t="b">
        <f>IF(ISBLANK(CertifiedCrop[[#This Row],[1. Identifiant interne d’exploitation agricole*]]),"",IF(ISERROR(MATCH(CertifiedCrop[[#This Row],[1. Identifiant interne d’exploitation agricole*]],GroupMember[1. Identifiant interne d’exploitation agricole*],0)),FALSE,TRUE))</f>
        <v>1</v>
      </c>
      <c r="K701" s="122" t="b">
        <f t="array" ref="K701">IF(ISBLANK(CertifiedCrop[[#This Row],[2. Produit agricole certifié*]]),"",IF(ISERROR(MATCH(1,(#REF!=CertifiedCrop[[#This Row],[2. Produit agricole certifié*]])*(#REF!=CertifiedCrop[[#This Row],[3. Variété**]]),0)),FALSE,TRUE))</f>
        <v>0</v>
      </c>
      <c r="L701" s="20" t="str">
        <f t="shared" si="55"/>
        <v/>
      </c>
      <c r="M701" s="54" t="str">
        <f t="shared" si="56"/>
        <v>!</v>
      </c>
      <c r="N701" s="54" t="str">
        <f t="shared" si="57"/>
        <v/>
      </c>
      <c r="O701" s="55">
        <f t="shared" si="58"/>
        <v>627.55417956656345</v>
      </c>
      <c r="P701" s="55">
        <f t="shared" si="59"/>
        <v>619.50464396284826</v>
      </c>
      <c r="Q701" s="9" t="str">
        <f ca="1">IFERROR((VLOOKUP(A701,GM_Table,8,FALSE)-SUMIFS(D:D,A:A,A701,B:B,B701,C:C,C701)),"")</f>
        <v/>
      </c>
      <c r="R701" s="9" t="str">
        <f ca="1">IFERROR(CONCATENATE(VLOOKUP(A701,GM_Table,12,FALSE)," ",(VLOOKUP(A701,GM_Table,13,FALSE))),"")</f>
        <v/>
      </c>
    </row>
    <row r="702" spans="1:18" ht="15" x14ac:dyDescent="0.2">
      <c r="A702" s="193" t="s">
        <v>2594</v>
      </c>
      <c r="B702" s="9" t="s">
        <v>3290</v>
      </c>
      <c r="C702" s="9" t="s">
        <v>3291</v>
      </c>
      <c r="D702" s="252">
        <v>2.34</v>
      </c>
      <c r="E702" s="245">
        <v>1222</v>
      </c>
      <c r="F702" s="246">
        <v>1163</v>
      </c>
      <c r="G702" s="247">
        <v>264</v>
      </c>
      <c r="H702" s="9">
        <v>0</v>
      </c>
      <c r="I702" s="255">
        <v>0</v>
      </c>
      <c r="J702" s="122" t="b">
        <f>IF(ISBLANK(CertifiedCrop[[#This Row],[1. Identifiant interne d’exploitation agricole*]]),"",IF(ISERROR(MATCH(CertifiedCrop[[#This Row],[1. Identifiant interne d’exploitation agricole*]],GroupMember[1. Identifiant interne d’exploitation agricole*],0)),FALSE,TRUE))</f>
        <v>1</v>
      </c>
      <c r="K702" s="122" t="b">
        <f t="array" ref="K702">IF(ISBLANK(CertifiedCrop[[#This Row],[2. Produit agricole certifié*]]),"",IF(ISERROR(MATCH(1,(#REF!=CertifiedCrop[[#This Row],[2. Produit agricole certifié*]])*(#REF!=CertifiedCrop[[#This Row],[3. Variété**]]),0)),FALSE,TRUE))</f>
        <v>0</v>
      </c>
      <c r="L702" s="20" t="str">
        <f t="shared" si="55"/>
        <v/>
      </c>
      <c r="M702" s="54" t="str">
        <f t="shared" si="56"/>
        <v>!</v>
      </c>
      <c r="N702" s="54" t="str">
        <f t="shared" si="57"/>
        <v/>
      </c>
      <c r="O702" s="55">
        <f t="shared" si="58"/>
        <v>522.22222222222229</v>
      </c>
      <c r="P702" s="55">
        <f t="shared" si="59"/>
        <v>497.00854700854705</v>
      </c>
      <c r="Q702" s="9" t="str">
        <f ca="1">IFERROR((VLOOKUP(A702,GM_Table,8,FALSE)-SUMIFS(D:D,A:A,A702,B:B,B702,C:C,C702)),"")</f>
        <v/>
      </c>
      <c r="R702" s="9" t="str">
        <f ca="1">IFERROR(CONCATENATE(VLOOKUP(A702,GM_Table,12,FALSE)," ",(VLOOKUP(A702,GM_Table,13,FALSE))),"")</f>
        <v/>
      </c>
    </row>
    <row r="703" spans="1:18" ht="15" x14ac:dyDescent="0.2">
      <c r="A703" s="193" t="s">
        <v>2596</v>
      </c>
      <c r="B703" s="9" t="s">
        <v>3290</v>
      </c>
      <c r="C703" s="9" t="s">
        <v>3291</v>
      </c>
      <c r="D703" s="252">
        <v>2.35</v>
      </c>
      <c r="E703" s="245">
        <v>1333</v>
      </c>
      <c r="F703" s="246">
        <v>1221</v>
      </c>
      <c r="G703" s="247">
        <v>1221</v>
      </c>
      <c r="H703" s="9">
        <v>0</v>
      </c>
      <c r="I703" s="255">
        <v>0</v>
      </c>
      <c r="J703" s="122" t="b">
        <f>IF(ISBLANK(CertifiedCrop[[#This Row],[1. Identifiant interne d’exploitation agricole*]]),"",IF(ISERROR(MATCH(CertifiedCrop[[#This Row],[1. Identifiant interne d’exploitation agricole*]],GroupMember[1. Identifiant interne d’exploitation agricole*],0)),FALSE,TRUE))</f>
        <v>1</v>
      </c>
      <c r="K703" s="122" t="b">
        <f t="array" ref="K703">IF(ISBLANK(CertifiedCrop[[#This Row],[2. Produit agricole certifié*]]),"",IF(ISERROR(MATCH(1,(#REF!=CertifiedCrop[[#This Row],[2. Produit agricole certifié*]])*(#REF!=CertifiedCrop[[#This Row],[3. Variété**]]),0)),FALSE,TRUE))</f>
        <v>0</v>
      </c>
      <c r="L703" s="20" t="str">
        <f t="shared" si="55"/>
        <v/>
      </c>
      <c r="M703" s="54" t="str">
        <f t="shared" si="56"/>
        <v/>
      </c>
      <c r="N703" s="54" t="str">
        <f t="shared" si="57"/>
        <v/>
      </c>
      <c r="O703" s="55">
        <f t="shared" si="58"/>
        <v>567.23404255319144</v>
      </c>
      <c r="P703" s="55">
        <f t="shared" si="59"/>
        <v>519.57446808510633</v>
      </c>
      <c r="Q703" s="9" t="str">
        <f ca="1">IFERROR((VLOOKUP(A703,GM_Table,8,FALSE)-SUMIFS(D:D,A:A,A703,B:B,B703,C:C,C703)),"")</f>
        <v/>
      </c>
      <c r="R703" s="9" t="str">
        <f ca="1">IFERROR(CONCATENATE(VLOOKUP(A703,GM_Table,12,FALSE)," ",(VLOOKUP(A703,GM_Table,13,FALSE))),"")</f>
        <v/>
      </c>
    </row>
    <row r="704" spans="1:18" ht="15" x14ac:dyDescent="0.2">
      <c r="A704" s="193" t="s">
        <v>2599</v>
      </c>
      <c r="B704" s="9" t="s">
        <v>3290</v>
      </c>
      <c r="C704" s="9" t="s">
        <v>3291</v>
      </c>
      <c r="D704" s="252">
        <v>2.4900000000000002</v>
      </c>
      <c r="E704" s="245">
        <v>1575</v>
      </c>
      <c r="F704" s="246">
        <v>1478</v>
      </c>
      <c r="G704" s="247">
        <v>1352</v>
      </c>
      <c r="H704" s="9">
        <v>0</v>
      </c>
      <c r="I704" s="255">
        <v>0</v>
      </c>
      <c r="J704" s="122" t="b">
        <f>IF(ISBLANK(CertifiedCrop[[#This Row],[1. Identifiant interne d’exploitation agricole*]]),"",IF(ISERROR(MATCH(CertifiedCrop[[#This Row],[1. Identifiant interne d’exploitation agricole*]],GroupMember[1. Identifiant interne d’exploitation agricole*],0)),FALSE,TRUE))</f>
        <v>1</v>
      </c>
      <c r="K704" s="122" t="b">
        <f t="array" ref="K704">IF(ISBLANK(CertifiedCrop[[#This Row],[2. Produit agricole certifié*]]),"",IF(ISERROR(MATCH(1,(#REF!=CertifiedCrop[[#This Row],[2. Produit agricole certifié*]])*(#REF!=CertifiedCrop[[#This Row],[3. Variété**]]),0)),FALSE,TRUE))</f>
        <v>0</v>
      </c>
      <c r="L704" s="20" t="str">
        <f t="shared" si="55"/>
        <v/>
      </c>
      <c r="M704" s="54" t="str">
        <f t="shared" si="56"/>
        <v/>
      </c>
      <c r="N704" s="54" t="str">
        <f t="shared" si="57"/>
        <v/>
      </c>
      <c r="O704" s="55">
        <f t="shared" si="58"/>
        <v>632.53012048192761</v>
      </c>
      <c r="P704" s="55">
        <f t="shared" si="59"/>
        <v>593.57429718875494</v>
      </c>
      <c r="Q704" s="9" t="str">
        <f ca="1">IFERROR((VLOOKUP(A704,GM_Table,8,FALSE)-SUMIFS(D:D,A:A,A704,B:B,B704,C:C,C704)),"")</f>
        <v/>
      </c>
      <c r="R704" s="9" t="str">
        <f ca="1">IFERROR(CONCATENATE(VLOOKUP(A704,GM_Table,12,FALSE)," ",(VLOOKUP(A704,GM_Table,13,FALSE))),"")</f>
        <v/>
      </c>
    </row>
    <row r="705" spans="1:18" ht="15" x14ac:dyDescent="0.2">
      <c r="A705" s="193" t="s">
        <v>2601</v>
      </c>
      <c r="B705" s="9" t="s">
        <v>3290</v>
      </c>
      <c r="C705" s="9" t="s">
        <v>3291</v>
      </c>
      <c r="D705" s="252">
        <v>1.85</v>
      </c>
      <c r="E705" s="245">
        <v>1011</v>
      </c>
      <c r="F705" s="246">
        <v>1005</v>
      </c>
      <c r="G705" s="247">
        <v>649</v>
      </c>
      <c r="H705" s="9">
        <v>0</v>
      </c>
      <c r="I705" s="255">
        <v>0</v>
      </c>
      <c r="J705" s="122" t="b">
        <f>IF(ISBLANK(CertifiedCrop[[#This Row],[1. Identifiant interne d’exploitation agricole*]]),"",IF(ISERROR(MATCH(CertifiedCrop[[#This Row],[1. Identifiant interne d’exploitation agricole*]],GroupMember[1. Identifiant interne d’exploitation agricole*],0)),FALSE,TRUE))</f>
        <v>1</v>
      </c>
      <c r="K705" s="122" t="b">
        <f t="array" ref="K705">IF(ISBLANK(CertifiedCrop[[#This Row],[2. Produit agricole certifié*]]),"",IF(ISERROR(MATCH(1,(#REF!=CertifiedCrop[[#This Row],[2. Produit agricole certifié*]])*(#REF!=CertifiedCrop[[#This Row],[3. Variété**]]),0)),FALSE,TRUE))</f>
        <v>0</v>
      </c>
      <c r="L705" s="20" t="str">
        <f t="shared" si="55"/>
        <v/>
      </c>
      <c r="M705" s="54" t="str">
        <f t="shared" si="56"/>
        <v>!</v>
      </c>
      <c r="N705" s="54" t="str">
        <f t="shared" si="57"/>
        <v/>
      </c>
      <c r="O705" s="55">
        <f t="shared" si="58"/>
        <v>546.48648648648646</v>
      </c>
      <c r="P705" s="55">
        <f t="shared" si="59"/>
        <v>543.24324324324323</v>
      </c>
      <c r="Q705" s="9" t="str">
        <f ca="1">IFERROR((VLOOKUP(A705,GM_Table,8,FALSE)-SUMIFS(D:D,A:A,A705,B:B,B705,C:C,C705)),"")</f>
        <v/>
      </c>
      <c r="R705" s="9" t="str">
        <f ca="1">IFERROR(CONCATENATE(VLOOKUP(A705,GM_Table,12,FALSE)," ",(VLOOKUP(A705,GM_Table,13,FALSE))),"")</f>
        <v/>
      </c>
    </row>
    <row r="706" spans="1:18" ht="15" x14ac:dyDescent="0.2">
      <c r="A706" s="193" t="s">
        <v>2605</v>
      </c>
      <c r="B706" s="9" t="s">
        <v>3290</v>
      </c>
      <c r="C706" s="9" t="s">
        <v>3291</v>
      </c>
      <c r="D706" s="252">
        <v>2.71</v>
      </c>
      <c r="E706" s="245">
        <v>1725</v>
      </c>
      <c r="F706" s="246">
        <v>1617</v>
      </c>
      <c r="G706" s="247">
        <v>1617</v>
      </c>
      <c r="H706" s="9">
        <v>0</v>
      </c>
      <c r="I706" s="255">
        <v>0</v>
      </c>
      <c r="J706" s="122" t="b">
        <f>IF(ISBLANK(CertifiedCrop[[#This Row],[1. Identifiant interne d’exploitation agricole*]]),"",IF(ISERROR(MATCH(CertifiedCrop[[#This Row],[1. Identifiant interne d’exploitation agricole*]],GroupMember[1. Identifiant interne d’exploitation agricole*],0)),FALSE,TRUE))</f>
        <v>1</v>
      </c>
      <c r="K706" s="122" t="b">
        <f t="array" ref="K706">IF(ISBLANK(CertifiedCrop[[#This Row],[2. Produit agricole certifié*]]),"",IF(ISERROR(MATCH(1,(#REF!=CertifiedCrop[[#This Row],[2. Produit agricole certifié*]])*(#REF!=CertifiedCrop[[#This Row],[3. Variété**]]),0)),FALSE,TRUE))</f>
        <v>0</v>
      </c>
      <c r="L706" s="20" t="str">
        <f t="shared" si="55"/>
        <v/>
      </c>
      <c r="M706" s="54" t="str">
        <f t="shared" si="56"/>
        <v/>
      </c>
      <c r="N706" s="54" t="str">
        <f t="shared" si="57"/>
        <v/>
      </c>
      <c r="O706" s="55">
        <f t="shared" si="58"/>
        <v>636.53136531365317</v>
      </c>
      <c r="P706" s="55">
        <f t="shared" si="59"/>
        <v>596.67896678966792</v>
      </c>
      <c r="Q706" s="9" t="str">
        <f ca="1">IFERROR((VLOOKUP(A706,GM_Table,8,FALSE)-SUMIFS(D:D,A:A,A706,B:B,B706,C:C,C706)),"")</f>
        <v/>
      </c>
      <c r="R706" s="9" t="str">
        <f ca="1">IFERROR(CONCATENATE(VLOOKUP(A706,GM_Table,12,FALSE)," ",(VLOOKUP(A706,GM_Table,13,FALSE))),"")</f>
        <v/>
      </c>
    </row>
    <row r="707" spans="1:18" ht="15" x14ac:dyDescent="0.2">
      <c r="A707" s="193" t="s">
        <v>2607</v>
      </c>
      <c r="B707" s="9" t="s">
        <v>3290</v>
      </c>
      <c r="C707" s="9" t="s">
        <v>3291</v>
      </c>
      <c r="D707" s="252">
        <v>1.91</v>
      </c>
      <c r="E707" s="245">
        <v>1147</v>
      </c>
      <c r="F707" s="246">
        <v>1114</v>
      </c>
      <c r="G707" s="247">
        <v>976</v>
      </c>
      <c r="H707" s="9">
        <v>0</v>
      </c>
      <c r="I707" s="255">
        <v>0</v>
      </c>
      <c r="J707" s="122" t="b">
        <f>IF(ISBLANK(CertifiedCrop[[#This Row],[1. Identifiant interne d’exploitation agricole*]]),"",IF(ISERROR(MATCH(CertifiedCrop[[#This Row],[1. Identifiant interne d’exploitation agricole*]],GroupMember[1. Identifiant interne d’exploitation agricole*],0)),FALSE,TRUE))</f>
        <v>1</v>
      </c>
      <c r="K707" s="122" t="b">
        <f t="array" ref="K707">IF(ISBLANK(CertifiedCrop[[#This Row],[2. Produit agricole certifié*]]),"",IF(ISERROR(MATCH(1,(#REF!=CertifiedCrop[[#This Row],[2. Produit agricole certifié*]])*(#REF!=CertifiedCrop[[#This Row],[3. Variété**]]),0)),FALSE,TRUE))</f>
        <v>0</v>
      </c>
      <c r="L707" s="20" t="str">
        <f t="shared" si="55"/>
        <v/>
      </c>
      <c r="M707" s="54" t="str">
        <f t="shared" si="56"/>
        <v/>
      </c>
      <c r="N707" s="54" t="str">
        <f t="shared" si="57"/>
        <v/>
      </c>
      <c r="O707" s="55">
        <f t="shared" si="58"/>
        <v>600.52356020942409</v>
      </c>
      <c r="P707" s="55">
        <f t="shared" si="59"/>
        <v>583.24607329842934</v>
      </c>
      <c r="Q707" s="9" t="str">
        <f ca="1">IFERROR((VLOOKUP(A707,GM_Table,8,FALSE)-SUMIFS(D:D,A:A,A707,B:B,B707,C:C,C707)),"")</f>
        <v/>
      </c>
      <c r="R707" s="9" t="str">
        <f ca="1">IFERROR(CONCATENATE(VLOOKUP(A707,GM_Table,12,FALSE)," ",(VLOOKUP(A707,GM_Table,13,FALSE))),"")</f>
        <v/>
      </c>
    </row>
    <row r="708" spans="1:18" ht="15" x14ac:dyDescent="0.2">
      <c r="A708" s="193" t="s">
        <v>2609</v>
      </c>
      <c r="B708" s="9" t="s">
        <v>3290</v>
      </c>
      <c r="C708" s="9" t="s">
        <v>3291</v>
      </c>
      <c r="D708" s="252">
        <v>1.57</v>
      </c>
      <c r="E708" s="221">
        <v>928</v>
      </c>
      <c r="F708" s="246">
        <v>913</v>
      </c>
      <c r="G708" s="247">
        <v>773</v>
      </c>
      <c r="H708" s="9">
        <v>0</v>
      </c>
      <c r="I708" s="255">
        <v>0</v>
      </c>
      <c r="J708" s="122" t="b">
        <f>IF(ISBLANK(CertifiedCrop[[#This Row],[1. Identifiant interne d’exploitation agricole*]]),"",IF(ISERROR(MATCH(CertifiedCrop[[#This Row],[1. Identifiant interne d’exploitation agricole*]],GroupMember[1. Identifiant interne d’exploitation agricole*],0)),FALSE,TRUE))</f>
        <v>1</v>
      </c>
      <c r="K708" s="122" t="b">
        <f t="array" ref="K708">IF(ISBLANK(CertifiedCrop[[#This Row],[2. Produit agricole certifié*]]),"",IF(ISERROR(MATCH(1,(#REF!=CertifiedCrop[[#This Row],[2. Produit agricole certifié*]])*(#REF!=CertifiedCrop[[#This Row],[3. Variété**]]),0)),FALSE,TRUE))</f>
        <v>0</v>
      </c>
      <c r="L708" s="20" t="str">
        <f t="shared" si="55"/>
        <v/>
      </c>
      <c r="M708" s="54" t="str">
        <f t="shared" si="56"/>
        <v/>
      </c>
      <c r="N708" s="54" t="str">
        <f t="shared" si="57"/>
        <v/>
      </c>
      <c r="O708" s="55">
        <f t="shared" si="58"/>
        <v>591.08280254777071</v>
      </c>
      <c r="P708" s="55">
        <f t="shared" si="59"/>
        <v>581.52866242038215</v>
      </c>
      <c r="Q708" s="9" t="str">
        <f ca="1">IFERROR((VLOOKUP(A708,GM_Table,8,FALSE)-SUMIFS(D:D,A:A,A708,B:B,B708,C:C,C708)),"")</f>
        <v/>
      </c>
      <c r="R708" s="9" t="str">
        <f ca="1">IFERROR(CONCATENATE(VLOOKUP(A708,GM_Table,12,FALSE)," ",(VLOOKUP(A708,GM_Table,13,FALSE))),"")</f>
        <v/>
      </c>
    </row>
    <row r="709" spans="1:18" ht="15" x14ac:dyDescent="0.2">
      <c r="A709" s="193" t="s">
        <v>2610</v>
      </c>
      <c r="B709" s="9" t="s">
        <v>3290</v>
      </c>
      <c r="C709" s="9" t="s">
        <v>3291</v>
      </c>
      <c r="D709" s="252">
        <v>2.85</v>
      </c>
      <c r="E709" s="245">
        <v>1815</v>
      </c>
      <c r="F709" s="246">
        <v>1749</v>
      </c>
      <c r="G709" s="247">
        <v>1275</v>
      </c>
      <c r="H709" s="9">
        <v>0</v>
      </c>
      <c r="I709" s="255">
        <v>0</v>
      </c>
      <c r="J709" s="122" t="b">
        <f>IF(ISBLANK(CertifiedCrop[[#This Row],[1. Identifiant interne d’exploitation agricole*]]),"",IF(ISERROR(MATCH(CertifiedCrop[[#This Row],[1. Identifiant interne d’exploitation agricole*]],GroupMember[1. Identifiant interne d’exploitation agricole*],0)),FALSE,TRUE))</f>
        <v>1</v>
      </c>
      <c r="K709" s="122" t="b">
        <f t="array" ref="K709">IF(ISBLANK(CertifiedCrop[[#This Row],[2. Produit agricole certifié*]]),"",IF(ISERROR(MATCH(1,(#REF!=CertifiedCrop[[#This Row],[2. Produit agricole certifié*]])*(#REF!=CertifiedCrop[[#This Row],[3. Variété**]]),0)),FALSE,TRUE))</f>
        <v>0</v>
      </c>
      <c r="L709" s="20" t="str">
        <f t="shared" si="55"/>
        <v/>
      </c>
      <c r="M709" s="54" t="str">
        <f t="shared" si="56"/>
        <v>!</v>
      </c>
      <c r="N709" s="54" t="str">
        <f t="shared" si="57"/>
        <v/>
      </c>
      <c r="O709" s="55">
        <f t="shared" si="58"/>
        <v>636.84210526315792</v>
      </c>
      <c r="P709" s="55">
        <f t="shared" si="59"/>
        <v>613.68421052631572</v>
      </c>
      <c r="Q709" s="9" t="str">
        <f ca="1">IFERROR((VLOOKUP(A709,GM_Table,8,FALSE)-SUMIFS(D:D,A:A,A709,B:B,B709,C:C,C709)),"")</f>
        <v/>
      </c>
      <c r="R709" s="9" t="str">
        <f ca="1">IFERROR(CONCATENATE(VLOOKUP(A709,GM_Table,12,FALSE)," ",(VLOOKUP(A709,GM_Table,13,FALSE))),"")</f>
        <v/>
      </c>
    </row>
    <row r="710" spans="1:18" ht="15" x14ac:dyDescent="0.2">
      <c r="A710" s="193" t="s">
        <v>2612</v>
      </c>
      <c r="B710" s="9" t="s">
        <v>3290</v>
      </c>
      <c r="C710" s="9" t="s">
        <v>3291</v>
      </c>
      <c r="D710" s="252">
        <v>4.76</v>
      </c>
      <c r="E710" s="245">
        <v>2982</v>
      </c>
      <c r="F710" s="246">
        <v>2922</v>
      </c>
      <c r="G710" s="247">
        <v>2922</v>
      </c>
      <c r="H710" s="9">
        <v>0</v>
      </c>
      <c r="I710" s="255">
        <v>0</v>
      </c>
      <c r="J710" s="122" t="b">
        <f>IF(ISBLANK(CertifiedCrop[[#This Row],[1. Identifiant interne d’exploitation agricole*]]),"",IF(ISERROR(MATCH(CertifiedCrop[[#This Row],[1. Identifiant interne d’exploitation agricole*]],GroupMember[1. Identifiant interne d’exploitation agricole*],0)),FALSE,TRUE))</f>
        <v>1</v>
      </c>
      <c r="K710" s="122" t="b">
        <f t="array" ref="K710">IF(ISBLANK(CertifiedCrop[[#This Row],[2. Produit agricole certifié*]]),"",IF(ISERROR(MATCH(1,(#REF!=CertifiedCrop[[#This Row],[2. Produit agricole certifié*]])*(#REF!=CertifiedCrop[[#This Row],[3. Variété**]]),0)),FALSE,TRUE))</f>
        <v>0</v>
      </c>
      <c r="L710" s="20" t="str">
        <f t="shared" si="55"/>
        <v/>
      </c>
      <c r="M710" s="54" t="str">
        <f t="shared" si="56"/>
        <v/>
      </c>
      <c r="N710" s="54" t="str">
        <f t="shared" si="57"/>
        <v/>
      </c>
      <c r="O710" s="55">
        <f t="shared" si="58"/>
        <v>626.47058823529414</v>
      </c>
      <c r="P710" s="55">
        <f t="shared" si="59"/>
        <v>613.86554621848745</v>
      </c>
      <c r="Q710" s="9" t="str">
        <f ca="1">IFERROR((VLOOKUP(A710,GM_Table,8,FALSE)-SUMIFS(D:D,A:A,A710,B:B,B710,C:C,C710)),"")</f>
        <v/>
      </c>
      <c r="R710" s="9" t="str">
        <f ca="1">IFERROR(CONCATENATE(VLOOKUP(A710,GM_Table,12,FALSE)," ",(VLOOKUP(A710,GM_Table,13,FALSE))),"")</f>
        <v/>
      </c>
    </row>
    <row r="711" spans="1:18" ht="15" x14ac:dyDescent="0.2">
      <c r="A711" s="193" t="s">
        <v>2613</v>
      </c>
      <c r="B711" s="9" t="s">
        <v>3290</v>
      </c>
      <c r="C711" s="9" t="s">
        <v>3291</v>
      </c>
      <c r="D711" s="252">
        <v>2.0699999999999998</v>
      </c>
      <c r="E711" s="245">
        <v>1201</v>
      </c>
      <c r="F711" s="246">
        <v>1182</v>
      </c>
      <c r="G711" s="247">
        <v>956</v>
      </c>
      <c r="H711" s="9">
        <v>0</v>
      </c>
      <c r="I711" s="255">
        <v>0</v>
      </c>
      <c r="J711" s="122" t="b">
        <f>IF(ISBLANK(CertifiedCrop[[#This Row],[1. Identifiant interne d’exploitation agricole*]]),"",IF(ISERROR(MATCH(CertifiedCrop[[#This Row],[1. Identifiant interne d’exploitation agricole*]],GroupMember[1. Identifiant interne d’exploitation agricole*],0)),FALSE,TRUE))</f>
        <v>1</v>
      </c>
      <c r="K711" s="122" t="b">
        <f t="array" ref="K711">IF(ISBLANK(CertifiedCrop[[#This Row],[2. Produit agricole certifié*]]),"",IF(ISERROR(MATCH(1,(#REF!=CertifiedCrop[[#This Row],[2. Produit agricole certifié*]])*(#REF!=CertifiedCrop[[#This Row],[3. Variété**]]),0)),FALSE,TRUE))</f>
        <v>0</v>
      </c>
      <c r="L711" s="20" t="str">
        <f t="shared" si="55"/>
        <v/>
      </c>
      <c r="M711" s="54" t="str">
        <f t="shared" si="56"/>
        <v/>
      </c>
      <c r="N711" s="54" t="str">
        <f t="shared" si="57"/>
        <v/>
      </c>
      <c r="O711" s="55">
        <f t="shared" si="58"/>
        <v>580.19323671497591</v>
      </c>
      <c r="P711" s="55">
        <f t="shared" si="59"/>
        <v>571.01449275362324</v>
      </c>
      <c r="Q711" s="9" t="str">
        <f ca="1">IFERROR((VLOOKUP(A711,GM_Table,8,FALSE)-SUMIFS(D:D,A:A,A711,B:B,B711,C:C,C711)),"")</f>
        <v/>
      </c>
      <c r="R711" s="9" t="str">
        <f ca="1">IFERROR(CONCATENATE(VLOOKUP(A711,GM_Table,12,FALSE)," ",(VLOOKUP(A711,GM_Table,13,FALSE))),"")</f>
        <v/>
      </c>
    </row>
    <row r="712" spans="1:18" ht="15" x14ac:dyDescent="0.2">
      <c r="A712" s="193" t="s">
        <v>2615</v>
      </c>
      <c r="B712" s="9" t="s">
        <v>3290</v>
      </c>
      <c r="C712" s="9" t="s">
        <v>3291</v>
      </c>
      <c r="D712" s="252">
        <v>2.46</v>
      </c>
      <c r="E712" s="245">
        <v>1400</v>
      </c>
      <c r="F712" s="246">
        <v>1326</v>
      </c>
      <c r="G712" s="247">
        <v>840</v>
      </c>
      <c r="H712" s="9">
        <v>0</v>
      </c>
      <c r="I712" s="255">
        <v>0</v>
      </c>
      <c r="J712" s="122" t="b">
        <f>IF(ISBLANK(CertifiedCrop[[#This Row],[1. Identifiant interne d’exploitation agricole*]]),"",IF(ISERROR(MATCH(CertifiedCrop[[#This Row],[1. Identifiant interne d’exploitation agricole*]],GroupMember[1. Identifiant interne d’exploitation agricole*],0)),FALSE,TRUE))</f>
        <v>1</v>
      </c>
      <c r="K712" s="122" t="b">
        <f t="array" ref="K712">IF(ISBLANK(CertifiedCrop[[#This Row],[2. Produit agricole certifié*]]),"",IF(ISERROR(MATCH(1,(#REF!=CertifiedCrop[[#This Row],[2. Produit agricole certifié*]])*(#REF!=CertifiedCrop[[#This Row],[3. Variété**]]),0)),FALSE,TRUE))</f>
        <v>0</v>
      </c>
      <c r="L712" s="20" t="str">
        <f t="shared" si="55"/>
        <v/>
      </c>
      <c r="M712" s="54" t="str">
        <f t="shared" si="56"/>
        <v>!</v>
      </c>
      <c r="N712" s="54" t="str">
        <f t="shared" si="57"/>
        <v/>
      </c>
      <c r="O712" s="55">
        <f t="shared" si="58"/>
        <v>569.10569105691059</v>
      </c>
      <c r="P712" s="55">
        <f t="shared" si="59"/>
        <v>539.02439024390242</v>
      </c>
      <c r="Q712" s="9" t="str">
        <f ca="1">IFERROR((VLOOKUP(A712,GM_Table,8,FALSE)-SUMIFS(D:D,A:A,A712,B:B,B712,C:C,C712)),"")</f>
        <v/>
      </c>
      <c r="R712" s="9" t="str">
        <f ca="1">IFERROR(CONCATENATE(VLOOKUP(A712,GM_Table,12,FALSE)," ",(VLOOKUP(A712,GM_Table,13,FALSE))),"")</f>
        <v/>
      </c>
    </row>
    <row r="713" spans="1:18" ht="15" x14ac:dyDescent="0.2">
      <c r="A713" s="193" t="s">
        <v>2616</v>
      </c>
      <c r="B713" s="9" t="s">
        <v>3290</v>
      </c>
      <c r="C713" s="9" t="s">
        <v>3291</v>
      </c>
      <c r="D713" s="252">
        <v>2.0840000000000001</v>
      </c>
      <c r="E713" s="245">
        <v>1308</v>
      </c>
      <c r="F713" s="246">
        <v>1201</v>
      </c>
      <c r="G713" s="247">
        <v>1201</v>
      </c>
      <c r="H713" s="9">
        <v>0</v>
      </c>
      <c r="I713" s="255">
        <v>0</v>
      </c>
      <c r="J713" s="122" t="b">
        <f>IF(ISBLANK(CertifiedCrop[[#This Row],[1. Identifiant interne d’exploitation agricole*]]),"",IF(ISERROR(MATCH(CertifiedCrop[[#This Row],[1. Identifiant interne d’exploitation agricole*]],GroupMember[1. Identifiant interne d’exploitation agricole*],0)),FALSE,TRUE))</f>
        <v>1</v>
      </c>
      <c r="K713" s="122" t="b">
        <f t="array" ref="K713">IF(ISBLANK(CertifiedCrop[[#This Row],[2. Produit agricole certifié*]]),"",IF(ISERROR(MATCH(1,(#REF!=CertifiedCrop[[#This Row],[2. Produit agricole certifié*]])*(#REF!=CertifiedCrop[[#This Row],[3. Variété**]]),0)),FALSE,TRUE))</f>
        <v>0</v>
      </c>
      <c r="L713" s="20" t="str">
        <f t="shared" si="55"/>
        <v/>
      </c>
      <c r="M713" s="54" t="str">
        <f t="shared" si="56"/>
        <v/>
      </c>
      <c r="N713" s="54" t="str">
        <f t="shared" si="57"/>
        <v/>
      </c>
      <c r="O713" s="55">
        <f t="shared" si="58"/>
        <v>627.63915547024953</v>
      </c>
      <c r="P713" s="55">
        <f t="shared" si="59"/>
        <v>576.29558541266795</v>
      </c>
      <c r="Q713" s="9" t="str">
        <f ca="1">IFERROR((VLOOKUP(A713,GM_Table,8,FALSE)-SUMIFS(D:D,A:A,A713,B:B,B713,C:C,C713)),"")</f>
        <v/>
      </c>
      <c r="R713" s="9" t="str">
        <f ca="1">IFERROR(CONCATENATE(VLOOKUP(A713,GM_Table,12,FALSE)," ",(VLOOKUP(A713,GM_Table,13,FALSE))),"")</f>
        <v/>
      </c>
    </row>
    <row r="714" spans="1:18" ht="15" x14ac:dyDescent="0.2">
      <c r="A714" s="193" t="s">
        <v>2618</v>
      </c>
      <c r="B714" s="9" t="s">
        <v>3290</v>
      </c>
      <c r="C714" s="9" t="s">
        <v>3291</v>
      </c>
      <c r="D714" s="252">
        <v>6.08</v>
      </c>
      <c r="E714" s="245">
        <v>3822</v>
      </c>
      <c r="F714" s="246">
        <v>3687</v>
      </c>
      <c r="G714" s="247">
        <v>3687</v>
      </c>
      <c r="H714" s="9">
        <v>0</v>
      </c>
      <c r="I714" s="255">
        <v>0</v>
      </c>
      <c r="J714" s="122" t="b">
        <f>IF(ISBLANK(CertifiedCrop[[#This Row],[1. Identifiant interne d’exploitation agricole*]]),"",IF(ISERROR(MATCH(CertifiedCrop[[#This Row],[1. Identifiant interne d’exploitation agricole*]],GroupMember[1. Identifiant interne d’exploitation agricole*],0)),FALSE,TRUE))</f>
        <v>1</v>
      </c>
      <c r="K714" s="122" t="b">
        <f t="array" ref="K714">IF(ISBLANK(CertifiedCrop[[#This Row],[2. Produit agricole certifié*]]),"",IF(ISERROR(MATCH(1,(#REF!=CertifiedCrop[[#This Row],[2. Produit agricole certifié*]])*(#REF!=CertifiedCrop[[#This Row],[3. Variété**]]),0)),FALSE,TRUE))</f>
        <v>0</v>
      </c>
      <c r="L714" s="20" t="str">
        <f t="shared" si="55"/>
        <v/>
      </c>
      <c r="M714" s="54" t="str">
        <f t="shared" si="56"/>
        <v/>
      </c>
      <c r="N714" s="54" t="str">
        <f t="shared" si="57"/>
        <v/>
      </c>
      <c r="O714" s="55">
        <f t="shared" si="58"/>
        <v>628.61842105263156</v>
      </c>
      <c r="P714" s="55">
        <f t="shared" si="59"/>
        <v>606.41447368421052</v>
      </c>
      <c r="Q714" s="9" t="str">
        <f ca="1">IFERROR((VLOOKUP(A714,GM_Table,8,FALSE)-SUMIFS(D:D,A:A,A714,B:B,B714,C:C,C714)),"")</f>
        <v/>
      </c>
      <c r="R714" s="9" t="str">
        <f ca="1">IFERROR(CONCATENATE(VLOOKUP(A714,GM_Table,12,FALSE)," ",(VLOOKUP(A714,GM_Table,13,FALSE))),"")</f>
        <v/>
      </c>
    </row>
    <row r="715" spans="1:18" ht="15" x14ac:dyDescent="0.2">
      <c r="A715" s="193" t="s">
        <v>2620</v>
      </c>
      <c r="B715" s="9" t="s">
        <v>3290</v>
      </c>
      <c r="C715" s="9" t="s">
        <v>3291</v>
      </c>
      <c r="D715" s="252">
        <v>1.93</v>
      </c>
      <c r="E715" s="245">
        <v>1116</v>
      </c>
      <c r="F715" s="246">
        <v>1084</v>
      </c>
      <c r="G715" s="247">
        <v>998</v>
      </c>
      <c r="H715" s="9">
        <v>0</v>
      </c>
      <c r="I715" s="255">
        <v>0</v>
      </c>
      <c r="J715" s="122" t="b">
        <f>IF(ISBLANK(CertifiedCrop[[#This Row],[1. Identifiant interne d’exploitation agricole*]]),"",IF(ISERROR(MATCH(CertifiedCrop[[#This Row],[1. Identifiant interne d’exploitation agricole*]],GroupMember[1. Identifiant interne d’exploitation agricole*],0)),FALSE,TRUE))</f>
        <v>1</v>
      </c>
      <c r="K715" s="122" t="b">
        <f t="array" ref="K715">IF(ISBLANK(CertifiedCrop[[#This Row],[2. Produit agricole certifié*]]),"",IF(ISERROR(MATCH(1,(#REF!=CertifiedCrop[[#This Row],[2. Produit agricole certifié*]])*(#REF!=CertifiedCrop[[#This Row],[3. Variété**]]),0)),FALSE,TRUE))</f>
        <v>0</v>
      </c>
      <c r="L715" s="20" t="str">
        <f t="shared" si="55"/>
        <v/>
      </c>
      <c r="M715" s="54" t="str">
        <f t="shared" si="56"/>
        <v/>
      </c>
      <c r="N715" s="54" t="str">
        <f t="shared" si="57"/>
        <v/>
      </c>
      <c r="O715" s="55">
        <f t="shared" si="58"/>
        <v>578.23834196891198</v>
      </c>
      <c r="P715" s="55">
        <f t="shared" si="59"/>
        <v>561.65803108808291</v>
      </c>
      <c r="Q715" s="9" t="str">
        <f ca="1">IFERROR((VLOOKUP(A715,GM_Table,8,FALSE)-SUMIFS(D:D,A:A,A715,B:B,B715,C:C,C715)),"")</f>
        <v/>
      </c>
      <c r="R715" s="9" t="str">
        <f ca="1">IFERROR(CONCATENATE(VLOOKUP(A715,GM_Table,12,FALSE)," ",(VLOOKUP(A715,GM_Table,13,FALSE))),"")</f>
        <v/>
      </c>
    </row>
    <row r="716" spans="1:18" ht="15" x14ac:dyDescent="0.2">
      <c r="A716" s="193" t="s">
        <v>2622</v>
      </c>
      <c r="B716" s="9" t="s">
        <v>3290</v>
      </c>
      <c r="C716" s="9" t="s">
        <v>3291</v>
      </c>
      <c r="D716" s="252">
        <v>4.8099999999999996</v>
      </c>
      <c r="E716" s="245">
        <v>2843</v>
      </c>
      <c r="F716" s="246">
        <v>2863</v>
      </c>
      <c r="G716" s="247">
        <v>2863</v>
      </c>
      <c r="H716" s="9">
        <v>0</v>
      </c>
      <c r="I716" s="255">
        <v>0</v>
      </c>
      <c r="J716" s="122" t="b">
        <f>IF(ISBLANK(CertifiedCrop[[#This Row],[1. Identifiant interne d’exploitation agricole*]]),"",IF(ISERROR(MATCH(CertifiedCrop[[#This Row],[1. Identifiant interne d’exploitation agricole*]],GroupMember[1. Identifiant interne d’exploitation agricole*],0)),FALSE,TRUE))</f>
        <v>1</v>
      </c>
      <c r="K716" s="122" t="b">
        <f t="array" ref="K716">IF(ISBLANK(CertifiedCrop[[#This Row],[2. Produit agricole certifié*]]),"",IF(ISERROR(MATCH(1,(#REF!=CertifiedCrop[[#This Row],[2. Produit agricole certifié*]])*(#REF!=CertifiedCrop[[#This Row],[3. Variété**]]),0)),FALSE,TRUE))</f>
        <v>0</v>
      </c>
      <c r="L716" s="20" t="str">
        <f t="shared" si="55"/>
        <v/>
      </c>
      <c r="M716" s="54" t="str">
        <f t="shared" si="56"/>
        <v/>
      </c>
      <c r="N716" s="54" t="str">
        <f t="shared" si="57"/>
        <v/>
      </c>
      <c r="O716" s="55">
        <f t="shared" si="58"/>
        <v>591.06029106029109</v>
      </c>
      <c r="P716" s="55">
        <f t="shared" si="59"/>
        <v>595.21829521829522</v>
      </c>
      <c r="Q716" s="9" t="str">
        <f ca="1">IFERROR((VLOOKUP(A716,GM_Table,8,FALSE)-SUMIFS(D:D,A:A,A716,B:B,B716,C:C,C716)),"")</f>
        <v/>
      </c>
      <c r="R716" s="9" t="str">
        <f ca="1">IFERROR(CONCATENATE(VLOOKUP(A716,GM_Table,12,FALSE)," ",(VLOOKUP(A716,GM_Table,13,FALSE))),"")</f>
        <v/>
      </c>
    </row>
    <row r="717" spans="1:18" ht="15" x14ac:dyDescent="0.2">
      <c r="A717" s="193" t="s">
        <v>2624</v>
      </c>
      <c r="B717" s="9" t="s">
        <v>3290</v>
      </c>
      <c r="C717" s="9" t="s">
        <v>3291</v>
      </c>
      <c r="D717" s="252">
        <v>1.33</v>
      </c>
      <c r="E717" s="221">
        <v>699</v>
      </c>
      <c r="F717" s="246">
        <v>659</v>
      </c>
      <c r="G717" s="247">
        <v>625</v>
      </c>
      <c r="H717" s="9">
        <v>0</v>
      </c>
      <c r="I717" s="255">
        <v>0</v>
      </c>
      <c r="J717" s="122" t="b">
        <f>IF(ISBLANK(CertifiedCrop[[#This Row],[1. Identifiant interne d’exploitation agricole*]]),"",IF(ISERROR(MATCH(CertifiedCrop[[#This Row],[1. Identifiant interne d’exploitation agricole*]],GroupMember[1. Identifiant interne d’exploitation agricole*],0)),FALSE,TRUE))</f>
        <v>1</v>
      </c>
      <c r="K717" s="122" t="b">
        <f t="array" ref="K717">IF(ISBLANK(CertifiedCrop[[#This Row],[2. Produit agricole certifié*]]),"",IF(ISERROR(MATCH(1,(#REF!=CertifiedCrop[[#This Row],[2. Produit agricole certifié*]])*(#REF!=CertifiedCrop[[#This Row],[3. Variété**]]),0)),FALSE,TRUE))</f>
        <v>0</v>
      </c>
      <c r="L717" s="20" t="str">
        <f t="shared" si="55"/>
        <v/>
      </c>
      <c r="M717" s="54" t="str">
        <f t="shared" si="56"/>
        <v/>
      </c>
      <c r="N717" s="54" t="str">
        <f t="shared" si="57"/>
        <v/>
      </c>
      <c r="O717" s="55">
        <f t="shared" si="58"/>
        <v>525.56390977443607</v>
      </c>
      <c r="P717" s="55">
        <f t="shared" si="59"/>
        <v>495.48872180451127</v>
      </c>
      <c r="Q717" s="9" t="str">
        <f ca="1">IFERROR((VLOOKUP(A717,GM_Table,8,FALSE)-SUMIFS(D:D,A:A,A717,B:B,B717,C:C,C717)),"")</f>
        <v/>
      </c>
      <c r="R717" s="9" t="str">
        <f ca="1">IFERROR(CONCATENATE(VLOOKUP(A717,GM_Table,12,FALSE)," ",(VLOOKUP(A717,GM_Table,13,FALSE))),"")</f>
        <v/>
      </c>
    </row>
    <row r="718" spans="1:18" ht="15" x14ac:dyDescent="0.2">
      <c r="A718" s="193" t="s">
        <v>2627</v>
      </c>
      <c r="B718" s="9" t="s">
        <v>3290</v>
      </c>
      <c r="C718" s="9" t="s">
        <v>3291</v>
      </c>
      <c r="D718" s="252">
        <v>2.2200000000000002</v>
      </c>
      <c r="E718" s="245">
        <v>1224</v>
      </c>
      <c r="F718" s="246">
        <v>1167</v>
      </c>
      <c r="G718" s="247">
        <v>976</v>
      </c>
      <c r="H718" s="9">
        <v>0</v>
      </c>
      <c r="I718" s="255">
        <v>0</v>
      </c>
      <c r="J718" s="122" t="b">
        <f>IF(ISBLANK(CertifiedCrop[[#This Row],[1. Identifiant interne d’exploitation agricole*]]),"",IF(ISERROR(MATCH(CertifiedCrop[[#This Row],[1. Identifiant interne d’exploitation agricole*]],GroupMember[1. Identifiant interne d’exploitation agricole*],0)),FALSE,TRUE))</f>
        <v>1</v>
      </c>
      <c r="K718" s="122" t="b">
        <f t="array" ref="K718">IF(ISBLANK(CertifiedCrop[[#This Row],[2. Produit agricole certifié*]]),"",IF(ISERROR(MATCH(1,(#REF!=CertifiedCrop[[#This Row],[2. Produit agricole certifié*]])*(#REF!=CertifiedCrop[[#This Row],[3. Variété**]]),0)),FALSE,TRUE))</f>
        <v>0</v>
      </c>
      <c r="L718" s="20" t="str">
        <f t="shared" si="55"/>
        <v/>
      </c>
      <c r="M718" s="54" t="str">
        <f t="shared" si="56"/>
        <v/>
      </c>
      <c r="N718" s="54" t="str">
        <f t="shared" si="57"/>
        <v/>
      </c>
      <c r="O718" s="55">
        <f t="shared" si="58"/>
        <v>551.35135135135135</v>
      </c>
      <c r="P718" s="55">
        <f t="shared" si="59"/>
        <v>525.67567567567562</v>
      </c>
      <c r="Q718" s="9" t="str">
        <f ca="1">IFERROR((VLOOKUP(A718,GM_Table,8,FALSE)-SUMIFS(D:D,A:A,A718,B:B,B718,C:C,C718)),"")</f>
        <v/>
      </c>
      <c r="R718" s="9" t="str">
        <f ca="1">IFERROR(CONCATENATE(VLOOKUP(A718,GM_Table,12,FALSE)," ",(VLOOKUP(A718,GM_Table,13,FALSE))),"")</f>
        <v/>
      </c>
    </row>
    <row r="719" spans="1:18" ht="15" x14ac:dyDescent="0.2">
      <c r="A719" s="193" t="s">
        <v>2628</v>
      </c>
      <c r="B719" s="9" t="s">
        <v>3290</v>
      </c>
      <c r="C719" s="9" t="s">
        <v>3291</v>
      </c>
      <c r="D719" s="252">
        <v>3.93</v>
      </c>
      <c r="E719" s="245">
        <v>2470</v>
      </c>
      <c r="F719" s="246">
        <v>2387</v>
      </c>
      <c r="G719" s="247">
        <v>2387</v>
      </c>
      <c r="H719" s="9">
        <v>0</v>
      </c>
      <c r="I719" s="255">
        <v>0</v>
      </c>
      <c r="J719" s="122" t="b">
        <f>IF(ISBLANK(CertifiedCrop[[#This Row],[1. Identifiant interne d’exploitation agricole*]]),"",IF(ISERROR(MATCH(CertifiedCrop[[#This Row],[1. Identifiant interne d’exploitation agricole*]],GroupMember[1. Identifiant interne d’exploitation agricole*],0)),FALSE,TRUE))</f>
        <v>1</v>
      </c>
      <c r="K719" s="122" t="b">
        <f t="array" ref="K719">IF(ISBLANK(CertifiedCrop[[#This Row],[2. Produit agricole certifié*]]),"",IF(ISERROR(MATCH(1,(#REF!=CertifiedCrop[[#This Row],[2. Produit agricole certifié*]])*(#REF!=CertifiedCrop[[#This Row],[3. Variété**]]),0)),FALSE,TRUE))</f>
        <v>0</v>
      </c>
      <c r="L719" s="20" t="str">
        <f t="shared" si="55"/>
        <v/>
      </c>
      <c r="M719" s="54" t="str">
        <f t="shared" si="56"/>
        <v/>
      </c>
      <c r="N719" s="54" t="str">
        <f t="shared" si="57"/>
        <v/>
      </c>
      <c r="O719" s="55">
        <f t="shared" si="58"/>
        <v>628.4987277353689</v>
      </c>
      <c r="P719" s="55">
        <f t="shared" si="59"/>
        <v>607.37913486005084</v>
      </c>
      <c r="Q719" s="9" t="str">
        <f ca="1">IFERROR((VLOOKUP(A719,GM_Table,8,FALSE)-SUMIFS(D:D,A:A,A719,B:B,B719,C:C,C719)),"")</f>
        <v/>
      </c>
      <c r="R719" s="9" t="str">
        <f ca="1">IFERROR(CONCATENATE(VLOOKUP(A719,GM_Table,12,FALSE)," ",(VLOOKUP(A719,GM_Table,13,FALSE))),"")</f>
        <v/>
      </c>
    </row>
    <row r="720" spans="1:18" ht="15" x14ac:dyDescent="0.2">
      <c r="A720" s="193" t="s">
        <v>2629</v>
      </c>
      <c r="B720" s="9" t="s">
        <v>3290</v>
      </c>
      <c r="C720" s="9" t="s">
        <v>3291</v>
      </c>
      <c r="D720" s="252">
        <v>4.67</v>
      </c>
      <c r="E720" s="245">
        <v>2944</v>
      </c>
      <c r="F720" s="246">
        <v>2872</v>
      </c>
      <c r="G720" s="247">
        <v>2872</v>
      </c>
      <c r="H720" s="9">
        <v>0</v>
      </c>
      <c r="I720" s="255">
        <v>0</v>
      </c>
      <c r="J720" s="122" t="b">
        <f>IF(ISBLANK(CertifiedCrop[[#This Row],[1. Identifiant interne d’exploitation agricole*]]),"",IF(ISERROR(MATCH(CertifiedCrop[[#This Row],[1. Identifiant interne d’exploitation agricole*]],GroupMember[1. Identifiant interne d’exploitation agricole*],0)),FALSE,TRUE))</f>
        <v>1</v>
      </c>
      <c r="K720" s="122" t="b">
        <f t="array" ref="K720">IF(ISBLANK(CertifiedCrop[[#This Row],[2. Produit agricole certifié*]]),"",IF(ISERROR(MATCH(1,(#REF!=CertifiedCrop[[#This Row],[2. Produit agricole certifié*]])*(#REF!=CertifiedCrop[[#This Row],[3. Variété**]]),0)),FALSE,TRUE))</f>
        <v>0</v>
      </c>
      <c r="L720" s="20" t="str">
        <f t="shared" si="55"/>
        <v/>
      </c>
      <c r="M720" s="54" t="str">
        <f t="shared" si="56"/>
        <v/>
      </c>
      <c r="N720" s="54" t="str">
        <f t="shared" si="57"/>
        <v/>
      </c>
      <c r="O720" s="55">
        <f t="shared" si="58"/>
        <v>630.40685224839399</v>
      </c>
      <c r="P720" s="55">
        <f t="shared" si="59"/>
        <v>614.98929336188439</v>
      </c>
      <c r="Q720" s="9" t="str">
        <f ca="1">IFERROR((VLOOKUP(A720,GM_Table,8,FALSE)-SUMIFS(D:D,A:A,A720,B:B,B720,C:C,C720)),"")</f>
        <v/>
      </c>
      <c r="R720" s="9" t="str">
        <f ca="1">IFERROR(CONCATENATE(VLOOKUP(A720,GM_Table,12,FALSE)," ",(VLOOKUP(A720,GM_Table,13,FALSE))),"")</f>
        <v/>
      </c>
    </row>
    <row r="721" spans="1:18" ht="15" x14ac:dyDescent="0.2">
      <c r="A721" s="193" t="s">
        <v>2632</v>
      </c>
      <c r="B721" s="9" t="s">
        <v>3290</v>
      </c>
      <c r="C721" s="9" t="s">
        <v>3291</v>
      </c>
      <c r="D721" s="252">
        <v>1.62</v>
      </c>
      <c r="E721" s="221">
        <v>962</v>
      </c>
      <c r="F721" s="246">
        <v>952</v>
      </c>
      <c r="G721" s="247">
        <v>745</v>
      </c>
      <c r="H721" s="9">
        <v>0</v>
      </c>
      <c r="I721" s="255">
        <v>0</v>
      </c>
      <c r="J721" s="122" t="b">
        <f>IF(ISBLANK(CertifiedCrop[[#This Row],[1. Identifiant interne d’exploitation agricole*]]),"",IF(ISERROR(MATCH(CertifiedCrop[[#This Row],[1. Identifiant interne d’exploitation agricole*]],GroupMember[1. Identifiant interne d’exploitation agricole*],0)),FALSE,TRUE))</f>
        <v>1</v>
      </c>
      <c r="K721" s="122" t="b">
        <f t="array" ref="K721">IF(ISBLANK(CertifiedCrop[[#This Row],[2. Produit agricole certifié*]]),"",IF(ISERROR(MATCH(1,(#REF!=CertifiedCrop[[#This Row],[2. Produit agricole certifié*]])*(#REF!=CertifiedCrop[[#This Row],[3. Variété**]]),0)),FALSE,TRUE))</f>
        <v>0</v>
      </c>
      <c r="L721" s="20" t="str">
        <f t="shared" si="55"/>
        <v/>
      </c>
      <c r="M721" s="54" t="str">
        <f t="shared" si="56"/>
        <v>!</v>
      </c>
      <c r="N721" s="54" t="str">
        <f t="shared" si="57"/>
        <v/>
      </c>
      <c r="O721" s="55">
        <f t="shared" si="58"/>
        <v>593.82716049382714</v>
      </c>
      <c r="P721" s="55">
        <f t="shared" si="59"/>
        <v>587.65432098765427</v>
      </c>
      <c r="Q721" s="9" t="str">
        <f ca="1">IFERROR((VLOOKUP(A721,GM_Table,8,FALSE)-SUMIFS(D:D,A:A,A721,B:B,B721,C:C,C721)),"")</f>
        <v/>
      </c>
      <c r="R721" s="9" t="str">
        <f ca="1">IFERROR(CONCATENATE(VLOOKUP(A721,GM_Table,12,FALSE)," ",(VLOOKUP(A721,GM_Table,13,FALSE))),"")</f>
        <v/>
      </c>
    </row>
    <row r="722" spans="1:18" ht="15" x14ac:dyDescent="0.2">
      <c r="A722" s="193" t="s">
        <v>2634</v>
      </c>
      <c r="B722" s="9" t="s">
        <v>3290</v>
      </c>
      <c r="C722" s="9" t="s">
        <v>3291</v>
      </c>
      <c r="D722" s="252">
        <v>2.79</v>
      </c>
      <c r="E722" s="245">
        <v>1688</v>
      </c>
      <c r="F722" s="246">
        <v>1584</v>
      </c>
      <c r="G722" s="247">
        <v>1395</v>
      </c>
      <c r="H722" s="9">
        <v>0</v>
      </c>
      <c r="I722" s="255">
        <v>0</v>
      </c>
      <c r="J722" s="122" t="b">
        <f>IF(ISBLANK(CertifiedCrop[[#This Row],[1. Identifiant interne d’exploitation agricole*]]),"",IF(ISERROR(MATCH(CertifiedCrop[[#This Row],[1. Identifiant interne d’exploitation agricole*]],GroupMember[1. Identifiant interne d’exploitation agricole*],0)),FALSE,TRUE))</f>
        <v>1</v>
      </c>
      <c r="K722" s="122" t="b">
        <f t="array" ref="K722">IF(ISBLANK(CertifiedCrop[[#This Row],[2. Produit agricole certifié*]]),"",IF(ISERROR(MATCH(1,(#REF!=CertifiedCrop[[#This Row],[2. Produit agricole certifié*]])*(#REF!=CertifiedCrop[[#This Row],[3. Variété**]]),0)),FALSE,TRUE))</f>
        <v>0</v>
      </c>
      <c r="L722" s="20" t="str">
        <f t="shared" si="55"/>
        <v/>
      </c>
      <c r="M722" s="54" t="str">
        <f t="shared" si="56"/>
        <v/>
      </c>
      <c r="N722" s="54" t="str">
        <f t="shared" si="57"/>
        <v/>
      </c>
      <c r="O722" s="55">
        <f t="shared" si="58"/>
        <v>605.01792114695343</v>
      </c>
      <c r="P722" s="55">
        <f t="shared" si="59"/>
        <v>567.74193548387098</v>
      </c>
      <c r="Q722" s="9" t="str">
        <f ca="1">IFERROR((VLOOKUP(A722,GM_Table,8,FALSE)-SUMIFS(D:D,A:A,A722,B:B,B722,C:C,C722)),"")</f>
        <v/>
      </c>
      <c r="R722" s="9" t="str">
        <f ca="1">IFERROR(CONCATENATE(VLOOKUP(A722,GM_Table,12,FALSE)," ",(VLOOKUP(A722,GM_Table,13,FALSE))),"")</f>
        <v/>
      </c>
    </row>
    <row r="723" spans="1:18" ht="15" x14ac:dyDescent="0.2">
      <c r="A723" s="193" t="s">
        <v>2636</v>
      </c>
      <c r="B723" s="9" t="s">
        <v>3290</v>
      </c>
      <c r="C723" s="9" t="s">
        <v>3291</v>
      </c>
      <c r="D723" s="252">
        <v>2.99</v>
      </c>
      <c r="E723" s="245">
        <v>1774</v>
      </c>
      <c r="F723" s="246">
        <v>1659</v>
      </c>
      <c r="G723" s="247">
        <v>712</v>
      </c>
      <c r="H723" s="9">
        <v>0</v>
      </c>
      <c r="I723" s="255">
        <v>0</v>
      </c>
      <c r="J723" s="122" t="b">
        <f>IF(ISBLANK(CertifiedCrop[[#This Row],[1. Identifiant interne d’exploitation agricole*]]),"",IF(ISERROR(MATCH(CertifiedCrop[[#This Row],[1. Identifiant interne d’exploitation agricole*]],GroupMember[1. Identifiant interne d’exploitation agricole*],0)),FALSE,TRUE))</f>
        <v>1</v>
      </c>
      <c r="K723" s="122" t="b">
        <f t="array" ref="K723">IF(ISBLANK(CertifiedCrop[[#This Row],[2. Produit agricole certifié*]]),"",IF(ISERROR(MATCH(1,(#REF!=CertifiedCrop[[#This Row],[2. Produit agricole certifié*]])*(#REF!=CertifiedCrop[[#This Row],[3. Variété**]]),0)),FALSE,TRUE))</f>
        <v>0</v>
      </c>
      <c r="L723" s="20" t="str">
        <f t="shared" si="55"/>
        <v/>
      </c>
      <c r="M723" s="54" t="str">
        <f t="shared" si="56"/>
        <v>!</v>
      </c>
      <c r="N723" s="54" t="str">
        <f t="shared" si="57"/>
        <v/>
      </c>
      <c r="O723" s="55">
        <f t="shared" si="58"/>
        <v>593.31103678929765</v>
      </c>
      <c r="P723" s="55">
        <f t="shared" si="59"/>
        <v>554.84949832775919</v>
      </c>
      <c r="Q723" s="9" t="str">
        <f ca="1">IFERROR((VLOOKUP(A723,GM_Table,8,FALSE)-SUMIFS(D:D,A:A,A723,B:B,B723,C:C,C723)),"")</f>
        <v/>
      </c>
      <c r="R723" s="9" t="str">
        <f ca="1">IFERROR(CONCATENATE(VLOOKUP(A723,GM_Table,12,FALSE)," ",(VLOOKUP(A723,GM_Table,13,FALSE))),"")</f>
        <v/>
      </c>
    </row>
    <row r="724" spans="1:18" ht="15" x14ac:dyDescent="0.2">
      <c r="A724" s="193" t="s">
        <v>2638</v>
      </c>
      <c r="B724" s="9" t="s">
        <v>3290</v>
      </c>
      <c r="C724" s="9" t="s">
        <v>3291</v>
      </c>
      <c r="D724" s="252">
        <v>1.99</v>
      </c>
      <c r="E724" s="245">
        <v>1267</v>
      </c>
      <c r="F724" s="246">
        <v>1207</v>
      </c>
      <c r="G724" s="247">
        <v>984</v>
      </c>
      <c r="H724" s="9">
        <v>0</v>
      </c>
      <c r="I724" s="255">
        <v>0</v>
      </c>
      <c r="J724" s="122" t="b">
        <f>IF(ISBLANK(CertifiedCrop[[#This Row],[1. Identifiant interne d’exploitation agricole*]]),"",IF(ISERROR(MATCH(CertifiedCrop[[#This Row],[1. Identifiant interne d’exploitation agricole*]],GroupMember[1. Identifiant interne d’exploitation agricole*],0)),FALSE,TRUE))</f>
        <v>1</v>
      </c>
      <c r="K724" s="122" t="b">
        <f t="array" ref="K724">IF(ISBLANK(CertifiedCrop[[#This Row],[2. Produit agricole certifié*]]),"",IF(ISERROR(MATCH(1,(#REF!=CertifiedCrop[[#This Row],[2. Produit agricole certifié*]])*(#REF!=CertifiedCrop[[#This Row],[3. Variété**]]),0)),FALSE,TRUE))</f>
        <v>0</v>
      </c>
      <c r="L724" s="20" t="str">
        <f t="shared" si="55"/>
        <v/>
      </c>
      <c r="M724" s="54" t="str">
        <f t="shared" si="56"/>
        <v/>
      </c>
      <c r="N724" s="54" t="str">
        <f t="shared" si="57"/>
        <v/>
      </c>
      <c r="O724" s="55">
        <f t="shared" si="58"/>
        <v>636.6834170854271</v>
      </c>
      <c r="P724" s="55">
        <f t="shared" si="59"/>
        <v>606.5326633165829</v>
      </c>
      <c r="Q724" s="9" t="str">
        <f ca="1">IFERROR((VLOOKUP(A724,GM_Table,8,FALSE)-SUMIFS(D:D,A:A,A724,B:B,B724,C:C,C724)),"")</f>
        <v/>
      </c>
      <c r="R724" s="9" t="str">
        <f ca="1">IFERROR(CONCATENATE(VLOOKUP(A724,GM_Table,12,FALSE)," ",(VLOOKUP(A724,GM_Table,13,FALSE))),"")</f>
        <v/>
      </c>
    </row>
    <row r="725" spans="1:18" ht="15" x14ac:dyDescent="0.2">
      <c r="A725" s="193" t="s">
        <v>2641</v>
      </c>
      <c r="B725" s="9" t="s">
        <v>3290</v>
      </c>
      <c r="C725" s="9" t="s">
        <v>3291</v>
      </c>
      <c r="D725" s="252">
        <v>3.07</v>
      </c>
      <c r="E725" s="245">
        <v>1942</v>
      </c>
      <c r="F725" s="246">
        <v>1906</v>
      </c>
      <c r="G725" s="247">
        <v>1906</v>
      </c>
      <c r="H725" s="9">
        <v>0</v>
      </c>
      <c r="I725" s="255">
        <v>0</v>
      </c>
      <c r="J725" s="122" t="b">
        <f>IF(ISBLANK(CertifiedCrop[[#This Row],[1. Identifiant interne d’exploitation agricole*]]),"",IF(ISERROR(MATCH(CertifiedCrop[[#This Row],[1. Identifiant interne d’exploitation agricole*]],GroupMember[1. Identifiant interne d’exploitation agricole*],0)),FALSE,TRUE))</f>
        <v>1</v>
      </c>
      <c r="K725" s="122" t="b">
        <f t="array" ref="K725">IF(ISBLANK(CertifiedCrop[[#This Row],[2. Produit agricole certifié*]]),"",IF(ISERROR(MATCH(1,(#REF!=CertifiedCrop[[#This Row],[2. Produit agricole certifié*]])*(#REF!=CertifiedCrop[[#This Row],[3. Variété**]]),0)),FALSE,TRUE))</f>
        <v>0</v>
      </c>
      <c r="L725" s="20" t="str">
        <f t="shared" si="55"/>
        <v/>
      </c>
      <c r="M725" s="54" t="str">
        <f t="shared" si="56"/>
        <v/>
      </c>
      <c r="N725" s="54" t="str">
        <f t="shared" si="57"/>
        <v/>
      </c>
      <c r="O725" s="55">
        <f t="shared" si="58"/>
        <v>632.57328990228018</v>
      </c>
      <c r="P725" s="55">
        <f t="shared" si="59"/>
        <v>620.84690553745929</v>
      </c>
      <c r="Q725" s="9" t="str">
        <f ca="1">IFERROR((VLOOKUP(A725,GM_Table,8,FALSE)-SUMIFS(D:D,A:A,A725,B:B,B725,C:C,C725)),"")</f>
        <v/>
      </c>
      <c r="R725" s="9" t="str">
        <f ca="1">IFERROR(CONCATENATE(VLOOKUP(A725,GM_Table,12,FALSE)," ",(VLOOKUP(A725,GM_Table,13,FALSE))),"")</f>
        <v/>
      </c>
    </row>
    <row r="726" spans="1:18" ht="15" x14ac:dyDescent="0.2">
      <c r="A726" s="193" t="s">
        <v>2643</v>
      </c>
      <c r="B726" s="9" t="s">
        <v>3290</v>
      </c>
      <c r="C726" s="9" t="s">
        <v>3291</v>
      </c>
      <c r="D726" s="252">
        <v>5.26</v>
      </c>
      <c r="E726" s="245">
        <v>3348</v>
      </c>
      <c r="F726" s="246">
        <v>3097</v>
      </c>
      <c r="G726" s="247">
        <v>3097</v>
      </c>
      <c r="H726" s="9">
        <v>0</v>
      </c>
      <c r="I726" s="255">
        <v>0</v>
      </c>
      <c r="J726" s="122" t="b">
        <f>IF(ISBLANK(CertifiedCrop[[#This Row],[1. Identifiant interne d’exploitation agricole*]]),"",IF(ISERROR(MATCH(CertifiedCrop[[#This Row],[1. Identifiant interne d’exploitation agricole*]],GroupMember[1. Identifiant interne d’exploitation agricole*],0)),FALSE,TRUE))</f>
        <v>1</v>
      </c>
      <c r="K726" s="122" t="b">
        <f t="array" ref="K726">IF(ISBLANK(CertifiedCrop[[#This Row],[2. Produit agricole certifié*]]),"",IF(ISERROR(MATCH(1,(#REF!=CertifiedCrop[[#This Row],[2. Produit agricole certifié*]])*(#REF!=CertifiedCrop[[#This Row],[3. Variété**]]),0)),FALSE,TRUE))</f>
        <v>0</v>
      </c>
      <c r="L726" s="20" t="str">
        <f t="shared" si="55"/>
        <v/>
      </c>
      <c r="M726" s="54" t="str">
        <f t="shared" si="56"/>
        <v/>
      </c>
      <c r="N726" s="54" t="str">
        <f t="shared" si="57"/>
        <v/>
      </c>
      <c r="O726" s="55">
        <f t="shared" si="58"/>
        <v>636.50190114068448</v>
      </c>
      <c r="P726" s="55">
        <f t="shared" si="59"/>
        <v>588.78326996197723</v>
      </c>
      <c r="Q726" s="9" t="str">
        <f ca="1">IFERROR((VLOOKUP(A726,GM_Table,8,FALSE)-SUMIFS(D:D,A:A,A726,B:B,B726,C:C,C726)),"")</f>
        <v/>
      </c>
      <c r="R726" s="9" t="str">
        <f ca="1">IFERROR(CONCATENATE(VLOOKUP(A726,GM_Table,12,FALSE)," ",(VLOOKUP(A726,GM_Table,13,FALSE))),"")</f>
        <v/>
      </c>
    </row>
    <row r="727" spans="1:18" ht="15" x14ac:dyDescent="0.2">
      <c r="A727" s="193" t="s">
        <v>2645</v>
      </c>
      <c r="B727" s="9" t="s">
        <v>3290</v>
      </c>
      <c r="C727" s="9" t="s">
        <v>3291</v>
      </c>
      <c r="D727" s="252">
        <v>0.97</v>
      </c>
      <c r="E727" s="221">
        <v>511</v>
      </c>
      <c r="F727" s="246">
        <v>501</v>
      </c>
      <c r="G727" s="247">
        <v>234</v>
      </c>
      <c r="H727" s="9">
        <v>0</v>
      </c>
      <c r="I727" s="255">
        <v>0</v>
      </c>
      <c r="J727" s="122" t="b">
        <f>IF(ISBLANK(CertifiedCrop[[#This Row],[1. Identifiant interne d’exploitation agricole*]]),"",IF(ISERROR(MATCH(CertifiedCrop[[#This Row],[1. Identifiant interne d’exploitation agricole*]],GroupMember[1. Identifiant interne d’exploitation agricole*],0)),FALSE,TRUE))</f>
        <v>1</v>
      </c>
      <c r="K727" s="122" t="b">
        <f t="array" ref="K727">IF(ISBLANK(CertifiedCrop[[#This Row],[2. Produit agricole certifié*]]),"",IF(ISERROR(MATCH(1,(#REF!=CertifiedCrop[[#This Row],[2. Produit agricole certifié*]])*(#REF!=CertifiedCrop[[#This Row],[3. Variété**]]),0)),FALSE,TRUE))</f>
        <v>0</v>
      </c>
      <c r="L727" s="20" t="str">
        <f t="shared" si="55"/>
        <v/>
      </c>
      <c r="M727" s="54" t="str">
        <f t="shared" si="56"/>
        <v>!</v>
      </c>
      <c r="N727" s="54" t="str">
        <f t="shared" si="57"/>
        <v/>
      </c>
      <c r="O727" s="55">
        <f t="shared" si="58"/>
        <v>526.80412371134025</v>
      </c>
      <c r="P727" s="55">
        <f t="shared" si="59"/>
        <v>516.4948453608248</v>
      </c>
      <c r="Q727" s="9" t="str">
        <f ca="1">IFERROR((VLOOKUP(A727,GM_Table,8,FALSE)-SUMIFS(D:D,A:A,A727,B:B,B727,C:C,C727)),"")</f>
        <v/>
      </c>
      <c r="R727" s="9" t="str">
        <f ca="1">IFERROR(CONCATENATE(VLOOKUP(A727,GM_Table,12,FALSE)," ",(VLOOKUP(A727,GM_Table,13,FALSE))),"")</f>
        <v/>
      </c>
    </row>
    <row r="728" spans="1:18" ht="15" x14ac:dyDescent="0.2">
      <c r="A728" s="193" t="s">
        <v>2648</v>
      </c>
      <c r="B728" s="9" t="s">
        <v>3290</v>
      </c>
      <c r="C728" s="9" t="s">
        <v>3291</v>
      </c>
      <c r="D728" s="252">
        <v>3.18</v>
      </c>
      <c r="E728" s="245">
        <v>1996</v>
      </c>
      <c r="F728" s="246">
        <v>1856</v>
      </c>
      <c r="G728" s="247">
        <v>1775</v>
      </c>
      <c r="H728" s="9">
        <v>0</v>
      </c>
      <c r="I728" s="255">
        <v>0</v>
      </c>
      <c r="J728" s="122" t="b">
        <f>IF(ISBLANK(CertifiedCrop[[#This Row],[1. Identifiant interne d’exploitation agricole*]]),"",IF(ISERROR(MATCH(CertifiedCrop[[#This Row],[1. Identifiant interne d’exploitation agricole*]],GroupMember[1. Identifiant interne d’exploitation agricole*],0)),FALSE,TRUE))</f>
        <v>1</v>
      </c>
      <c r="K728" s="122" t="b">
        <f t="array" ref="K728">IF(ISBLANK(CertifiedCrop[[#This Row],[2. Produit agricole certifié*]]),"",IF(ISERROR(MATCH(1,(#REF!=CertifiedCrop[[#This Row],[2. Produit agricole certifié*]])*(#REF!=CertifiedCrop[[#This Row],[3. Variété**]]),0)),FALSE,TRUE))</f>
        <v>0</v>
      </c>
      <c r="L728" s="20" t="str">
        <f t="shared" si="55"/>
        <v/>
      </c>
      <c r="M728" s="54" t="str">
        <f t="shared" si="56"/>
        <v/>
      </c>
      <c r="N728" s="54" t="str">
        <f t="shared" si="57"/>
        <v/>
      </c>
      <c r="O728" s="55">
        <f t="shared" si="58"/>
        <v>627.67295597484269</v>
      </c>
      <c r="P728" s="55">
        <f t="shared" si="59"/>
        <v>583.64779874213832</v>
      </c>
      <c r="Q728" s="9" t="str">
        <f ca="1">IFERROR((VLOOKUP(A728,GM_Table,8,FALSE)-SUMIFS(D:D,A:A,A728,B:B,B728,C:C,C728)),"")</f>
        <v/>
      </c>
      <c r="R728" s="9" t="str">
        <f ca="1">IFERROR(CONCATENATE(VLOOKUP(A728,GM_Table,12,FALSE)," ",(VLOOKUP(A728,GM_Table,13,FALSE))),"")</f>
        <v/>
      </c>
    </row>
    <row r="729" spans="1:18" ht="15" x14ac:dyDescent="0.2">
      <c r="A729" s="193" t="s">
        <v>2651</v>
      </c>
      <c r="B729" s="9" t="s">
        <v>3290</v>
      </c>
      <c r="C729" s="9" t="s">
        <v>3291</v>
      </c>
      <c r="D729" s="252">
        <v>0.67</v>
      </c>
      <c r="E729" s="221">
        <v>407</v>
      </c>
      <c r="F729" s="246">
        <v>403</v>
      </c>
      <c r="G729" s="247">
        <v>241</v>
      </c>
      <c r="H729" s="9">
        <v>0</v>
      </c>
      <c r="I729" s="255">
        <v>0</v>
      </c>
      <c r="J729" s="122" t="b">
        <f>IF(ISBLANK(CertifiedCrop[[#This Row],[1. Identifiant interne d’exploitation agricole*]]),"",IF(ISERROR(MATCH(CertifiedCrop[[#This Row],[1. Identifiant interne d’exploitation agricole*]],GroupMember[1. Identifiant interne d’exploitation agricole*],0)),FALSE,TRUE))</f>
        <v>1</v>
      </c>
      <c r="K729" s="122" t="b">
        <f t="array" ref="K729">IF(ISBLANK(CertifiedCrop[[#This Row],[2. Produit agricole certifié*]]),"",IF(ISERROR(MATCH(1,(#REF!=CertifiedCrop[[#This Row],[2. Produit agricole certifié*]])*(#REF!=CertifiedCrop[[#This Row],[3. Variété**]]),0)),FALSE,TRUE))</f>
        <v>0</v>
      </c>
      <c r="L729" s="20" t="str">
        <f t="shared" si="55"/>
        <v/>
      </c>
      <c r="M729" s="54" t="str">
        <f t="shared" si="56"/>
        <v>!</v>
      </c>
      <c r="N729" s="54" t="str">
        <f t="shared" si="57"/>
        <v/>
      </c>
      <c r="O729" s="55">
        <f t="shared" si="58"/>
        <v>607.46268656716416</v>
      </c>
      <c r="P729" s="55">
        <f t="shared" si="59"/>
        <v>601.49253731343276</v>
      </c>
      <c r="Q729" s="9" t="str">
        <f ca="1">IFERROR((VLOOKUP(A729,GM_Table,8,FALSE)-SUMIFS(D:D,A:A,A729,B:B,B729,C:C,C729)),"")</f>
        <v/>
      </c>
      <c r="R729" s="9" t="str">
        <f ca="1">IFERROR(CONCATENATE(VLOOKUP(A729,GM_Table,12,FALSE)," ",(VLOOKUP(A729,GM_Table,13,FALSE))),"")</f>
        <v/>
      </c>
    </row>
    <row r="730" spans="1:18" ht="15" x14ac:dyDescent="0.2">
      <c r="A730" s="193" t="s">
        <v>2653</v>
      </c>
      <c r="B730" s="9" t="s">
        <v>3290</v>
      </c>
      <c r="C730" s="9" t="s">
        <v>3291</v>
      </c>
      <c r="D730" s="252">
        <v>3.55</v>
      </c>
      <c r="E730" s="245">
        <v>2257</v>
      </c>
      <c r="F730" s="246">
        <v>2163</v>
      </c>
      <c r="G730" s="247">
        <v>747</v>
      </c>
      <c r="H730" s="9">
        <v>0</v>
      </c>
      <c r="I730" s="255">
        <v>0</v>
      </c>
      <c r="J730" s="122" t="b">
        <f>IF(ISBLANK(CertifiedCrop[[#This Row],[1. Identifiant interne d’exploitation agricole*]]),"",IF(ISERROR(MATCH(CertifiedCrop[[#This Row],[1. Identifiant interne d’exploitation agricole*]],GroupMember[1. Identifiant interne d’exploitation agricole*],0)),FALSE,TRUE))</f>
        <v>1</v>
      </c>
      <c r="K730" s="122" t="b">
        <f t="array" ref="K730">IF(ISBLANK(CertifiedCrop[[#This Row],[2. Produit agricole certifié*]]),"",IF(ISERROR(MATCH(1,(#REF!=CertifiedCrop[[#This Row],[2. Produit agricole certifié*]])*(#REF!=CertifiedCrop[[#This Row],[3. Variété**]]),0)),FALSE,TRUE))</f>
        <v>0</v>
      </c>
      <c r="L730" s="20" t="str">
        <f t="shared" si="55"/>
        <v/>
      </c>
      <c r="M730" s="54" t="str">
        <f t="shared" si="56"/>
        <v>!</v>
      </c>
      <c r="N730" s="54" t="str">
        <f t="shared" si="57"/>
        <v/>
      </c>
      <c r="O730" s="55">
        <f t="shared" si="58"/>
        <v>635.77464788732402</v>
      </c>
      <c r="P730" s="55">
        <f t="shared" si="59"/>
        <v>609.29577464788736</v>
      </c>
      <c r="Q730" s="9" t="str">
        <f ca="1">IFERROR((VLOOKUP(A730,GM_Table,8,FALSE)-SUMIFS(D:D,A:A,A730,B:B,B730,C:C,C730)),"")</f>
        <v/>
      </c>
      <c r="R730" s="9" t="str">
        <f ca="1">IFERROR(CONCATENATE(VLOOKUP(A730,GM_Table,12,FALSE)," ",(VLOOKUP(A730,GM_Table,13,FALSE))),"")</f>
        <v/>
      </c>
    </row>
    <row r="731" spans="1:18" ht="15" x14ac:dyDescent="0.2">
      <c r="A731" s="193" t="s">
        <v>2655</v>
      </c>
      <c r="B731" s="9" t="s">
        <v>3290</v>
      </c>
      <c r="C731" s="9" t="s">
        <v>3291</v>
      </c>
      <c r="D731" s="252">
        <v>2.23</v>
      </c>
      <c r="E731" s="245">
        <v>1413</v>
      </c>
      <c r="F731" s="246">
        <v>1364</v>
      </c>
      <c r="G731" s="247">
        <v>1259</v>
      </c>
      <c r="H731" s="9">
        <v>0</v>
      </c>
      <c r="I731" s="255">
        <v>0</v>
      </c>
      <c r="J731" s="122" t="b">
        <f>IF(ISBLANK(CertifiedCrop[[#This Row],[1. Identifiant interne d’exploitation agricole*]]),"",IF(ISERROR(MATCH(CertifiedCrop[[#This Row],[1. Identifiant interne d’exploitation agricole*]],GroupMember[1. Identifiant interne d’exploitation agricole*],0)),FALSE,TRUE))</f>
        <v>1</v>
      </c>
      <c r="K731" s="122" t="b">
        <f t="array" ref="K731">IF(ISBLANK(CertifiedCrop[[#This Row],[2. Produit agricole certifié*]]),"",IF(ISERROR(MATCH(1,(#REF!=CertifiedCrop[[#This Row],[2. Produit agricole certifié*]])*(#REF!=CertifiedCrop[[#This Row],[3. Variété**]]),0)),FALSE,TRUE))</f>
        <v>0</v>
      </c>
      <c r="L731" s="20" t="str">
        <f t="shared" si="55"/>
        <v/>
      </c>
      <c r="M731" s="54" t="str">
        <f t="shared" si="56"/>
        <v/>
      </c>
      <c r="N731" s="54" t="str">
        <f t="shared" si="57"/>
        <v/>
      </c>
      <c r="O731" s="55">
        <f t="shared" si="58"/>
        <v>633.63228699551576</v>
      </c>
      <c r="P731" s="55">
        <f t="shared" si="59"/>
        <v>611.65919282511209</v>
      </c>
      <c r="Q731" s="9" t="str">
        <f ca="1">IFERROR((VLOOKUP(A731,GM_Table,8,FALSE)-SUMIFS(D:D,A:A,A731,B:B,B731,C:C,C731)),"")</f>
        <v/>
      </c>
      <c r="R731" s="9" t="str">
        <f ca="1">IFERROR(CONCATENATE(VLOOKUP(A731,GM_Table,12,FALSE)," ",(VLOOKUP(A731,GM_Table,13,FALSE))),"")</f>
        <v/>
      </c>
    </row>
    <row r="732" spans="1:18" ht="15" x14ac:dyDescent="0.2">
      <c r="A732" s="193" t="s">
        <v>2657</v>
      </c>
      <c r="B732" s="9" t="s">
        <v>3290</v>
      </c>
      <c r="C732" s="9" t="s">
        <v>3291</v>
      </c>
      <c r="D732" s="252">
        <v>3.25</v>
      </c>
      <c r="E732" s="245">
        <v>1963</v>
      </c>
      <c r="F732" s="246">
        <v>1863</v>
      </c>
      <c r="G732" s="247">
        <v>1863</v>
      </c>
      <c r="H732" s="9">
        <v>0</v>
      </c>
      <c r="I732" s="255">
        <v>0</v>
      </c>
      <c r="J732" s="122" t="b">
        <f>IF(ISBLANK(CertifiedCrop[[#This Row],[1. Identifiant interne d’exploitation agricole*]]),"",IF(ISERROR(MATCH(CertifiedCrop[[#This Row],[1. Identifiant interne d’exploitation agricole*]],GroupMember[1. Identifiant interne d’exploitation agricole*],0)),FALSE,TRUE))</f>
        <v>1</v>
      </c>
      <c r="K732" s="122" t="b">
        <f t="array" ref="K732">IF(ISBLANK(CertifiedCrop[[#This Row],[2. Produit agricole certifié*]]),"",IF(ISERROR(MATCH(1,(#REF!=CertifiedCrop[[#This Row],[2. Produit agricole certifié*]])*(#REF!=CertifiedCrop[[#This Row],[3. Variété**]]),0)),FALSE,TRUE))</f>
        <v>0</v>
      </c>
      <c r="L732" s="20" t="str">
        <f t="shared" si="55"/>
        <v/>
      </c>
      <c r="M732" s="54" t="str">
        <f t="shared" si="56"/>
        <v/>
      </c>
      <c r="N732" s="54" t="str">
        <f t="shared" si="57"/>
        <v/>
      </c>
      <c r="O732" s="55">
        <f t="shared" si="58"/>
        <v>604</v>
      </c>
      <c r="P732" s="55">
        <f t="shared" si="59"/>
        <v>573.23076923076928</v>
      </c>
      <c r="Q732" s="9" t="str">
        <f ca="1">IFERROR((VLOOKUP(A732,GM_Table,8,FALSE)-SUMIFS(D:D,A:A,A732,B:B,B732,C:C,C732)),"")</f>
        <v/>
      </c>
      <c r="R732" s="9" t="str">
        <f ca="1">IFERROR(CONCATENATE(VLOOKUP(A732,GM_Table,12,FALSE)," ",(VLOOKUP(A732,GM_Table,13,FALSE))),"")</f>
        <v/>
      </c>
    </row>
    <row r="733" spans="1:18" ht="15" x14ac:dyDescent="0.2">
      <c r="A733" s="193" t="s">
        <v>2659</v>
      </c>
      <c r="B733" s="9" t="s">
        <v>3290</v>
      </c>
      <c r="C733" s="9" t="s">
        <v>3291</v>
      </c>
      <c r="D733" s="252">
        <v>2.72</v>
      </c>
      <c r="E733" s="245">
        <v>1689</v>
      </c>
      <c r="F733" s="246">
        <v>1571</v>
      </c>
      <c r="G733" s="247">
        <v>1381</v>
      </c>
      <c r="H733" s="9">
        <v>0</v>
      </c>
      <c r="I733" s="255">
        <v>0</v>
      </c>
      <c r="J733" s="122" t="b">
        <f>IF(ISBLANK(CertifiedCrop[[#This Row],[1. Identifiant interne d’exploitation agricole*]]),"",IF(ISERROR(MATCH(CertifiedCrop[[#This Row],[1. Identifiant interne d’exploitation agricole*]],GroupMember[1. Identifiant interne d’exploitation agricole*],0)),FALSE,TRUE))</f>
        <v>1</v>
      </c>
      <c r="K733" s="122" t="b">
        <f t="array" ref="K733">IF(ISBLANK(CertifiedCrop[[#This Row],[2. Produit agricole certifié*]]),"",IF(ISERROR(MATCH(1,(#REF!=CertifiedCrop[[#This Row],[2. Produit agricole certifié*]])*(#REF!=CertifiedCrop[[#This Row],[3. Variété**]]),0)),FALSE,TRUE))</f>
        <v>0</v>
      </c>
      <c r="L733" s="20" t="str">
        <f t="shared" si="55"/>
        <v/>
      </c>
      <c r="M733" s="54" t="str">
        <f t="shared" si="56"/>
        <v/>
      </c>
      <c r="N733" s="54" t="str">
        <f t="shared" si="57"/>
        <v/>
      </c>
      <c r="O733" s="55">
        <f t="shared" si="58"/>
        <v>620.9558823529411</v>
      </c>
      <c r="P733" s="55">
        <f t="shared" si="59"/>
        <v>577.57352941176464</v>
      </c>
      <c r="Q733" s="9" t="str">
        <f ca="1">IFERROR((VLOOKUP(A733,GM_Table,8,FALSE)-SUMIFS(D:D,A:A,A733,B:B,B733,C:C,C733)),"")</f>
        <v/>
      </c>
      <c r="R733" s="9" t="str">
        <f ca="1">IFERROR(CONCATENATE(VLOOKUP(A733,GM_Table,12,FALSE)," ",(VLOOKUP(A733,GM_Table,13,FALSE))),"")</f>
        <v/>
      </c>
    </row>
    <row r="734" spans="1:18" ht="15" x14ac:dyDescent="0.2">
      <c r="A734" s="193" t="s">
        <v>2661</v>
      </c>
      <c r="B734" s="9" t="s">
        <v>3290</v>
      </c>
      <c r="C734" s="9" t="s">
        <v>3291</v>
      </c>
      <c r="D734" s="252">
        <v>3.04</v>
      </c>
      <c r="E734" s="245">
        <v>1906</v>
      </c>
      <c r="F734" s="246">
        <v>1859</v>
      </c>
      <c r="G734" s="247">
        <v>1625</v>
      </c>
      <c r="H734" s="9">
        <v>0</v>
      </c>
      <c r="I734" s="255">
        <v>0</v>
      </c>
      <c r="J734" s="122" t="b">
        <f>IF(ISBLANK(CertifiedCrop[[#This Row],[1. Identifiant interne d’exploitation agricole*]]),"",IF(ISERROR(MATCH(CertifiedCrop[[#This Row],[1. Identifiant interne d’exploitation agricole*]],GroupMember[1. Identifiant interne d’exploitation agricole*],0)),FALSE,TRUE))</f>
        <v>1</v>
      </c>
      <c r="K734" s="122" t="b">
        <f t="array" ref="K734">IF(ISBLANK(CertifiedCrop[[#This Row],[2. Produit agricole certifié*]]),"",IF(ISERROR(MATCH(1,(#REF!=CertifiedCrop[[#This Row],[2. Produit agricole certifié*]])*(#REF!=CertifiedCrop[[#This Row],[3. Variété**]]),0)),FALSE,TRUE))</f>
        <v>0</v>
      </c>
      <c r="L734" s="20" t="str">
        <f t="shared" si="55"/>
        <v/>
      </c>
      <c r="M734" s="54" t="str">
        <f t="shared" si="56"/>
        <v/>
      </c>
      <c r="N734" s="54" t="str">
        <f t="shared" si="57"/>
        <v/>
      </c>
      <c r="O734" s="55">
        <f t="shared" si="58"/>
        <v>626.97368421052636</v>
      </c>
      <c r="P734" s="55">
        <f t="shared" si="59"/>
        <v>611.51315789473688</v>
      </c>
      <c r="Q734" s="9" t="str">
        <f ca="1">IFERROR((VLOOKUP(A734,GM_Table,8,FALSE)-SUMIFS(D:D,A:A,A734,B:B,B734,C:C,C734)),"")</f>
        <v/>
      </c>
      <c r="R734" s="9" t="str">
        <f ca="1">IFERROR(CONCATENATE(VLOOKUP(A734,GM_Table,12,FALSE)," ",(VLOOKUP(A734,GM_Table,13,FALSE))),"")</f>
        <v/>
      </c>
    </row>
    <row r="735" spans="1:18" ht="15" x14ac:dyDescent="0.2">
      <c r="A735" s="193" t="s">
        <v>2663</v>
      </c>
      <c r="B735" s="9" t="s">
        <v>3290</v>
      </c>
      <c r="C735" s="9" t="s">
        <v>3291</v>
      </c>
      <c r="D735" s="252">
        <v>2.73</v>
      </c>
      <c r="E735" s="245">
        <v>1717</v>
      </c>
      <c r="F735" s="246">
        <v>1653</v>
      </c>
      <c r="G735" s="247">
        <v>1299</v>
      </c>
      <c r="H735" s="9">
        <v>0</v>
      </c>
      <c r="I735" s="255">
        <v>0</v>
      </c>
      <c r="J735" s="122" t="b">
        <f>IF(ISBLANK(CertifiedCrop[[#This Row],[1. Identifiant interne d’exploitation agricole*]]),"",IF(ISERROR(MATCH(CertifiedCrop[[#This Row],[1. Identifiant interne d’exploitation agricole*]],GroupMember[1. Identifiant interne d’exploitation agricole*],0)),FALSE,TRUE))</f>
        <v>1</v>
      </c>
      <c r="K735" s="122" t="b">
        <f t="array" ref="K735">IF(ISBLANK(CertifiedCrop[[#This Row],[2. Produit agricole certifié*]]),"",IF(ISERROR(MATCH(1,(#REF!=CertifiedCrop[[#This Row],[2. Produit agricole certifié*]])*(#REF!=CertifiedCrop[[#This Row],[3. Variété**]]),0)),FALSE,TRUE))</f>
        <v>0</v>
      </c>
      <c r="L735" s="20" t="str">
        <f t="shared" si="55"/>
        <v/>
      </c>
      <c r="M735" s="54" t="str">
        <f t="shared" si="56"/>
        <v>!</v>
      </c>
      <c r="N735" s="54" t="str">
        <f t="shared" si="57"/>
        <v/>
      </c>
      <c r="O735" s="55">
        <f t="shared" si="58"/>
        <v>628.93772893772893</v>
      </c>
      <c r="P735" s="55">
        <f t="shared" si="59"/>
        <v>605.49450549450546</v>
      </c>
      <c r="Q735" s="9" t="str">
        <f ca="1">IFERROR((VLOOKUP(A735,GM_Table,8,FALSE)-SUMIFS(D:D,A:A,A735,B:B,B735,C:C,C735)),"")</f>
        <v/>
      </c>
      <c r="R735" s="9" t="str">
        <f ca="1">IFERROR(CONCATENATE(VLOOKUP(A735,GM_Table,12,FALSE)," ",(VLOOKUP(A735,GM_Table,13,FALSE))),"")</f>
        <v/>
      </c>
    </row>
    <row r="736" spans="1:18" ht="15" x14ac:dyDescent="0.2">
      <c r="A736" s="193" t="s">
        <v>2666</v>
      </c>
      <c r="B736" s="9" t="s">
        <v>3290</v>
      </c>
      <c r="C736" s="9" t="s">
        <v>3291</v>
      </c>
      <c r="D736" s="252">
        <v>1.76</v>
      </c>
      <c r="E736" s="245">
        <v>1096</v>
      </c>
      <c r="F736" s="246">
        <v>1007</v>
      </c>
      <c r="G736" s="247">
        <v>760</v>
      </c>
      <c r="H736" s="9">
        <v>0</v>
      </c>
      <c r="I736" s="255">
        <v>0</v>
      </c>
      <c r="J736" s="122" t="b">
        <f>IF(ISBLANK(CertifiedCrop[[#This Row],[1. Identifiant interne d’exploitation agricole*]]),"",IF(ISERROR(MATCH(CertifiedCrop[[#This Row],[1. Identifiant interne d’exploitation agricole*]],GroupMember[1. Identifiant interne d’exploitation agricole*],0)),FALSE,TRUE))</f>
        <v>1</v>
      </c>
      <c r="K736" s="122" t="b">
        <f t="array" ref="K736">IF(ISBLANK(CertifiedCrop[[#This Row],[2. Produit agricole certifié*]]),"",IF(ISERROR(MATCH(1,(#REF!=CertifiedCrop[[#This Row],[2. Produit agricole certifié*]])*(#REF!=CertifiedCrop[[#This Row],[3. Variété**]]),0)),FALSE,TRUE))</f>
        <v>0</v>
      </c>
      <c r="L736" s="20" t="str">
        <f t="shared" si="55"/>
        <v/>
      </c>
      <c r="M736" s="54" t="str">
        <f t="shared" si="56"/>
        <v>!</v>
      </c>
      <c r="N736" s="54" t="str">
        <f t="shared" si="57"/>
        <v/>
      </c>
      <c r="O736" s="55">
        <f t="shared" si="58"/>
        <v>622.72727272727275</v>
      </c>
      <c r="P736" s="55">
        <f t="shared" si="59"/>
        <v>572.15909090909088</v>
      </c>
      <c r="Q736" s="9" t="str">
        <f ca="1">IFERROR((VLOOKUP(A736,GM_Table,8,FALSE)-SUMIFS(D:D,A:A,A736,B:B,B736,C:C,C736)),"")</f>
        <v/>
      </c>
      <c r="R736" s="9" t="str">
        <f ca="1">IFERROR(CONCATENATE(VLOOKUP(A736,GM_Table,12,FALSE)," ",(VLOOKUP(A736,GM_Table,13,FALSE))),"")</f>
        <v/>
      </c>
    </row>
    <row r="737" spans="1:18" ht="15" x14ac:dyDescent="0.2">
      <c r="A737" s="193" t="s">
        <v>2669</v>
      </c>
      <c r="B737" s="9" t="s">
        <v>3290</v>
      </c>
      <c r="C737" s="9" t="s">
        <v>3291</v>
      </c>
      <c r="D737" s="252">
        <v>2.73</v>
      </c>
      <c r="E737" s="245">
        <v>1740</v>
      </c>
      <c r="F737" s="246">
        <v>1684</v>
      </c>
      <c r="G737" s="247">
        <v>1154</v>
      </c>
      <c r="H737" s="9">
        <v>0</v>
      </c>
      <c r="I737" s="255">
        <v>0</v>
      </c>
      <c r="J737" s="122" t="b">
        <f>IF(ISBLANK(CertifiedCrop[[#This Row],[1. Identifiant interne d’exploitation agricole*]]),"",IF(ISERROR(MATCH(CertifiedCrop[[#This Row],[1. Identifiant interne d’exploitation agricole*]],GroupMember[1. Identifiant interne d’exploitation agricole*],0)),FALSE,TRUE))</f>
        <v>1</v>
      </c>
      <c r="K737" s="122" t="b">
        <f t="array" ref="K737">IF(ISBLANK(CertifiedCrop[[#This Row],[2. Produit agricole certifié*]]),"",IF(ISERROR(MATCH(1,(#REF!=CertifiedCrop[[#This Row],[2. Produit agricole certifié*]])*(#REF!=CertifiedCrop[[#This Row],[3. Variété**]]),0)),FALSE,TRUE))</f>
        <v>0</v>
      </c>
      <c r="L737" s="20" t="str">
        <f t="shared" si="55"/>
        <v/>
      </c>
      <c r="M737" s="54" t="str">
        <f t="shared" si="56"/>
        <v>!</v>
      </c>
      <c r="N737" s="54" t="str">
        <f t="shared" si="57"/>
        <v/>
      </c>
      <c r="O737" s="55">
        <f t="shared" si="58"/>
        <v>637.36263736263732</v>
      </c>
      <c r="P737" s="55">
        <f t="shared" si="59"/>
        <v>616.84981684981688</v>
      </c>
      <c r="Q737" s="9" t="str">
        <f ca="1">IFERROR((VLOOKUP(A737,GM_Table,8,FALSE)-SUMIFS(D:D,A:A,A737,B:B,B737,C:C,C737)),"")</f>
        <v/>
      </c>
      <c r="R737" s="9" t="str">
        <f ca="1">IFERROR(CONCATENATE(VLOOKUP(A737,GM_Table,12,FALSE)," ",(VLOOKUP(A737,GM_Table,13,FALSE))),"")</f>
        <v/>
      </c>
    </row>
    <row r="738" spans="1:18" ht="15" x14ac:dyDescent="0.2">
      <c r="A738" s="193" t="s">
        <v>2672</v>
      </c>
      <c r="B738" s="9" t="s">
        <v>3290</v>
      </c>
      <c r="C738" s="9" t="s">
        <v>3291</v>
      </c>
      <c r="D738" s="252">
        <v>2.61</v>
      </c>
      <c r="E738" s="245">
        <v>1571</v>
      </c>
      <c r="F738" s="246">
        <v>1488</v>
      </c>
      <c r="G738" s="247">
        <v>1244</v>
      </c>
      <c r="H738" s="9">
        <v>0</v>
      </c>
      <c r="I738" s="255">
        <v>0</v>
      </c>
      <c r="J738" s="122" t="b">
        <f>IF(ISBLANK(CertifiedCrop[[#This Row],[1. Identifiant interne d’exploitation agricole*]]),"",IF(ISERROR(MATCH(CertifiedCrop[[#This Row],[1. Identifiant interne d’exploitation agricole*]],GroupMember[1. Identifiant interne d’exploitation agricole*],0)),FALSE,TRUE))</f>
        <v>1</v>
      </c>
      <c r="K738" s="122" t="b">
        <f t="array" ref="K738">IF(ISBLANK(CertifiedCrop[[#This Row],[2. Produit agricole certifié*]]),"",IF(ISERROR(MATCH(1,(#REF!=CertifiedCrop[[#This Row],[2. Produit agricole certifié*]])*(#REF!=CertifiedCrop[[#This Row],[3. Variété**]]),0)),FALSE,TRUE))</f>
        <v>0</v>
      </c>
      <c r="L738" s="20" t="str">
        <f t="shared" si="55"/>
        <v/>
      </c>
      <c r="M738" s="54" t="str">
        <f t="shared" si="56"/>
        <v/>
      </c>
      <c r="N738" s="54" t="str">
        <f t="shared" si="57"/>
        <v/>
      </c>
      <c r="O738" s="55">
        <f t="shared" si="58"/>
        <v>601.91570881226062</v>
      </c>
      <c r="P738" s="55">
        <f t="shared" si="59"/>
        <v>570.1149425287357</v>
      </c>
      <c r="Q738" s="9" t="str">
        <f ca="1">IFERROR((VLOOKUP(A738,GM_Table,8,FALSE)-SUMIFS(D:D,A:A,A738,B:B,B738,C:C,C738)),"")</f>
        <v/>
      </c>
      <c r="R738" s="9" t="str">
        <f ca="1">IFERROR(CONCATENATE(VLOOKUP(A738,GM_Table,12,FALSE)," ",(VLOOKUP(A738,GM_Table,13,FALSE))),"")</f>
        <v/>
      </c>
    </row>
    <row r="739" spans="1:18" ht="15" x14ac:dyDescent="0.2">
      <c r="A739" s="193" t="s">
        <v>2674</v>
      </c>
      <c r="B739" s="9" t="s">
        <v>3290</v>
      </c>
      <c r="C739" s="9" t="s">
        <v>3291</v>
      </c>
      <c r="D739" s="252">
        <v>2.81</v>
      </c>
      <c r="E739" s="245">
        <v>1468</v>
      </c>
      <c r="F739" s="246">
        <v>1392</v>
      </c>
      <c r="G739" s="247">
        <v>1042</v>
      </c>
      <c r="H739" s="9">
        <v>0</v>
      </c>
      <c r="I739" s="255">
        <v>0</v>
      </c>
      <c r="J739" s="122" t="b">
        <f>IF(ISBLANK(CertifiedCrop[[#This Row],[1. Identifiant interne d’exploitation agricole*]]),"",IF(ISERROR(MATCH(CertifiedCrop[[#This Row],[1. Identifiant interne d’exploitation agricole*]],GroupMember[1. Identifiant interne d’exploitation agricole*],0)),FALSE,TRUE))</f>
        <v>1</v>
      </c>
      <c r="K739" s="122" t="b">
        <f t="array" ref="K739">IF(ISBLANK(CertifiedCrop[[#This Row],[2. Produit agricole certifié*]]),"",IF(ISERROR(MATCH(1,(#REF!=CertifiedCrop[[#This Row],[2. Produit agricole certifié*]])*(#REF!=CertifiedCrop[[#This Row],[3. Variété**]]),0)),FALSE,TRUE))</f>
        <v>0</v>
      </c>
      <c r="L739" s="20" t="str">
        <f t="shared" si="55"/>
        <v/>
      </c>
      <c r="M739" s="54" t="str">
        <f t="shared" si="56"/>
        <v>!</v>
      </c>
      <c r="N739" s="54" t="str">
        <f t="shared" si="57"/>
        <v/>
      </c>
      <c r="O739" s="55">
        <f t="shared" si="58"/>
        <v>522.41992882562272</v>
      </c>
      <c r="P739" s="55">
        <f t="shared" si="59"/>
        <v>495.37366548042706</v>
      </c>
      <c r="Q739" s="9" t="str">
        <f ca="1">IFERROR((VLOOKUP(A739,GM_Table,8,FALSE)-SUMIFS(D:D,A:A,A739,B:B,B739,C:C,C739)),"")</f>
        <v/>
      </c>
      <c r="R739" s="9" t="str">
        <f ca="1">IFERROR(CONCATENATE(VLOOKUP(A739,GM_Table,12,FALSE)," ",(VLOOKUP(A739,GM_Table,13,FALSE))),"")</f>
        <v/>
      </c>
    </row>
    <row r="740" spans="1:18" ht="15" x14ac:dyDescent="0.2">
      <c r="A740" s="193" t="s">
        <v>2677</v>
      </c>
      <c r="B740" s="9" t="s">
        <v>3290</v>
      </c>
      <c r="C740" s="9" t="s">
        <v>3291</v>
      </c>
      <c r="D740" s="252">
        <v>3.11</v>
      </c>
      <c r="E740" s="245">
        <v>1952</v>
      </c>
      <c r="F740" s="246">
        <v>1878</v>
      </c>
      <c r="G740" s="247">
        <v>1878</v>
      </c>
      <c r="H740" s="9">
        <v>0</v>
      </c>
      <c r="I740" s="255">
        <v>0</v>
      </c>
      <c r="J740" s="122" t="b">
        <f>IF(ISBLANK(CertifiedCrop[[#This Row],[1. Identifiant interne d’exploitation agricole*]]),"",IF(ISERROR(MATCH(CertifiedCrop[[#This Row],[1. Identifiant interne d’exploitation agricole*]],GroupMember[1. Identifiant interne d’exploitation agricole*],0)),FALSE,TRUE))</f>
        <v>1</v>
      </c>
      <c r="K740" s="122" t="b">
        <f t="array" ref="K740">IF(ISBLANK(CertifiedCrop[[#This Row],[2. Produit agricole certifié*]]),"",IF(ISERROR(MATCH(1,(#REF!=CertifiedCrop[[#This Row],[2. Produit agricole certifié*]])*(#REF!=CertifiedCrop[[#This Row],[3. Variété**]]),0)),FALSE,TRUE))</f>
        <v>0</v>
      </c>
      <c r="L740" s="20" t="str">
        <f t="shared" si="55"/>
        <v/>
      </c>
      <c r="M740" s="54" t="str">
        <f t="shared" si="56"/>
        <v/>
      </c>
      <c r="N740" s="54" t="str">
        <f t="shared" si="57"/>
        <v/>
      </c>
      <c r="O740" s="55">
        <f t="shared" si="58"/>
        <v>627.65273311897113</v>
      </c>
      <c r="P740" s="55">
        <f t="shared" si="59"/>
        <v>603.85852090032154</v>
      </c>
      <c r="Q740" s="9" t="str">
        <f ca="1">IFERROR((VLOOKUP(A740,GM_Table,8,FALSE)-SUMIFS(D:D,A:A,A740,B:B,B740,C:C,C740)),"")</f>
        <v/>
      </c>
      <c r="R740" s="9" t="str">
        <f ca="1">IFERROR(CONCATENATE(VLOOKUP(A740,GM_Table,12,FALSE)," ",(VLOOKUP(A740,GM_Table,13,FALSE))),"")</f>
        <v/>
      </c>
    </row>
    <row r="741" spans="1:18" ht="15" x14ac:dyDescent="0.2">
      <c r="A741" s="193" t="s">
        <v>2679</v>
      </c>
      <c r="B741" s="9" t="s">
        <v>3290</v>
      </c>
      <c r="C741" s="9" t="s">
        <v>3291</v>
      </c>
      <c r="D741" s="252">
        <v>4.95</v>
      </c>
      <c r="E741" s="245">
        <v>2809</v>
      </c>
      <c r="F741" s="246">
        <v>2755</v>
      </c>
      <c r="G741" s="247">
        <v>2379</v>
      </c>
      <c r="H741" s="9">
        <v>0</v>
      </c>
      <c r="I741" s="255">
        <v>0</v>
      </c>
      <c r="J741" s="122" t="b">
        <f>IF(ISBLANK(CertifiedCrop[[#This Row],[1. Identifiant interne d’exploitation agricole*]]),"",IF(ISERROR(MATCH(CertifiedCrop[[#This Row],[1. Identifiant interne d’exploitation agricole*]],GroupMember[1. Identifiant interne d’exploitation agricole*],0)),FALSE,TRUE))</f>
        <v>1</v>
      </c>
      <c r="K741" s="122" t="b">
        <f t="array" ref="K741">IF(ISBLANK(CertifiedCrop[[#This Row],[2. Produit agricole certifié*]]),"",IF(ISERROR(MATCH(1,(#REF!=CertifiedCrop[[#This Row],[2. Produit agricole certifié*]])*(#REF!=CertifiedCrop[[#This Row],[3. Variété**]]),0)),FALSE,TRUE))</f>
        <v>0</v>
      </c>
      <c r="L741" s="20" t="str">
        <f t="shared" si="55"/>
        <v/>
      </c>
      <c r="M741" s="54" t="str">
        <f t="shared" si="56"/>
        <v/>
      </c>
      <c r="N741" s="54" t="str">
        <f t="shared" si="57"/>
        <v/>
      </c>
      <c r="O741" s="55">
        <f t="shared" si="58"/>
        <v>567.47474747474746</v>
      </c>
      <c r="P741" s="55">
        <f t="shared" si="59"/>
        <v>556.56565656565658</v>
      </c>
      <c r="Q741" s="9" t="str">
        <f ca="1">IFERROR((VLOOKUP(A741,GM_Table,8,FALSE)-SUMIFS(D:D,A:A,A741,B:B,B741,C:C,C741)),"")</f>
        <v/>
      </c>
      <c r="R741" s="9" t="str">
        <f ca="1">IFERROR(CONCATENATE(VLOOKUP(A741,GM_Table,12,FALSE)," ",(VLOOKUP(A741,GM_Table,13,FALSE))),"")</f>
        <v/>
      </c>
    </row>
    <row r="742" spans="1:18" ht="15" x14ac:dyDescent="0.2">
      <c r="A742" s="193" t="s">
        <v>2680</v>
      </c>
      <c r="B742" s="9" t="s">
        <v>3290</v>
      </c>
      <c r="C742" s="9" t="s">
        <v>3291</v>
      </c>
      <c r="D742" s="252">
        <v>2.61</v>
      </c>
      <c r="E742" s="245">
        <v>1560</v>
      </c>
      <c r="F742" s="246">
        <v>1506</v>
      </c>
      <c r="G742" s="247">
        <v>1386</v>
      </c>
      <c r="H742" s="9">
        <v>0</v>
      </c>
      <c r="I742" s="255">
        <v>0</v>
      </c>
      <c r="J742" s="122" t="b">
        <f>IF(ISBLANK(CertifiedCrop[[#This Row],[1. Identifiant interne d’exploitation agricole*]]),"",IF(ISERROR(MATCH(CertifiedCrop[[#This Row],[1. Identifiant interne d’exploitation agricole*]],GroupMember[1. Identifiant interne d’exploitation agricole*],0)),FALSE,TRUE))</f>
        <v>1</v>
      </c>
      <c r="K742" s="122" t="b">
        <f t="array" ref="K742">IF(ISBLANK(CertifiedCrop[[#This Row],[2. Produit agricole certifié*]]),"",IF(ISERROR(MATCH(1,(#REF!=CertifiedCrop[[#This Row],[2. Produit agricole certifié*]])*(#REF!=CertifiedCrop[[#This Row],[3. Variété**]]),0)),FALSE,TRUE))</f>
        <v>0</v>
      </c>
      <c r="L742" s="20" t="str">
        <f t="shared" si="55"/>
        <v/>
      </c>
      <c r="M742" s="54" t="str">
        <f t="shared" si="56"/>
        <v/>
      </c>
      <c r="N742" s="54" t="str">
        <f t="shared" si="57"/>
        <v/>
      </c>
      <c r="O742" s="55">
        <f t="shared" si="58"/>
        <v>597.70114942528744</v>
      </c>
      <c r="P742" s="55">
        <f t="shared" si="59"/>
        <v>577.0114942528736</v>
      </c>
      <c r="Q742" s="9" t="str">
        <f ca="1">IFERROR((VLOOKUP(A742,GM_Table,8,FALSE)-SUMIFS(D:D,A:A,A742,B:B,B742,C:C,C742)),"")</f>
        <v/>
      </c>
      <c r="R742" s="9" t="str">
        <f ca="1">IFERROR(CONCATENATE(VLOOKUP(A742,GM_Table,12,FALSE)," ",(VLOOKUP(A742,GM_Table,13,FALSE))),"")</f>
        <v/>
      </c>
    </row>
    <row r="743" spans="1:18" ht="15" x14ac:dyDescent="0.2">
      <c r="A743" s="193" t="s">
        <v>2683</v>
      </c>
      <c r="B743" s="9" t="s">
        <v>3290</v>
      </c>
      <c r="C743" s="9" t="s">
        <v>3291</v>
      </c>
      <c r="D743" s="252">
        <v>2.36</v>
      </c>
      <c r="E743" s="245">
        <v>1425</v>
      </c>
      <c r="F743" s="246">
        <v>1374</v>
      </c>
      <c r="G743" s="247">
        <v>939</v>
      </c>
      <c r="H743" s="9">
        <v>0</v>
      </c>
      <c r="I743" s="255">
        <v>0</v>
      </c>
      <c r="J743" s="122" t="b">
        <f>IF(ISBLANK(CertifiedCrop[[#This Row],[1. Identifiant interne d’exploitation agricole*]]),"",IF(ISERROR(MATCH(CertifiedCrop[[#This Row],[1. Identifiant interne d’exploitation agricole*]],GroupMember[1. Identifiant interne d’exploitation agricole*],0)),FALSE,TRUE))</f>
        <v>1</v>
      </c>
      <c r="K743" s="122" t="b">
        <f t="array" ref="K743">IF(ISBLANK(CertifiedCrop[[#This Row],[2. Produit agricole certifié*]]),"",IF(ISERROR(MATCH(1,(#REF!=CertifiedCrop[[#This Row],[2. Produit agricole certifié*]])*(#REF!=CertifiedCrop[[#This Row],[3. Variété**]]),0)),FALSE,TRUE))</f>
        <v>0</v>
      </c>
      <c r="L743" s="20" t="str">
        <f t="shared" si="55"/>
        <v/>
      </c>
      <c r="M743" s="54" t="str">
        <f t="shared" si="56"/>
        <v>!</v>
      </c>
      <c r="N743" s="54" t="str">
        <f t="shared" si="57"/>
        <v/>
      </c>
      <c r="O743" s="55">
        <f t="shared" si="58"/>
        <v>603.81355932203394</v>
      </c>
      <c r="P743" s="55">
        <f t="shared" si="59"/>
        <v>582.20338983050851</v>
      </c>
      <c r="Q743" s="9" t="str">
        <f ca="1">IFERROR((VLOOKUP(A743,GM_Table,8,FALSE)-SUMIFS(D:D,A:A,A743,B:B,B743,C:C,C743)),"")</f>
        <v/>
      </c>
      <c r="R743" s="9" t="str">
        <f ca="1">IFERROR(CONCATENATE(VLOOKUP(A743,GM_Table,12,FALSE)," ",(VLOOKUP(A743,GM_Table,13,FALSE))),"")</f>
        <v/>
      </c>
    </row>
    <row r="744" spans="1:18" ht="15" x14ac:dyDescent="0.2">
      <c r="A744" s="193" t="s">
        <v>2685</v>
      </c>
      <c r="B744" s="9" t="s">
        <v>3290</v>
      </c>
      <c r="C744" s="9" t="s">
        <v>3291</v>
      </c>
      <c r="D744" s="252">
        <v>4.1900000000000004</v>
      </c>
      <c r="E744" s="245">
        <v>2524</v>
      </c>
      <c r="F744" s="246">
        <v>2483</v>
      </c>
      <c r="G744" s="247">
        <v>2249</v>
      </c>
      <c r="H744" s="9">
        <v>0</v>
      </c>
      <c r="I744" s="255">
        <v>0</v>
      </c>
      <c r="J744" s="122" t="b">
        <f>IF(ISBLANK(CertifiedCrop[[#This Row],[1. Identifiant interne d’exploitation agricole*]]),"",IF(ISERROR(MATCH(CertifiedCrop[[#This Row],[1. Identifiant interne d’exploitation agricole*]],GroupMember[1. Identifiant interne d’exploitation agricole*],0)),FALSE,TRUE))</f>
        <v>1</v>
      </c>
      <c r="K744" s="122" t="b">
        <f t="array" ref="K744">IF(ISBLANK(CertifiedCrop[[#This Row],[2. Produit agricole certifié*]]),"",IF(ISERROR(MATCH(1,(#REF!=CertifiedCrop[[#This Row],[2. Produit agricole certifié*]])*(#REF!=CertifiedCrop[[#This Row],[3. Variété**]]),0)),FALSE,TRUE))</f>
        <v>0</v>
      </c>
      <c r="L744" s="20" t="str">
        <f t="shared" si="55"/>
        <v/>
      </c>
      <c r="M744" s="54" t="str">
        <f t="shared" si="56"/>
        <v/>
      </c>
      <c r="N744" s="54" t="str">
        <f t="shared" si="57"/>
        <v/>
      </c>
      <c r="O744" s="55">
        <f t="shared" si="58"/>
        <v>602.38663484486869</v>
      </c>
      <c r="P744" s="55">
        <f t="shared" si="59"/>
        <v>592.60143198090691</v>
      </c>
      <c r="Q744" s="9" t="str">
        <f ca="1">IFERROR((VLOOKUP(A744,GM_Table,8,FALSE)-SUMIFS(D:D,A:A,A744,B:B,B744,C:C,C744)),"")</f>
        <v/>
      </c>
      <c r="R744" s="9" t="str">
        <f ca="1">IFERROR(CONCATENATE(VLOOKUP(A744,GM_Table,12,FALSE)," ",(VLOOKUP(A744,GM_Table,13,FALSE))),"")</f>
        <v/>
      </c>
    </row>
    <row r="745" spans="1:18" ht="15" x14ac:dyDescent="0.2">
      <c r="A745" s="193" t="s">
        <v>2686</v>
      </c>
      <c r="B745" s="9" t="s">
        <v>3290</v>
      </c>
      <c r="C745" s="9" t="s">
        <v>3291</v>
      </c>
      <c r="D745" s="252">
        <v>3.59</v>
      </c>
      <c r="E745" s="245">
        <v>2278</v>
      </c>
      <c r="F745" s="246">
        <v>2080</v>
      </c>
      <c r="G745" s="247">
        <v>2080</v>
      </c>
      <c r="H745" s="9">
        <v>0</v>
      </c>
      <c r="I745" s="255">
        <v>0</v>
      </c>
      <c r="J745" s="122" t="b">
        <f>IF(ISBLANK(CertifiedCrop[[#This Row],[1. Identifiant interne d’exploitation agricole*]]),"",IF(ISERROR(MATCH(CertifiedCrop[[#This Row],[1. Identifiant interne d’exploitation agricole*]],GroupMember[1. Identifiant interne d’exploitation agricole*],0)),FALSE,TRUE))</f>
        <v>1</v>
      </c>
      <c r="K745" s="122" t="b">
        <f t="array" ref="K745">IF(ISBLANK(CertifiedCrop[[#This Row],[2. Produit agricole certifié*]]),"",IF(ISERROR(MATCH(1,(#REF!=CertifiedCrop[[#This Row],[2. Produit agricole certifié*]])*(#REF!=CertifiedCrop[[#This Row],[3. Variété**]]),0)),FALSE,TRUE))</f>
        <v>0</v>
      </c>
      <c r="L745" s="20" t="str">
        <f t="shared" si="55"/>
        <v/>
      </c>
      <c r="M745" s="54" t="str">
        <f t="shared" si="56"/>
        <v/>
      </c>
      <c r="N745" s="54" t="str">
        <f t="shared" si="57"/>
        <v/>
      </c>
      <c r="O745" s="55">
        <f t="shared" si="58"/>
        <v>634.54038997214491</v>
      </c>
      <c r="P745" s="55">
        <f t="shared" si="59"/>
        <v>579.38718662952647</v>
      </c>
      <c r="Q745" s="9" t="str">
        <f ca="1">IFERROR((VLOOKUP(A745,GM_Table,8,FALSE)-SUMIFS(D:D,A:A,A745,B:B,B745,C:C,C745)),"")</f>
        <v/>
      </c>
      <c r="R745" s="9" t="str">
        <f ca="1">IFERROR(CONCATENATE(VLOOKUP(A745,GM_Table,12,FALSE)," ",(VLOOKUP(A745,GM_Table,13,FALSE))),"")</f>
        <v/>
      </c>
    </row>
    <row r="746" spans="1:18" ht="15" x14ac:dyDescent="0.2">
      <c r="A746" s="193" t="s">
        <v>2687</v>
      </c>
      <c r="B746" s="9" t="s">
        <v>3290</v>
      </c>
      <c r="C746" s="9" t="s">
        <v>3291</v>
      </c>
      <c r="D746" s="252">
        <v>3.04</v>
      </c>
      <c r="E746" s="245">
        <v>1908</v>
      </c>
      <c r="F746" s="246">
        <v>1845</v>
      </c>
      <c r="G746" s="247">
        <v>1479</v>
      </c>
      <c r="H746" s="9">
        <v>0</v>
      </c>
      <c r="I746" s="255">
        <v>0</v>
      </c>
      <c r="J746" s="122" t="b">
        <f>IF(ISBLANK(CertifiedCrop[[#This Row],[1. Identifiant interne d’exploitation agricole*]]),"",IF(ISERROR(MATCH(CertifiedCrop[[#This Row],[1. Identifiant interne d’exploitation agricole*]],GroupMember[1. Identifiant interne d’exploitation agricole*],0)),FALSE,TRUE))</f>
        <v>1</v>
      </c>
      <c r="K746" s="122" t="b">
        <f t="array" ref="K746">IF(ISBLANK(CertifiedCrop[[#This Row],[2. Produit agricole certifié*]]),"",IF(ISERROR(MATCH(1,(#REF!=CertifiedCrop[[#This Row],[2. Produit agricole certifié*]])*(#REF!=CertifiedCrop[[#This Row],[3. Variété**]]),0)),FALSE,TRUE))</f>
        <v>0</v>
      </c>
      <c r="L746" s="20" t="str">
        <f t="shared" si="55"/>
        <v/>
      </c>
      <c r="M746" s="54" t="str">
        <f t="shared" si="56"/>
        <v/>
      </c>
      <c r="N746" s="54" t="str">
        <f t="shared" si="57"/>
        <v/>
      </c>
      <c r="O746" s="55">
        <f t="shared" si="58"/>
        <v>627.63157894736844</v>
      </c>
      <c r="P746" s="55">
        <f t="shared" si="59"/>
        <v>606.90789473684208</v>
      </c>
      <c r="Q746" s="9" t="str">
        <f ca="1">IFERROR((VLOOKUP(A746,GM_Table,8,FALSE)-SUMIFS(D:D,A:A,A746,B:B,B746,C:C,C746)),"")</f>
        <v/>
      </c>
      <c r="R746" s="9" t="str">
        <f ca="1">IFERROR(CONCATENATE(VLOOKUP(A746,GM_Table,12,FALSE)," ",(VLOOKUP(A746,GM_Table,13,FALSE))),"")</f>
        <v/>
      </c>
    </row>
    <row r="747" spans="1:18" ht="15" x14ac:dyDescent="0.2">
      <c r="A747" s="193" t="s">
        <v>2690</v>
      </c>
      <c r="B747" s="9" t="s">
        <v>3290</v>
      </c>
      <c r="C747" s="9" t="s">
        <v>3291</v>
      </c>
      <c r="D747" s="252">
        <v>2.4300000000000002</v>
      </c>
      <c r="E747" s="245">
        <v>1340</v>
      </c>
      <c r="F747" s="246">
        <v>1296</v>
      </c>
      <c r="G747" s="247">
        <v>800</v>
      </c>
      <c r="H747" s="9">
        <v>0</v>
      </c>
      <c r="I747" s="255">
        <v>0</v>
      </c>
      <c r="J747" s="122" t="b">
        <f>IF(ISBLANK(CertifiedCrop[[#This Row],[1. Identifiant interne d’exploitation agricole*]]),"",IF(ISERROR(MATCH(CertifiedCrop[[#This Row],[1. Identifiant interne d’exploitation agricole*]],GroupMember[1. Identifiant interne d’exploitation agricole*],0)),FALSE,TRUE))</f>
        <v>1</v>
      </c>
      <c r="K747" s="122" t="b">
        <f t="array" ref="K747">IF(ISBLANK(CertifiedCrop[[#This Row],[2. Produit agricole certifié*]]),"",IF(ISERROR(MATCH(1,(#REF!=CertifiedCrop[[#This Row],[2. Produit agricole certifié*]])*(#REF!=CertifiedCrop[[#This Row],[3. Variété**]]),0)),FALSE,TRUE))</f>
        <v>0</v>
      </c>
      <c r="L747" s="20" t="str">
        <f t="shared" si="55"/>
        <v/>
      </c>
      <c r="M747" s="54" t="str">
        <f t="shared" si="56"/>
        <v>!</v>
      </c>
      <c r="N747" s="54" t="str">
        <f t="shared" si="57"/>
        <v/>
      </c>
      <c r="O747" s="55">
        <f t="shared" si="58"/>
        <v>551.44032921810697</v>
      </c>
      <c r="P747" s="55">
        <f t="shared" si="59"/>
        <v>533.33333333333326</v>
      </c>
      <c r="Q747" s="9" t="str">
        <f ca="1">IFERROR((VLOOKUP(A747,GM_Table,8,FALSE)-SUMIFS(D:D,A:A,A747,B:B,B747,C:C,C747)),"")</f>
        <v/>
      </c>
      <c r="R747" s="9" t="str">
        <f ca="1">IFERROR(CONCATENATE(VLOOKUP(A747,GM_Table,12,FALSE)," ",(VLOOKUP(A747,GM_Table,13,FALSE))),"")</f>
        <v/>
      </c>
    </row>
    <row r="748" spans="1:18" ht="15" x14ac:dyDescent="0.2">
      <c r="A748" s="193" t="s">
        <v>2694</v>
      </c>
      <c r="B748" s="9" t="s">
        <v>3290</v>
      </c>
      <c r="C748" s="9" t="s">
        <v>3291</v>
      </c>
      <c r="D748" s="252">
        <v>1.67</v>
      </c>
      <c r="E748" s="245">
        <v>1014</v>
      </c>
      <c r="F748" s="246">
        <v>968</v>
      </c>
      <c r="G748" s="247">
        <v>802</v>
      </c>
      <c r="H748" s="9">
        <v>0</v>
      </c>
      <c r="I748" s="255">
        <v>0</v>
      </c>
      <c r="J748" s="122" t="b">
        <f>IF(ISBLANK(CertifiedCrop[[#This Row],[1. Identifiant interne d’exploitation agricole*]]),"",IF(ISERROR(MATCH(CertifiedCrop[[#This Row],[1. Identifiant interne d’exploitation agricole*]],GroupMember[1. Identifiant interne d’exploitation agricole*],0)),FALSE,TRUE))</f>
        <v>1</v>
      </c>
      <c r="K748" s="122" t="b">
        <f t="array" ref="K748">IF(ISBLANK(CertifiedCrop[[#This Row],[2. Produit agricole certifié*]]),"",IF(ISERROR(MATCH(1,(#REF!=CertifiedCrop[[#This Row],[2. Produit agricole certifié*]])*(#REF!=CertifiedCrop[[#This Row],[3. Variété**]]),0)),FALSE,TRUE))</f>
        <v>0</v>
      </c>
      <c r="L748" s="20" t="str">
        <f t="shared" si="55"/>
        <v/>
      </c>
      <c r="M748" s="54" t="str">
        <f t="shared" si="56"/>
        <v/>
      </c>
      <c r="N748" s="54" t="str">
        <f t="shared" si="57"/>
        <v/>
      </c>
      <c r="O748" s="55">
        <f t="shared" si="58"/>
        <v>607.18562874251495</v>
      </c>
      <c r="P748" s="55">
        <f t="shared" si="59"/>
        <v>579.64071856287433</v>
      </c>
      <c r="Q748" s="9" t="str">
        <f ca="1">IFERROR((VLOOKUP(A748,GM_Table,8,FALSE)-SUMIFS(D:D,A:A,A748,B:B,B748,C:C,C748)),"")</f>
        <v/>
      </c>
      <c r="R748" s="9" t="str">
        <f ca="1">IFERROR(CONCATENATE(VLOOKUP(A748,GM_Table,12,FALSE)," ",(VLOOKUP(A748,GM_Table,13,FALSE))),"")</f>
        <v/>
      </c>
    </row>
    <row r="749" spans="1:18" ht="15" x14ac:dyDescent="0.2">
      <c r="A749" s="193" t="s">
        <v>2695</v>
      </c>
      <c r="B749" s="9" t="s">
        <v>3290</v>
      </c>
      <c r="C749" s="9" t="s">
        <v>3291</v>
      </c>
      <c r="D749" s="252">
        <v>3.71</v>
      </c>
      <c r="E749" s="245">
        <v>2232</v>
      </c>
      <c r="F749" s="246">
        <v>2163</v>
      </c>
      <c r="G749" s="247">
        <v>732</v>
      </c>
      <c r="H749" s="9">
        <v>0</v>
      </c>
      <c r="I749" s="255">
        <v>0</v>
      </c>
      <c r="J749" s="122" t="b">
        <f>IF(ISBLANK(CertifiedCrop[[#This Row],[1. Identifiant interne d’exploitation agricole*]]),"",IF(ISERROR(MATCH(CertifiedCrop[[#This Row],[1. Identifiant interne d’exploitation agricole*]],GroupMember[1. Identifiant interne d’exploitation agricole*],0)),FALSE,TRUE))</f>
        <v>1</v>
      </c>
      <c r="K749" s="122" t="b">
        <f t="array" ref="K749">IF(ISBLANK(CertifiedCrop[[#This Row],[2. Produit agricole certifié*]]),"",IF(ISERROR(MATCH(1,(#REF!=CertifiedCrop[[#This Row],[2. Produit agricole certifié*]])*(#REF!=CertifiedCrop[[#This Row],[3. Variété**]]),0)),FALSE,TRUE))</f>
        <v>0</v>
      </c>
      <c r="L749" s="20" t="str">
        <f t="shared" si="55"/>
        <v/>
      </c>
      <c r="M749" s="54" t="str">
        <f t="shared" si="56"/>
        <v>!</v>
      </c>
      <c r="N749" s="54" t="str">
        <f t="shared" si="57"/>
        <v/>
      </c>
      <c r="O749" s="55">
        <f t="shared" si="58"/>
        <v>601.61725067385441</v>
      </c>
      <c r="P749" s="55">
        <f t="shared" si="59"/>
        <v>583.01886792452831</v>
      </c>
      <c r="Q749" s="9" t="str">
        <f ca="1">IFERROR((VLOOKUP(A749,GM_Table,8,FALSE)-SUMIFS(D:D,A:A,A749,B:B,B749,C:C,C749)),"")</f>
        <v/>
      </c>
      <c r="R749" s="9" t="str">
        <f ca="1">IFERROR(CONCATENATE(VLOOKUP(A749,GM_Table,12,FALSE)," ",(VLOOKUP(A749,GM_Table,13,FALSE))),"")</f>
        <v/>
      </c>
    </row>
    <row r="750" spans="1:18" ht="15" x14ac:dyDescent="0.2">
      <c r="A750" s="193" t="s">
        <v>2697</v>
      </c>
      <c r="B750" s="9" t="s">
        <v>3290</v>
      </c>
      <c r="C750" s="9" t="s">
        <v>3291</v>
      </c>
      <c r="D750" s="252">
        <v>9.06</v>
      </c>
      <c r="E750" s="245">
        <v>5141</v>
      </c>
      <c r="F750" s="246">
        <v>5048</v>
      </c>
      <c r="G750" s="247">
        <v>4610</v>
      </c>
      <c r="H750" s="9">
        <v>0</v>
      </c>
      <c r="I750" s="255">
        <v>0</v>
      </c>
      <c r="J750" s="122" t="b">
        <f>IF(ISBLANK(CertifiedCrop[[#This Row],[1. Identifiant interne d’exploitation agricole*]]),"",IF(ISERROR(MATCH(CertifiedCrop[[#This Row],[1. Identifiant interne d’exploitation agricole*]],GroupMember[1. Identifiant interne d’exploitation agricole*],0)),FALSE,TRUE))</f>
        <v>1</v>
      </c>
      <c r="K750" s="122" t="b">
        <f t="array" ref="K750">IF(ISBLANK(CertifiedCrop[[#This Row],[2. Produit agricole certifié*]]),"",IF(ISERROR(MATCH(1,(#REF!=CertifiedCrop[[#This Row],[2. Produit agricole certifié*]])*(#REF!=CertifiedCrop[[#This Row],[3. Variété**]]),0)),FALSE,TRUE))</f>
        <v>0</v>
      </c>
      <c r="L750" s="20" t="str">
        <f t="shared" si="55"/>
        <v/>
      </c>
      <c r="M750" s="54" t="str">
        <f t="shared" si="56"/>
        <v/>
      </c>
      <c r="N750" s="54" t="str">
        <f t="shared" si="57"/>
        <v/>
      </c>
      <c r="O750" s="55">
        <f t="shared" si="58"/>
        <v>567.43929359823392</v>
      </c>
      <c r="P750" s="55">
        <f t="shared" si="59"/>
        <v>557.17439293598227</v>
      </c>
      <c r="Q750" s="9" t="str">
        <f ca="1">IFERROR((VLOOKUP(A750,GM_Table,8,FALSE)-SUMIFS(D:D,A:A,A750,B:B,B750,C:C,C750)),"")</f>
        <v/>
      </c>
      <c r="R750" s="9" t="str">
        <f ca="1">IFERROR(CONCATENATE(VLOOKUP(A750,GM_Table,12,FALSE)," ",(VLOOKUP(A750,GM_Table,13,FALSE))),"")</f>
        <v/>
      </c>
    </row>
    <row r="751" spans="1:18" ht="15" x14ac:dyDescent="0.2">
      <c r="A751" s="193" t="s">
        <v>2698</v>
      </c>
      <c r="B751" s="9" t="s">
        <v>3290</v>
      </c>
      <c r="C751" s="9" t="s">
        <v>3291</v>
      </c>
      <c r="D751" s="252">
        <v>1.51</v>
      </c>
      <c r="E751" s="221">
        <v>947</v>
      </c>
      <c r="F751" s="246">
        <v>908</v>
      </c>
      <c r="G751" s="247">
        <v>850</v>
      </c>
      <c r="H751" s="9">
        <v>0</v>
      </c>
      <c r="I751" s="255">
        <v>0</v>
      </c>
      <c r="J751" s="122" t="b">
        <f>IF(ISBLANK(CertifiedCrop[[#This Row],[1. Identifiant interne d’exploitation agricole*]]),"",IF(ISERROR(MATCH(CertifiedCrop[[#This Row],[1. Identifiant interne d’exploitation agricole*]],GroupMember[1. Identifiant interne d’exploitation agricole*],0)),FALSE,TRUE))</f>
        <v>1</v>
      </c>
      <c r="K751" s="122" t="b">
        <f t="array" ref="K751">IF(ISBLANK(CertifiedCrop[[#This Row],[2. Produit agricole certifié*]]),"",IF(ISERROR(MATCH(1,(#REF!=CertifiedCrop[[#This Row],[2. Produit agricole certifié*]])*(#REF!=CertifiedCrop[[#This Row],[3. Variété**]]),0)),FALSE,TRUE))</f>
        <v>0</v>
      </c>
      <c r="L751" s="20" t="str">
        <f t="shared" si="55"/>
        <v/>
      </c>
      <c r="M751" s="54" t="str">
        <f t="shared" si="56"/>
        <v/>
      </c>
      <c r="N751" s="54" t="str">
        <f t="shared" si="57"/>
        <v/>
      </c>
      <c r="O751" s="55">
        <f t="shared" si="58"/>
        <v>627.15231788079473</v>
      </c>
      <c r="P751" s="55">
        <f t="shared" si="59"/>
        <v>601.32450331125824</v>
      </c>
      <c r="Q751" s="9" t="str">
        <f ca="1">IFERROR((VLOOKUP(A751,GM_Table,8,FALSE)-SUMIFS(D:D,A:A,A751,B:B,B751,C:C,C751)),"")</f>
        <v/>
      </c>
      <c r="R751" s="9" t="str">
        <f ca="1">IFERROR(CONCATENATE(VLOOKUP(A751,GM_Table,12,FALSE)," ",(VLOOKUP(A751,GM_Table,13,FALSE))),"")</f>
        <v/>
      </c>
    </row>
    <row r="752" spans="1:18" ht="15" x14ac:dyDescent="0.2">
      <c r="A752" s="205" t="s">
        <v>2699</v>
      </c>
      <c r="B752" s="9" t="s">
        <v>3290</v>
      </c>
      <c r="C752" s="9" t="s">
        <v>3291</v>
      </c>
      <c r="D752" s="252">
        <v>3.08</v>
      </c>
      <c r="E752" s="245">
        <v>1927</v>
      </c>
      <c r="F752" s="246">
        <v>1874</v>
      </c>
      <c r="G752" s="247">
        <v>1212</v>
      </c>
      <c r="H752" s="9">
        <v>0</v>
      </c>
      <c r="I752" s="255">
        <v>0</v>
      </c>
      <c r="J752" s="122" t="b">
        <f>IF(ISBLANK(CertifiedCrop[[#This Row],[1. Identifiant interne d’exploitation agricole*]]),"",IF(ISERROR(MATCH(CertifiedCrop[[#This Row],[1. Identifiant interne d’exploitation agricole*]],GroupMember[1. Identifiant interne d’exploitation agricole*],0)),FALSE,TRUE))</f>
        <v>1</v>
      </c>
      <c r="K752" s="122" t="b">
        <f t="array" ref="K752">IF(ISBLANK(CertifiedCrop[[#This Row],[2. Produit agricole certifié*]]),"",IF(ISERROR(MATCH(1,(#REF!=CertifiedCrop[[#This Row],[2. Produit agricole certifié*]])*(#REF!=CertifiedCrop[[#This Row],[3. Variété**]]),0)),FALSE,TRUE))</f>
        <v>0</v>
      </c>
      <c r="L752" s="20" t="str">
        <f t="shared" si="55"/>
        <v/>
      </c>
      <c r="M752" s="54" t="str">
        <f t="shared" si="56"/>
        <v>!</v>
      </c>
      <c r="N752" s="54" t="str">
        <f t="shared" si="57"/>
        <v/>
      </c>
      <c r="O752" s="55">
        <f t="shared" si="58"/>
        <v>625.64935064935059</v>
      </c>
      <c r="P752" s="55">
        <f t="shared" si="59"/>
        <v>608.44155844155841</v>
      </c>
      <c r="Q752" s="9" t="str">
        <f ca="1">IFERROR((VLOOKUP(A752,GM_Table,8,FALSE)-SUMIFS(D:D,A:A,A752,B:B,B752,C:C,C752)),"")</f>
        <v/>
      </c>
      <c r="R752" s="9" t="str">
        <f ca="1">IFERROR(CONCATENATE(VLOOKUP(A752,GM_Table,12,FALSE)," ",(VLOOKUP(A752,GM_Table,13,FALSE))),"")</f>
        <v/>
      </c>
    </row>
    <row r="753" spans="1:18" ht="15" x14ac:dyDescent="0.2">
      <c r="A753" s="193" t="s">
        <v>2701</v>
      </c>
      <c r="B753" s="9" t="s">
        <v>3290</v>
      </c>
      <c r="C753" s="9" t="s">
        <v>3291</v>
      </c>
      <c r="D753" s="252">
        <v>1.46</v>
      </c>
      <c r="E753" s="221">
        <v>880</v>
      </c>
      <c r="F753" s="246">
        <v>849</v>
      </c>
      <c r="G753" s="247">
        <v>786</v>
      </c>
      <c r="H753" s="9">
        <v>0</v>
      </c>
      <c r="I753" s="255">
        <v>0</v>
      </c>
      <c r="J753" s="122" t="b">
        <f>IF(ISBLANK(CertifiedCrop[[#This Row],[1. Identifiant interne d’exploitation agricole*]]),"",IF(ISERROR(MATCH(CertifiedCrop[[#This Row],[1. Identifiant interne d’exploitation agricole*]],GroupMember[1. Identifiant interne d’exploitation agricole*],0)),FALSE,TRUE))</f>
        <v>1</v>
      </c>
      <c r="K753" s="122" t="b">
        <f t="array" ref="K753">IF(ISBLANK(CertifiedCrop[[#This Row],[2. Produit agricole certifié*]]),"",IF(ISERROR(MATCH(1,(#REF!=CertifiedCrop[[#This Row],[2. Produit agricole certifié*]])*(#REF!=CertifiedCrop[[#This Row],[3. Variété**]]),0)),FALSE,TRUE))</f>
        <v>0</v>
      </c>
      <c r="L753" s="20" t="str">
        <f t="shared" si="55"/>
        <v/>
      </c>
      <c r="M753" s="54" t="str">
        <f t="shared" si="56"/>
        <v/>
      </c>
      <c r="N753" s="54" t="str">
        <f t="shared" si="57"/>
        <v/>
      </c>
      <c r="O753" s="55">
        <f t="shared" si="58"/>
        <v>602.7397260273973</v>
      </c>
      <c r="P753" s="55">
        <f t="shared" si="59"/>
        <v>581.50684931506851</v>
      </c>
      <c r="Q753" s="9" t="str">
        <f ca="1">IFERROR((VLOOKUP(A753,GM_Table,8,FALSE)-SUMIFS(D:D,A:A,A753,B:B,B753,C:C,C753)),"")</f>
        <v/>
      </c>
      <c r="R753" s="9" t="str">
        <f ca="1">IFERROR(CONCATENATE(VLOOKUP(A753,GM_Table,12,FALSE)," ",(VLOOKUP(A753,GM_Table,13,FALSE))),"")</f>
        <v/>
      </c>
    </row>
    <row r="754" spans="1:18" ht="15" x14ac:dyDescent="0.2">
      <c r="A754" s="193" t="s">
        <v>2704</v>
      </c>
      <c r="B754" s="9" t="s">
        <v>3290</v>
      </c>
      <c r="C754" s="9" t="s">
        <v>3291</v>
      </c>
      <c r="D754" s="252">
        <v>1.89</v>
      </c>
      <c r="E754" s="221">
        <v>989</v>
      </c>
      <c r="F754" s="246">
        <v>971</v>
      </c>
      <c r="G754" s="247">
        <v>877</v>
      </c>
      <c r="H754" s="9">
        <v>0</v>
      </c>
      <c r="I754" s="255">
        <v>0</v>
      </c>
      <c r="J754" s="122" t="b">
        <f>IF(ISBLANK(CertifiedCrop[[#This Row],[1. Identifiant interne d’exploitation agricole*]]),"",IF(ISERROR(MATCH(CertifiedCrop[[#This Row],[1. Identifiant interne d’exploitation agricole*]],GroupMember[1. Identifiant interne d’exploitation agricole*],0)),FALSE,TRUE))</f>
        <v>1</v>
      </c>
      <c r="K754" s="122" t="b">
        <f t="array" ref="K754">IF(ISBLANK(CertifiedCrop[[#This Row],[2. Produit agricole certifié*]]),"",IF(ISERROR(MATCH(1,(#REF!=CertifiedCrop[[#This Row],[2. Produit agricole certifié*]])*(#REF!=CertifiedCrop[[#This Row],[3. Variété**]]),0)),FALSE,TRUE))</f>
        <v>0</v>
      </c>
      <c r="L754" s="20" t="str">
        <f t="shared" si="55"/>
        <v/>
      </c>
      <c r="M754" s="54" t="str">
        <f t="shared" si="56"/>
        <v/>
      </c>
      <c r="N754" s="54" t="str">
        <f t="shared" si="57"/>
        <v/>
      </c>
      <c r="O754" s="55">
        <f t="shared" si="58"/>
        <v>523.28042328042329</v>
      </c>
      <c r="P754" s="55">
        <f t="shared" si="59"/>
        <v>513.75661375661377</v>
      </c>
      <c r="Q754" s="9" t="str">
        <f ca="1">IFERROR((VLOOKUP(A754,GM_Table,8,FALSE)-SUMIFS(D:D,A:A,A754,B:B,B754,C:C,C754)),"")</f>
        <v/>
      </c>
      <c r="R754" s="9" t="str">
        <f ca="1">IFERROR(CONCATENATE(VLOOKUP(A754,GM_Table,12,FALSE)," ",(VLOOKUP(A754,GM_Table,13,FALSE))),"")</f>
        <v/>
      </c>
    </row>
    <row r="755" spans="1:18" ht="15" x14ac:dyDescent="0.2">
      <c r="A755" s="193" t="s">
        <v>2706</v>
      </c>
      <c r="B755" s="9" t="s">
        <v>3290</v>
      </c>
      <c r="C755" s="9" t="s">
        <v>3291</v>
      </c>
      <c r="D755" s="252">
        <v>3.13</v>
      </c>
      <c r="E755" s="245">
        <v>1983</v>
      </c>
      <c r="F755" s="246">
        <v>1862</v>
      </c>
      <c r="G755" s="247">
        <v>1423</v>
      </c>
      <c r="H755" s="9">
        <v>0</v>
      </c>
      <c r="I755" s="255">
        <v>0</v>
      </c>
      <c r="J755" s="122" t="b">
        <f>IF(ISBLANK(CertifiedCrop[[#This Row],[1. Identifiant interne d’exploitation agricole*]]),"",IF(ISERROR(MATCH(CertifiedCrop[[#This Row],[1. Identifiant interne d’exploitation agricole*]],GroupMember[1. Identifiant interne d’exploitation agricole*],0)),FALSE,TRUE))</f>
        <v>1</v>
      </c>
      <c r="K755" s="122" t="b">
        <f t="array" ref="K755">IF(ISBLANK(CertifiedCrop[[#This Row],[2. Produit agricole certifié*]]),"",IF(ISERROR(MATCH(1,(#REF!=CertifiedCrop[[#This Row],[2. Produit agricole certifié*]])*(#REF!=CertifiedCrop[[#This Row],[3. Variété**]]),0)),FALSE,TRUE))</f>
        <v>0</v>
      </c>
      <c r="L755" s="20" t="str">
        <f t="shared" ref="L755:L818" si="60">IF((F755-G755)&lt;0,"!","")</f>
        <v/>
      </c>
      <c r="M755" s="54" t="str">
        <f t="shared" ref="M755:M818" si="61">IFERROR(IF((F755-G755)/G755&gt;25%,"!",IF((F755-G755)/G755&lt;-25%,"!","")),"")</f>
        <v>!</v>
      </c>
      <c r="N755" s="54" t="str">
        <f t="shared" ref="N755:N818" si="62">IFERROR(IF((G755-H755)/H755&gt;25%,"!",IF((G755-H755)/H755&lt;-25%,"!","")),"")</f>
        <v/>
      </c>
      <c r="O755" s="55">
        <f t="shared" ref="O755:O818" si="63">IFERROR(E755/D755,"")</f>
        <v>633.5463258785943</v>
      </c>
      <c r="P755" s="55">
        <f t="shared" ref="P755:P818" si="64">IFERROR(F755/D755,"")</f>
        <v>594.88817891373799</v>
      </c>
      <c r="Q755" s="9" t="str">
        <f ca="1">IFERROR((VLOOKUP(A755,GM_Table,8,FALSE)-SUMIFS(D:D,A:A,A755,B:B,B755,C:C,C755)),"")</f>
        <v/>
      </c>
      <c r="R755" s="9" t="str">
        <f ca="1">IFERROR(CONCATENATE(VLOOKUP(A755,GM_Table,12,FALSE)," ",(VLOOKUP(A755,GM_Table,13,FALSE))),"")</f>
        <v/>
      </c>
    </row>
    <row r="756" spans="1:18" ht="15" x14ac:dyDescent="0.2">
      <c r="A756" s="193" t="s">
        <v>2709</v>
      </c>
      <c r="B756" s="9" t="s">
        <v>3290</v>
      </c>
      <c r="C756" s="9" t="s">
        <v>3291</v>
      </c>
      <c r="D756" s="252">
        <v>3.31</v>
      </c>
      <c r="E756" s="245">
        <v>2022</v>
      </c>
      <c r="F756" s="246">
        <v>1895</v>
      </c>
      <c r="G756" s="247">
        <v>1523</v>
      </c>
      <c r="H756" s="9">
        <v>0</v>
      </c>
      <c r="I756" s="255">
        <v>0</v>
      </c>
      <c r="J756" s="122" t="b">
        <f>IF(ISBLANK(CertifiedCrop[[#This Row],[1. Identifiant interne d’exploitation agricole*]]),"",IF(ISERROR(MATCH(CertifiedCrop[[#This Row],[1. Identifiant interne d’exploitation agricole*]],GroupMember[1. Identifiant interne d’exploitation agricole*],0)),FALSE,TRUE))</f>
        <v>1</v>
      </c>
      <c r="K756" s="122" t="b">
        <f t="array" ref="K756">IF(ISBLANK(CertifiedCrop[[#This Row],[2. Produit agricole certifié*]]),"",IF(ISERROR(MATCH(1,(#REF!=CertifiedCrop[[#This Row],[2. Produit agricole certifié*]])*(#REF!=CertifiedCrop[[#This Row],[3. Variété**]]),0)),FALSE,TRUE))</f>
        <v>0</v>
      </c>
      <c r="L756" s="20" t="str">
        <f t="shared" si="60"/>
        <v/>
      </c>
      <c r="M756" s="54" t="str">
        <f t="shared" si="61"/>
        <v/>
      </c>
      <c r="N756" s="54" t="str">
        <f t="shared" si="62"/>
        <v/>
      </c>
      <c r="O756" s="55">
        <f t="shared" si="63"/>
        <v>610.87613293051356</v>
      </c>
      <c r="P756" s="55">
        <f t="shared" si="64"/>
        <v>572.50755287009065</v>
      </c>
      <c r="Q756" s="9" t="str">
        <f ca="1">IFERROR((VLOOKUP(A756,GM_Table,8,FALSE)-SUMIFS(D:D,A:A,A756,B:B,B756,C:C,C756)),"")</f>
        <v/>
      </c>
      <c r="R756" s="9" t="str">
        <f ca="1">IFERROR(CONCATENATE(VLOOKUP(A756,GM_Table,12,FALSE)," ",(VLOOKUP(A756,GM_Table,13,FALSE))),"")</f>
        <v/>
      </c>
    </row>
    <row r="757" spans="1:18" ht="15" x14ac:dyDescent="0.2">
      <c r="A757" s="193" t="s">
        <v>2711</v>
      </c>
      <c r="B757" s="9" t="s">
        <v>3290</v>
      </c>
      <c r="C757" s="9" t="s">
        <v>3291</v>
      </c>
      <c r="D757" s="252">
        <v>1.84</v>
      </c>
      <c r="E757" s="245">
        <v>1126</v>
      </c>
      <c r="F757" s="246">
        <v>1122</v>
      </c>
      <c r="G757" s="247">
        <v>1122</v>
      </c>
      <c r="H757" s="9">
        <v>0</v>
      </c>
      <c r="I757" s="255">
        <v>0</v>
      </c>
      <c r="J757" s="122" t="b">
        <f>IF(ISBLANK(CertifiedCrop[[#This Row],[1. Identifiant interne d’exploitation agricole*]]),"",IF(ISERROR(MATCH(CertifiedCrop[[#This Row],[1. Identifiant interne d’exploitation agricole*]],GroupMember[1. Identifiant interne d’exploitation agricole*],0)),FALSE,TRUE))</f>
        <v>1</v>
      </c>
      <c r="K757" s="122" t="b">
        <f t="array" ref="K757">IF(ISBLANK(CertifiedCrop[[#This Row],[2. Produit agricole certifié*]]),"",IF(ISERROR(MATCH(1,(#REF!=CertifiedCrop[[#This Row],[2. Produit agricole certifié*]])*(#REF!=CertifiedCrop[[#This Row],[3. Variété**]]),0)),FALSE,TRUE))</f>
        <v>0</v>
      </c>
      <c r="L757" s="20" t="str">
        <f t="shared" si="60"/>
        <v/>
      </c>
      <c r="M757" s="54" t="str">
        <f t="shared" si="61"/>
        <v/>
      </c>
      <c r="N757" s="54" t="str">
        <f t="shared" si="62"/>
        <v/>
      </c>
      <c r="O757" s="55">
        <f t="shared" si="63"/>
        <v>611.95652173913038</v>
      </c>
      <c r="P757" s="55">
        <f t="shared" si="64"/>
        <v>609.78260869565213</v>
      </c>
      <c r="Q757" s="9" t="str">
        <f ca="1">IFERROR((VLOOKUP(A757,GM_Table,8,FALSE)-SUMIFS(D:D,A:A,A757,B:B,B757,C:C,C757)),"")</f>
        <v/>
      </c>
      <c r="R757" s="9" t="str">
        <f ca="1">IFERROR(CONCATENATE(VLOOKUP(A757,GM_Table,12,FALSE)," ",(VLOOKUP(A757,GM_Table,13,FALSE))),"")</f>
        <v/>
      </c>
    </row>
    <row r="758" spans="1:18" ht="15" x14ac:dyDescent="0.2">
      <c r="A758" s="193" t="s">
        <v>2713</v>
      </c>
      <c r="B758" s="9" t="s">
        <v>3290</v>
      </c>
      <c r="C758" s="9" t="s">
        <v>3291</v>
      </c>
      <c r="D758" s="252">
        <v>1.34</v>
      </c>
      <c r="E758" s="221">
        <v>841</v>
      </c>
      <c r="F758" s="246">
        <v>803</v>
      </c>
      <c r="G758" s="247">
        <v>803</v>
      </c>
      <c r="H758" s="9">
        <v>0</v>
      </c>
      <c r="I758" s="255">
        <v>0</v>
      </c>
      <c r="J758" s="122" t="b">
        <f>IF(ISBLANK(CertifiedCrop[[#This Row],[1. Identifiant interne d’exploitation agricole*]]),"",IF(ISERROR(MATCH(CertifiedCrop[[#This Row],[1. Identifiant interne d’exploitation agricole*]],GroupMember[1. Identifiant interne d’exploitation agricole*],0)),FALSE,TRUE))</f>
        <v>1</v>
      </c>
      <c r="K758" s="122" t="b">
        <f t="array" ref="K758">IF(ISBLANK(CertifiedCrop[[#This Row],[2. Produit agricole certifié*]]),"",IF(ISERROR(MATCH(1,(#REF!=CertifiedCrop[[#This Row],[2. Produit agricole certifié*]])*(#REF!=CertifiedCrop[[#This Row],[3. Variété**]]),0)),FALSE,TRUE))</f>
        <v>0</v>
      </c>
      <c r="L758" s="20" t="str">
        <f t="shared" si="60"/>
        <v/>
      </c>
      <c r="M758" s="54" t="str">
        <f t="shared" si="61"/>
        <v/>
      </c>
      <c r="N758" s="54" t="str">
        <f t="shared" si="62"/>
        <v/>
      </c>
      <c r="O758" s="55">
        <f t="shared" si="63"/>
        <v>627.61194029850742</v>
      </c>
      <c r="P758" s="55">
        <f t="shared" si="64"/>
        <v>599.25373134328356</v>
      </c>
      <c r="Q758" s="9" t="str">
        <f ca="1">IFERROR((VLOOKUP(A758,GM_Table,8,FALSE)-SUMIFS(D:D,A:A,A758,B:B,B758,C:C,C758)),"")</f>
        <v/>
      </c>
      <c r="R758" s="9" t="str">
        <f ca="1">IFERROR(CONCATENATE(VLOOKUP(A758,GM_Table,12,FALSE)," ",(VLOOKUP(A758,GM_Table,13,FALSE))),"")</f>
        <v/>
      </c>
    </row>
    <row r="759" spans="1:18" ht="15" x14ac:dyDescent="0.2">
      <c r="A759" s="193" t="s">
        <v>2715</v>
      </c>
      <c r="B759" s="9" t="s">
        <v>3290</v>
      </c>
      <c r="C759" s="9" t="s">
        <v>3291</v>
      </c>
      <c r="D759" s="252">
        <v>2.0099999999999998</v>
      </c>
      <c r="E759" s="245">
        <v>1249</v>
      </c>
      <c r="F759" s="246">
        <v>1178</v>
      </c>
      <c r="G759" s="247">
        <v>938</v>
      </c>
      <c r="H759" s="9">
        <v>0</v>
      </c>
      <c r="I759" s="255">
        <v>0</v>
      </c>
      <c r="J759" s="122" t="b">
        <f>IF(ISBLANK(CertifiedCrop[[#This Row],[1. Identifiant interne d’exploitation agricole*]]),"",IF(ISERROR(MATCH(CertifiedCrop[[#This Row],[1. Identifiant interne d’exploitation agricole*]],GroupMember[1. Identifiant interne d’exploitation agricole*],0)),FALSE,TRUE))</f>
        <v>1</v>
      </c>
      <c r="K759" s="122" t="b">
        <f t="array" ref="K759">IF(ISBLANK(CertifiedCrop[[#This Row],[2. Produit agricole certifié*]]),"",IF(ISERROR(MATCH(1,(#REF!=CertifiedCrop[[#This Row],[2. Produit agricole certifié*]])*(#REF!=CertifiedCrop[[#This Row],[3. Variété**]]),0)),FALSE,TRUE))</f>
        <v>0</v>
      </c>
      <c r="L759" s="20" t="str">
        <f t="shared" si="60"/>
        <v/>
      </c>
      <c r="M759" s="54" t="str">
        <f t="shared" si="61"/>
        <v>!</v>
      </c>
      <c r="N759" s="54" t="str">
        <f t="shared" si="62"/>
        <v/>
      </c>
      <c r="O759" s="55">
        <f t="shared" si="63"/>
        <v>621.3930348258707</v>
      </c>
      <c r="P759" s="55">
        <f t="shared" si="64"/>
        <v>586.06965174129357</v>
      </c>
      <c r="Q759" s="9" t="str">
        <f ca="1">IFERROR((VLOOKUP(A759,GM_Table,8,FALSE)-SUMIFS(D:D,A:A,A759,B:B,B759,C:C,C759)),"")</f>
        <v/>
      </c>
      <c r="R759" s="9" t="str">
        <f ca="1">IFERROR(CONCATENATE(VLOOKUP(A759,GM_Table,12,FALSE)," ",(VLOOKUP(A759,GM_Table,13,FALSE))),"")</f>
        <v/>
      </c>
    </row>
    <row r="760" spans="1:18" ht="15" x14ac:dyDescent="0.2">
      <c r="A760" s="193" t="s">
        <v>2718</v>
      </c>
      <c r="B760" s="9" t="s">
        <v>3290</v>
      </c>
      <c r="C760" s="9" t="s">
        <v>3291</v>
      </c>
      <c r="D760" s="252">
        <v>3.48</v>
      </c>
      <c r="E760" s="245">
        <v>2177</v>
      </c>
      <c r="F760" s="246">
        <v>2088</v>
      </c>
      <c r="G760" s="247">
        <v>1785</v>
      </c>
      <c r="H760" s="9">
        <v>0</v>
      </c>
      <c r="I760" s="255">
        <v>0</v>
      </c>
      <c r="J760" s="122" t="b">
        <f>IF(ISBLANK(CertifiedCrop[[#This Row],[1. Identifiant interne d’exploitation agricole*]]),"",IF(ISERROR(MATCH(CertifiedCrop[[#This Row],[1. Identifiant interne d’exploitation agricole*]],GroupMember[1. Identifiant interne d’exploitation agricole*],0)),FALSE,TRUE))</f>
        <v>1</v>
      </c>
      <c r="K760" s="122" t="b">
        <f t="array" ref="K760">IF(ISBLANK(CertifiedCrop[[#This Row],[2. Produit agricole certifié*]]),"",IF(ISERROR(MATCH(1,(#REF!=CertifiedCrop[[#This Row],[2. Produit agricole certifié*]])*(#REF!=CertifiedCrop[[#This Row],[3. Variété**]]),0)),FALSE,TRUE))</f>
        <v>0</v>
      </c>
      <c r="L760" s="20" t="str">
        <f t="shared" si="60"/>
        <v/>
      </c>
      <c r="M760" s="54" t="str">
        <f t="shared" si="61"/>
        <v/>
      </c>
      <c r="N760" s="54" t="str">
        <f t="shared" si="62"/>
        <v/>
      </c>
      <c r="O760" s="55">
        <f t="shared" si="63"/>
        <v>625.57471264367814</v>
      </c>
      <c r="P760" s="55">
        <f t="shared" si="64"/>
        <v>600</v>
      </c>
      <c r="Q760" s="9" t="str">
        <f ca="1">IFERROR((VLOOKUP(A760,GM_Table,8,FALSE)-SUMIFS(D:D,A:A,A760,B:B,B760,C:C,C760)),"")</f>
        <v/>
      </c>
      <c r="R760" s="9" t="str">
        <f ca="1">IFERROR(CONCATENATE(VLOOKUP(A760,GM_Table,12,FALSE)," ",(VLOOKUP(A760,GM_Table,13,FALSE))),"")</f>
        <v/>
      </c>
    </row>
    <row r="761" spans="1:18" ht="15" x14ac:dyDescent="0.2">
      <c r="A761" s="193" t="s">
        <v>2720</v>
      </c>
      <c r="B761" s="9" t="s">
        <v>3290</v>
      </c>
      <c r="C761" s="9" t="s">
        <v>3291</v>
      </c>
      <c r="D761" s="252">
        <v>2.17</v>
      </c>
      <c r="E761" s="245">
        <v>1238</v>
      </c>
      <c r="F761" s="246">
        <v>1176</v>
      </c>
      <c r="G761" s="247">
        <v>1176</v>
      </c>
      <c r="H761" s="9">
        <v>0</v>
      </c>
      <c r="I761" s="255">
        <v>0</v>
      </c>
      <c r="J761" s="122" t="b">
        <f>IF(ISBLANK(CertifiedCrop[[#This Row],[1. Identifiant interne d’exploitation agricole*]]),"",IF(ISERROR(MATCH(CertifiedCrop[[#This Row],[1. Identifiant interne d’exploitation agricole*]],GroupMember[1. Identifiant interne d’exploitation agricole*],0)),FALSE,TRUE))</f>
        <v>1</v>
      </c>
      <c r="K761" s="122" t="b">
        <f t="array" ref="K761">IF(ISBLANK(CertifiedCrop[[#This Row],[2. Produit agricole certifié*]]),"",IF(ISERROR(MATCH(1,(#REF!=CertifiedCrop[[#This Row],[2. Produit agricole certifié*]])*(#REF!=CertifiedCrop[[#This Row],[3. Variété**]]),0)),FALSE,TRUE))</f>
        <v>0</v>
      </c>
      <c r="L761" s="20" t="str">
        <f t="shared" si="60"/>
        <v/>
      </c>
      <c r="M761" s="54" t="str">
        <f t="shared" si="61"/>
        <v/>
      </c>
      <c r="N761" s="54" t="str">
        <f t="shared" si="62"/>
        <v/>
      </c>
      <c r="O761" s="55">
        <f t="shared" si="63"/>
        <v>570.50691244239636</v>
      </c>
      <c r="P761" s="55">
        <f t="shared" si="64"/>
        <v>541.9354838709678</v>
      </c>
      <c r="Q761" s="9" t="str">
        <f ca="1">IFERROR((VLOOKUP(A761,GM_Table,8,FALSE)-SUMIFS(D:D,A:A,A761,B:B,B761,C:C,C761)),"")</f>
        <v/>
      </c>
      <c r="R761" s="9" t="str">
        <f ca="1">IFERROR(CONCATENATE(VLOOKUP(A761,GM_Table,12,FALSE)," ",(VLOOKUP(A761,GM_Table,13,FALSE))),"")</f>
        <v/>
      </c>
    </row>
    <row r="762" spans="1:18" ht="15" x14ac:dyDescent="0.2">
      <c r="A762" s="193" t="s">
        <v>2723</v>
      </c>
      <c r="B762" s="9" t="s">
        <v>3290</v>
      </c>
      <c r="C762" s="9" t="s">
        <v>3291</v>
      </c>
      <c r="D762" s="252">
        <v>1.98</v>
      </c>
      <c r="E762" s="245">
        <v>1152</v>
      </c>
      <c r="F762" s="246">
        <v>1078</v>
      </c>
      <c r="G762" s="247">
        <v>1036</v>
      </c>
      <c r="H762" s="9">
        <v>0</v>
      </c>
      <c r="I762" s="255">
        <v>0</v>
      </c>
      <c r="J762" s="122" t="b">
        <f>IF(ISBLANK(CertifiedCrop[[#This Row],[1. Identifiant interne d’exploitation agricole*]]),"",IF(ISERROR(MATCH(CertifiedCrop[[#This Row],[1. Identifiant interne d’exploitation agricole*]],GroupMember[1. Identifiant interne d’exploitation agricole*],0)),FALSE,TRUE))</f>
        <v>1</v>
      </c>
      <c r="K762" s="122" t="b">
        <f t="array" ref="K762">IF(ISBLANK(CertifiedCrop[[#This Row],[2. Produit agricole certifié*]]),"",IF(ISERROR(MATCH(1,(#REF!=CertifiedCrop[[#This Row],[2. Produit agricole certifié*]])*(#REF!=CertifiedCrop[[#This Row],[3. Variété**]]),0)),FALSE,TRUE))</f>
        <v>0</v>
      </c>
      <c r="L762" s="20" t="str">
        <f t="shared" si="60"/>
        <v/>
      </c>
      <c r="M762" s="54" t="str">
        <f t="shared" si="61"/>
        <v/>
      </c>
      <c r="N762" s="54" t="str">
        <f t="shared" si="62"/>
        <v/>
      </c>
      <c r="O762" s="55">
        <f t="shared" si="63"/>
        <v>581.81818181818187</v>
      </c>
      <c r="P762" s="55">
        <f t="shared" si="64"/>
        <v>544.44444444444446</v>
      </c>
      <c r="Q762" s="9" t="str">
        <f ca="1">IFERROR((VLOOKUP(A762,GM_Table,8,FALSE)-SUMIFS(D:D,A:A,A762,B:B,B762,C:C,C762)),"")</f>
        <v/>
      </c>
      <c r="R762" s="9" t="str">
        <f ca="1">IFERROR(CONCATENATE(VLOOKUP(A762,GM_Table,12,FALSE)," ",(VLOOKUP(A762,GM_Table,13,FALSE))),"")</f>
        <v/>
      </c>
    </row>
    <row r="763" spans="1:18" ht="15" x14ac:dyDescent="0.2">
      <c r="A763" s="193" t="s">
        <v>2726</v>
      </c>
      <c r="B763" s="9" t="s">
        <v>3290</v>
      </c>
      <c r="C763" s="9" t="s">
        <v>3291</v>
      </c>
      <c r="D763" s="252">
        <v>2.5099999999999998</v>
      </c>
      <c r="E763" s="245">
        <v>1575</v>
      </c>
      <c r="F763" s="246">
        <v>1465</v>
      </c>
      <c r="G763" s="247">
        <v>1153</v>
      </c>
      <c r="H763" s="9">
        <v>0</v>
      </c>
      <c r="I763" s="255">
        <v>0</v>
      </c>
      <c r="J763" s="122" t="b">
        <f>IF(ISBLANK(CertifiedCrop[[#This Row],[1. Identifiant interne d’exploitation agricole*]]),"",IF(ISERROR(MATCH(CertifiedCrop[[#This Row],[1. Identifiant interne d’exploitation agricole*]],GroupMember[1. Identifiant interne d’exploitation agricole*],0)),FALSE,TRUE))</f>
        <v>1</v>
      </c>
      <c r="K763" s="122" t="b">
        <f t="array" ref="K763">IF(ISBLANK(CertifiedCrop[[#This Row],[2. Produit agricole certifié*]]),"",IF(ISERROR(MATCH(1,(#REF!=CertifiedCrop[[#This Row],[2. Produit agricole certifié*]])*(#REF!=CertifiedCrop[[#This Row],[3. Variété**]]),0)),FALSE,TRUE))</f>
        <v>0</v>
      </c>
      <c r="L763" s="20" t="str">
        <f t="shared" si="60"/>
        <v/>
      </c>
      <c r="M763" s="54" t="str">
        <f t="shared" si="61"/>
        <v>!</v>
      </c>
      <c r="N763" s="54" t="str">
        <f t="shared" si="62"/>
        <v/>
      </c>
      <c r="O763" s="55">
        <f t="shared" si="63"/>
        <v>627.49003984063745</v>
      </c>
      <c r="P763" s="55">
        <f t="shared" si="64"/>
        <v>583.66533864541839</v>
      </c>
      <c r="Q763" s="9" t="str">
        <f ca="1">IFERROR((VLOOKUP(A763,GM_Table,8,FALSE)-SUMIFS(D:D,A:A,A763,B:B,B763,C:C,C763)),"")</f>
        <v/>
      </c>
      <c r="R763" s="9" t="str">
        <f ca="1">IFERROR(CONCATENATE(VLOOKUP(A763,GM_Table,12,FALSE)," ",(VLOOKUP(A763,GM_Table,13,FALSE))),"")</f>
        <v/>
      </c>
    </row>
    <row r="764" spans="1:18" ht="15" x14ac:dyDescent="0.2">
      <c r="A764" s="193" t="s">
        <v>2727</v>
      </c>
      <c r="B764" s="9" t="s">
        <v>3290</v>
      </c>
      <c r="C764" s="9" t="s">
        <v>3291</v>
      </c>
      <c r="D764" s="252">
        <v>3.83</v>
      </c>
      <c r="E764" s="245">
        <v>2202</v>
      </c>
      <c r="F764" s="246">
        <v>2126</v>
      </c>
      <c r="G764" s="247">
        <v>2126</v>
      </c>
      <c r="H764" s="9">
        <v>0</v>
      </c>
      <c r="I764" s="255">
        <v>0</v>
      </c>
      <c r="J764" s="122" t="b">
        <f>IF(ISBLANK(CertifiedCrop[[#This Row],[1. Identifiant interne d’exploitation agricole*]]),"",IF(ISERROR(MATCH(CertifiedCrop[[#This Row],[1. Identifiant interne d’exploitation agricole*]],GroupMember[1. Identifiant interne d’exploitation agricole*],0)),FALSE,TRUE))</f>
        <v>1</v>
      </c>
      <c r="K764" s="122" t="b">
        <f t="array" ref="K764">IF(ISBLANK(CertifiedCrop[[#This Row],[2. Produit agricole certifié*]]),"",IF(ISERROR(MATCH(1,(#REF!=CertifiedCrop[[#This Row],[2. Produit agricole certifié*]])*(#REF!=CertifiedCrop[[#This Row],[3. Variété**]]),0)),FALSE,TRUE))</f>
        <v>0</v>
      </c>
      <c r="L764" s="20" t="str">
        <f t="shared" si="60"/>
        <v/>
      </c>
      <c r="M764" s="54" t="str">
        <f t="shared" si="61"/>
        <v/>
      </c>
      <c r="N764" s="54" t="str">
        <f t="shared" si="62"/>
        <v/>
      </c>
      <c r="O764" s="55">
        <f t="shared" si="63"/>
        <v>574.93472584856397</v>
      </c>
      <c r="P764" s="55">
        <f t="shared" si="64"/>
        <v>555.09138381201046</v>
      </c>
      <c r="Q764" s="9" t="str">
        <f ca="1">IFERROR((VLOOKUP(A764,GM_Table,8,FALSE)-SUMIFS(D:D,A:A,A764,B:B,B764,C:C,C764)),"")</f>
        <v/>
      </c>
      <c r="R764" s="9" t="str">
        <f ca="1">IFERROR(CONCATENATE(VLOOKUP(A764,GM_Table,12,FALSE)," ",(VLOOKUP(A764,GM_Table,13,FALSE))),"")</f>
        <v/>
      </c>
    </row>
    <row r="765" spans="1:18" ht="15" x14ac:dyDescent="0.2">
      <c r="A765" s="193" t="s">
        <v>2729</v>
      </c>
      <c r="B765" s="9" t="s">
        <v>3290</v>
      </c>
      <c r="C765" s="9" t="s">
        <v>3291</v>
      </c>
      <c r="D765" s="252">
        <v>1.91</v>
      </c>
      <c r="E765" s="245">
        <v>1042</v>
      </c>
      <c r="F765" s="246">
        <v>968</v>
      </c>
      <c r="G765" s="247">
        <v>898</v>
      </c>
      <c r="H765" s="9">
        <v>0</v>
      </c>
      <c r="I765" s="255">
        <v>0</v>
      </c>
      <c r="J765" s="122" t="b">
        <f>IF(ISBLANK(CertifiedCrop[[#This Row],[1. Identifiant interne d’exploitation agricole*]]),"",IF(ISERROR(MATCH(CertifiedCrop[[#This Row],[1. Identifiant interne d’exploitation agricole*]],GroupMember[1. Identifiant interne d’exploitation agricole*],0)),FALSE,TRUE))</f>
        <v>1</v>
      </c>
      <c r="K765" s="122" t="b">
        <f t="array" ref="K765">IF(ISBLANK(CertifiedCrop[[#This Row],[2. Produit agricole certifié*]]),"",IF(ISERROR(MATCH(1,(#REF!=CertifiedCrop[[#This Row],[2. Produit agricole certifié*]])*(#REF!=CertifiedCrop[[#This Row],[3. Variété**]]),0)),FALSE,TRUE))</f>
        <v>0</v>
      </c>
      <c r="L765" s="20" t="str">
        <f t="shared" si="60"/>
        <v/>
      </c>
      <c r="M765" s="54" t="str">
        <f t="shared" si="61"/>
        <v/>
      </c>
      <c r="N765" s="54" t="str">
        <f t="shared" si="62"/>
        <v/>
      </c>
      <c r="O765" s="55">
        <f t="shared" si="63"/>
        <v>545.54973821989529</v>
      </c>
      <c r="P765" s="55">
        <f t="shared" si="64"/>
        <v>506.80628272251312</v>
      </c>
      <c r="Q765" s="9" t="str">
        <f ca="1">IFERROR((VLOOKUP(A765,GM_Table,8,FALSE)-SUMIFS(D:D,A:A,A765,B:B,B765,C:C,C765)),"")</f>
        <v/>
      </c>
      <c r="R765" s="9" t="str">
        <f ca="1">IFERROR(CONCATENATE(VLOOKUP(A765,GM_Table,12,FALSE)," ",(VLOOKUP(A765,GM_Table,13,FALSE))),"")</f>
        <v/>
      </c>
    </row>
    <row r="766" spans="1:18" ht="15" x14ac:dyDescent="0.2">
      <c r="A766" s="193" t="s">
        <v>2732</v>
      </c>
      <c r="B766" s="9" t="s">
        <v>3290</v>
      </c>
      <c r="C766" s="9" t="s">
        <v>3291</v>
      </c>
      <c r="D766" s="252">
        <v>1.01</v>
      </c>
      <c r="E766" s="221">
        <v>642</v>
      </c>
      <c r="F766" s="246">
        <v>615</v>
      </c>
      <c r="G766" s="247">
        <v>341</v>
      </c>
      <c r="H766" s="9">
        <v>0</v>
      </c>
      <c r="I766" s="255">
        <v>0</v>
      </c>
      <c r="J766" s="122" t="b">
        <f>IF(ISBLANK(CertifiedCrop[[#This Row],[1. Identifiant interne d’exploitation agricole*]]),"",IF(ISERROR(MATCH(CertifiedCrop[[#This Row],[1. Identifiant interne d’exploitation agricole*]],GroupMember[1. Identifiant interne d’exploitation agricole*],0)),FALSE,TRUE))</f>
        <v>1</v>
      </c>
      <c r="K766" s="122" t="b">
        <f t="array" ref="K766">IF(ISBLANK(CertifiedCrop[[#This Row],[2. Produit agricole certifié*]]),"",IF(ISERROR(MATCH(1,(#REF!=CertifiedCrop[[#This Row],[2. Produit agricole certifié*]])*(#REF!=CertifiedCrop[[#This Row],[3. Variété**]]),0)),FALSE,TRUE))</f>
        <v>0</v>
      </c>
      <c r="L766" s="20" t="str">
        <f t="shared" si="60"/>
        <v/>
      </c>
      <c r="M766" s="54" t="str">
        <f t="shared" si="61"/>
        <v>!</v>
      </c>
      <c r="N766" s="54" t="str">
        <f t="shared" si="62"/>
        <v/>
      </c>
      <c r="O766" s="55">
        <f t="shared" si="63"/>
        <v>635.6435643564356</v>
      </c>
      <c r="P766" s="55">
        <f t="shared" si="64"/>
        <v>608.91089108910887</v>
      </c>
      <c r="Q766" s="9" t="str">
        <f ca="1">IFERROR((VLOOKUP(A766,GM_Table,8,FALSE)-SUMIFS(D:D,A:A,A766,B:B,B766,C:C,C766)),"")</f>
        <v/>
      </c>
      <c r="R766" s="9" t="str">
        <f ca="1">IFERROR(CONCATENATE(VLOOKUP(A766,GM_Table,12,FALSE)," ",(VLOOKUP(A766,GM_Table,13,FALSE))),"")</f>
        <v/>
      </c>
    </row>
    <row r="767" spans="1:18" ht="15" x14ac:dyDescent="0.2">
      <c r="A767" s="193" t="s">
        <v>2734</v>
      </c>
      <c r="B767" s="9" t="s">
        <v>3290</v>
      </c>
      <c r="C767" s="9" t="s">
        <v>3291</v>
      </c>
      <c r="D767" s="252">
        <v>0.93</v>
      </c>
      <c r="E767" s="221">
        <v>583</v>
      </c>
      <c r="F767" s="246">
        <v>562</v>
      </c>
      <c r="G767" s="247">
        <v>522</v>
      </c>
      <c r="H767" s="9">
        <v>0</v>
      </c>
      <c r="I767" s="255">
        <v>0</v>
      </c>
      <c r="J767" s="122" t="b">
        <f>IF(ISBLANK(CertifiedCrop[[#This Row],[1. Identifiant interne d’exploitation agricole*]]),"",IF(ISERROR(MATCH(CertifiedCrop[[#This Row],[1. Identifiant interne d’exploitation agricole*]],GroupMember[1. Identifiant interne d’exploitation agricole*],0)),FALSE,TRUE))</f>
        <v>1</v>
      </c>
      <c r="K767" s="122" t="b">
        <f t="array" ref="K767">IF(ISBLANK(CertifiedCrop[[#This Row],[2. Produit agricole certifié*]]),"",IF(ISERROR(MATCH(1,(#REF!=CertifiedCrop[[#This Row],[2. Produit agricole certifié*]])*(#REF!=CertifiedCrop[[#This Row],[3. Variété**]]),0)),FALSE,TRUE))</f>
        <v>0</v>
      </c>
      <c r="L767" s="20" t="str">
        <f t="shared" si="60"/>
        <v/>
      </c>
      <c r="M767" s="54" t="str">
        <f t="shared" si="61"/>
        <v/>
      </c>
      <c r="N767" s="54" t="str">
        <f t="shared" si="62"/>
        <v/>
      </c>
      <c r="O767" s="55">
        <f t="shared" si="63"/>
        <v>626.88172043010752</v>
      </c>
      <c r="P767" s="55">
        <f t="shared" si="64"/>
        <v>604.30107526881716</v>
      </c>
      <c r="Q767" s="9" t="str">
        <f ca="1">IFERROR((VLOOKUP(A767,GM_Table,8,FALSE)-SUMIFS(D:D,A:A,A767,B:B,B767,C:C,C767)),"")</f>
        <v/>
      </c>
      <c r="R767" s="9" t="str">
        <f ca="1">IFERROR(CONCATENATE(VLOOKUP(A767,GM_Table,12,FALSE)," ",(VLOOKUP(A767,GM_Table,13,FALSE))),"")</f>
        <v/>
      </c>
    </row>
    <row r="768" spans="1:18" ht="15" x14ac:dyDescent="0.2">
      <c r="A768" s="193" t="s">
        <v>2736</v>
      </c>
      <c r="B768" s="9" t="s">
        <v>3290</v>
      </c>
      <c r="C768" s="9" t="s">
        <v>3291</v>
      </c>
      <c r="D768" s="252">
        <v>1.96</v>
      </c>
      <c r="E768" s="245">
        <v>1139</v>
      </c>
      <c r="F768" s="246">
        <v>1089</v>
      </c>
      <c r="G768" s="247">
        <v>930</v>
      </c>
      <c r="H768" s="9">
        <v>0</v>
      </c>
      <c r="I768" s="255">
        <v>0</v>
      </c>
      <c r="J768" s="122" t="b">
        <f>IF(ISBLANK(CertifiedCrop[[#This Row],[1. Identifiant interne d’exploitation agricole*]]),"",IF(ISERROR(MATCH(CertifiedCrop[[#This Row],[1. Identifiant interne d’exploitation agricole*]],GroupMember[1. Identifiant interne d’exploitation agricole*],0)),FALSE,TRUE))</f>
        <v>1</v>
      </c>
      <c r="K768" s="122" t="b">
        <f t="array" ref="K768">IF(ISBLANK(CertifiedCrop[[#This Row],[2. Produit agricole certifié*]]),"",IF(ISERROR(MATCH(1,(#REF!=CertifiedCrop[[#This Row],[2. Produit agricole certifié*]])*(#REF!=CertifiedCrop[[#This Row],[3. Variété**]]),0)),FALSE,TRUE))</f>
        <v>0</v>
      </c>
      <c r="L768" s="20" t="str">
        <f t="shared" si="60"/>
        <v/>
      </c>
      <c r="M768" s="54" t="str">
        <f t="shared" si="61"/>
        <v/>
      </c>
      <c r="N768" s="54" t="str">
        <f t="shared" si="62"/>
        <v/>
      </c>
      <c r="O768" s="55">
        <f t="shared" si="63"/>
        <v>581.12244897959181</v>
      </c>
      <c r="P768" s="55">
        <f t="shared" si="64"/>
        <v>555.61224489795916</v>
      </c>
      <c r="Q768" s="9" t="str">
        <f ca="1">IFERROR((VLOOKUP(A768,GM_Table,8,FALSE)-SUMIFS(D:D,A:A,A768,B:B,B768,C:C,C768)),"")</f>
        <v/>
      </c>
      <c r="R768" s="9" t="str">
        <f ca="1">IFERROR(CONCATENATE(VLOOKUP(A768,GM_Table,12,FALSE)," ",(VLOOKUP(A768,GM_Table,13,FALSE))),"")</f>
        <v/>
      </c>
    </row>
    <row r="769" spans="1:18" ht="15" x14ac:dyDescent="0.2">
      <c r="A769" s="193" t="s">
        <v>2738</v>
      </c>
      <c r="B769" s="9" t="s">
        <v>3290</v>
      </c>
      <c r="C769" s="9" t="s">
        <v>3291</v>
      </c>
      <c r="D769" s="252">
        <v>5.38</v>
      </c>
      <c r="E769" s="245">
        <v>3349</v>
      </c>
      <c r="F769" s="246">
        <v>3265</v>
      </c>
      <c r="G769" s="247">
        <v>3025</v>
      </c>
      <c r="H769" s="9">
        <v>0</v>
      </c>
      <c r="I769" s="255">
        <v>0</v>
      </c>
      <c r="J769" s="122" t="b">
        <f>IF(ISBLANK(CertifiedCrop[[#This Row],[1. Identifiant interne d’exploitation agricole*]]),"",IF(ISERROR(MATCH(CertifiedCrop[[#This Row],[1. Identifiant interne d’exploitation agricole*]],GroupMember[1. Identifiant interne d’exploitation agricole*],0)),FALSE,TRUE))</f>
        <v>1</v>
      </c>
      <c r="K769" s="122" t="b">
        <f t="array" ref="K769">IF(ISBLANK(CertifiedCrop[[#This Row],[2. Produit agricole certifié*]]),"",IF(ISERROR(MATCH(1,(#REF!=CertifiedCrop[[#This Row],[2. Produit agricole certifié*]])*(#REF!=CertifiedCrop[[#This Row],[3. Variété**]]),0)),FALSE,TRUE))</f>
        <v>0</v>
      </c>
      <c r="L769" s="20" t="str">
        <f t="shared" si="60"/>
        <v/>
      </c>
      <c r="M769" s="54" t="str">
        <f t="shared" si="61"/>
        <v/>
      </c>
      <c r="N769" s="54" t="str">
        <f t="shared" si="62"/>
        <v/>
      </c>
      <c r="O769" s="55">
        <f t="shared" si="63"/>
        <v>622.49070631970267</v>
      </c>
      <c r="P769" s="55">
        <f t="shared" si="64"/>
        <v>606.87732342007439</v>
      </c>
      <c r="Q769" s="9" t="str">
        <f ca="1">IFERROR((VLOOKUP(A769,GM_Table,8,FALSE)-SUMIFS(D:D,A:A,A769,B:B,B769,C:C,C769)),"")</f>
        <v/>
      </c>
      <c r="R769" s="9" t="str">
        <f ca="1">IFERROR(CONCATENATE(VLOOKUP(A769,GM_Table,12,FALSE)," ",(VLOOKUP(A769,GM_Table,13,FALSE))),"")</f>
        <v/>
      </c>
    </row>
    <row r="770" spans="1:18" ht="15" x14ac:dyDescent="0.2">
      <c r="A770" s="193" t="s">
        <v>2739</v>
      </c>
      <c r="B770" s="9" t="s">
        <v>3290</v>
      </c>
      <c r="C770" s="9" t="s">
        <v>3291</v>
      </c>
      <c r="D770" s="252">
        <v>2.0099999999999998</v>
      </c>
      <c r="E770" s="245">
        <v>1257</v>
      </c>
      <c r="F770" s="246">
        <v>1178</v>
      </c>
      <c r="G770" s="247">
        <v>1004</v>
      </c>
      <c r="H770" s="9">
        <v>0</v>
      </c>
      <c r="I770" s="255">
        <v>0</v>
      </c>
      <c r="J770" s="122" t="b">
        <f>IF(ISBLANK(CertifiedCrop[[#This Row],[1. Identifiant interne d’exploitation agricole*]]),"",IF(ISERROR(MATCH(CertifiedCrop[[#This Row],[1. Identifiant interne d’exploitation agricole*]],GroupMember[1. Identifiant interne d’exploitation agricole*],0)),FALSE,TRUE))</f>
        <v>1</v>
      </c>
      <c r="K770" s="122" t="b">
        <f t="array" ref="K770">IF(ISBLANK(CertifiedCrop[[#This Row],[2. Produit agricole certifié*]]),"",IF(ISERROR(MATCH(1,(#REF!=CertifiedCrop[[#This Row],[2. Produit agricole certifié*]])*(#REF!=CertifiedCrop[[#This Row],[3. Variété**]]),0)),FALSE,TRUE))</f>
        <v>0</v>
      </c>
      <c r="L770" s="20" t="str">
        <f t="shared" si="60"/>
        <v/>
      </c>
      <c r="M770" s="54" t="str">
        <f t="shared" si="61"/>
        <v/>
      </c>
      <c r="N770" s="54" t="str">
        <f t="shared" si="62"/>
        <v/>
      </c>
      <c r="O770" s="55">
        <f t="shared" si="63"/>
        <v>625.37313432835822</v>
      </c>
      <c r="P770" s="55">
        <f t="shared" si="64"/>
        <v>586.06965174129357</v>
      </c>
      <c r="Q770" s="9" t="str">
        <f ca="1">IFERROR((VLOOKUP(A770,GM_Table,8,FALSE)-SUMIFS(D:D,A:A,A770,B:B,B770,C:C,C770)),"")</f>
        <v/>
      </c>
      <c r="R770" s="9" t="str">
        <f ca="1">IFERROR(CONCATENATE(VLOOKUP(A770,GM_Table,12,FALSE)," ",(VLOOKUP(A770,GM_Table,13,FALSE))),"")</f>
        <v/>
      </c>
    </row>
    <row r="771" spans="1:18" ht="15" x14ac:dyDescent="0.2">
      <c r="A771" s="193" t="s">
        <v>2741</v>
      </c>
      <c r="B771" s="9" t="s">
        <v>3290</v>
      </c>
      <c r="C771" s="9" t="s">
        <v>3291</v>
      </c>
      <c r="D771" s="252">
        <v>4.9400000000000004</v>
      </c>
      <c r="E771" s="245">
        <v>3110</v>
      </c>
      <c r="F771" s="246">
        <v>2893</v>
      </c>
      <c r="G771" s="247">
        <v>2746</v>
      </c>
      <c r="H771" s="9">
        <v>0</v>
      </c>
      <c r="I771" s="255">
        <v>0</v>
      </c>
      <c r="J771" s="122" t="b">
        <f>IF(ISBLANK(CertifiedCrop[[#This Row],[1. Identifiant interne d’exploitation agricole*]]),"",IF(ISERROR(MATCH(CertifiedCrop[[#This Row],[1. Identifiant interne d’exploitation agricole*]],GroupMember[1. Identifiant interne d’exploitation agricole*],0)),FALSE,TRUE))</f>
        <v>1</v>
      </c>
      <c r="K771" s="122" t="b">
        <f t="array" ref="K771">IF(ISBLANK(CertifiedCrop[[#This Row],[2. Produit agricole certifié*]]),"",IF(ISERROR(MATCH(1,(#REF!=CertifiedCrop[[#This Row],[2. Produit agricole certifié*]])*(#REF!=CertifiedCrop[[#This Row],[3. Variété**]]),0)),FALSE,TRUE))</f>
        <v>0</v>
      </c>
      <c r="L771" s="20" t="str">
        <f t="shared" si="60"/>
        <v/>
      </c>
      <c r="M771" s="54" t="str">
        <f t="shared" si="61"/>
        <v/>
      </c>
      <c r="N771" s="54" t="str">
        <f t="shared" si="62"/>
        <v/>
      </c>
      <c r="O771" s="55">
        <f t="shared" si="63"/>
        <v>629.55465587044534</v>
      </c>
      <c r="P771" s="55">
        <f t="shared" si="64"/>
        <v>585.62753036437243</v>
      </c>
      <c r="Q771" s="9" t="str">
        <f ca="1">IFERROR((VLOOKUP(A771,GM_Table,8,FALSE)-SUMIFS(D:D,A:A,A771,B:B,B771,C:C,C771)),"")</f>
        <v/>
      </c>
      <c r="R771" s="9" t="str">
        <f ca="1">IFERROR(CONCATENATE(VLOOKUP(A771,GM_Table,12,FALSE)," ",(VLOOKUP(A771,GM_Table,13,FALSE))),"")</f>
        <v/>
      </c>
    </row>
    <row r="772" spans="1:18" ht="15" x14ac:dyDescent="0.2">
      <c r="A772" s="193" t="s">
        <v>2743</v>
      </c>
      <c r="B772" s="9" t="s">
        <v>3290</v>
      </c>
      <c r="C772" s="9" t="s">
        <v>3291</v>
      </c>
      <c r="D772" s="252">
        <v>1.01</v>
      </c>
      <c r="E772" s="221">
        <v>639</v>
      </c>
      <c r="F772" s="246">
        <v>597</v>
      </c>
      <c r="G772" s="247">
        <v>597</v>
      </c>
      <c r="H772" s="9">
        <v>0</v>
      </c>
      <c r="I772" s="255">
        <v>0</v>
      </c>
      <c r="J772" s="122" t="b">
        <f>IF(ISBLANK(CertifiedCrop[[#This Row],[1. Identifiant interne d’exploitation agricole*]]),"",IF(ISERROR(MATCH(CertifiedCrop[[#This Row],[1. Identifiant interne d’exploitation agricole*]],GroupMember[1. Identifiant interne d’exploitation agricole*],0)),FALSE,TRUE))</f>
        <v>1</v>
      </c>
      <c r="K772" s="122" t="b">
        <f t="array" ref="K772">IF(ISBLANK(CertifiedCrop[[#This Row],[2. Produit agricole certifié*]]),"",IF(ISERROR(MATCH(1,(#REF!=CertifiedCrop[[#This Row],[2. Produit agricole certifié*]])*(#REF!=CertifiedCrop[[#This Row],[3. Variété**]]),0)),FALSE,TRUE))</f>
        <v>0</v>
      </c>
      <c r="L772" s="20" t="str">
        <f t="shared" si="60"/>
        <v/>
      </c>
      <c r="M772" s="54" t="str">
        <f t="shared" si="61"/>
        <v/>
      </c>
      <c r="N772" s="54" t="str">
        <f t="shared" si="62"/>
        <v/>
      </c>
      <c r="O772" s="55">
        <f t="shared" si="63"/>
        <v>632.67326732673268</v>
      </c>
      <c r="P772" s="55">
        <f t="shared" si="64"/>
        <v>591.08910891089113</v>
      </c>
      <c r="Q772" s="9" t="str">
        <f ca="1">IFERROR((VLOOKUP(A772,GM_Table,8,FALSE)-SUMIFS(D:D,A:A,A772,B:B,B772,C:C,C772)),"")</f>
        <v/>
      </c>
      <c r="R772" s="9" t="str">
        <f ca="1">IFERROR(CONCATENATE(VLOOKUP(A772,GM_Table,12,FALSE)," ",(VLOOKUP(A772,GM_Table,13,FALSE))),"")</f>
        <v/>
      </c>
    </row>
    <row r="773" spans="1:18" ht="15" x14ac:dyDescent="0.2">
      <c r="A773" s="193" t="s">
        <v>2745</v>
      </c>
      <c r="B773" s="9" t="s">
        <v>3290</v>
      </c>
      <c r="C773" s="9" t="s">
        <v>3291</v>
      </c>
      <c r="D773" s="252">
        <v>3.79</v>
      </c>
      <c r="E773" s="245">
        <v>2379</v>
      </c>
      <c r="F773" s="246">
        <v>2258</v>
      </c>
      <c r="G773" s="247">
        <v>1375</v>
      </c>
      <c r="H773" s="9">
        <v>0</v>
      </c>
      <c r="I773" s="255">
        <v>0</v>
      </c>
      <c r="J773" s="122" t="b">
        <f>IF(ISBLANK(CertifiedCrop[[#This Row],[1. Identifiant interne d’exploitation agricole*]]),"",IF(ISERROR(MATCH(CertifiedCrop[[#This Row],[1. Identifiant interne d’exploitation agricole*]],GroupMember[1. Identifiant interne d’exploitation agricole*],0)),FALSE,TRUE))</f>
        <v>1</v>
      </c>
      <c r="K773" s="122" t="b">
        <f t="array" ref="K773">IF(ISBLANK(CertifiedCrop[[#This Row],[2. Produit agricole certifié*]]),"",IF(ISERROR(MATCH(1,(#REF!=CertifiedCrop[[#This Row],[2. Produit agricole certifié*]])*(#REF!=CertifiedCrop[[#This Row],[3. Variété**]]),0)),FALSE,TRUE))</f>
        <v>0</v>
      </c>
      <c r="L773" s="20" t="str">
        <f t="shared" si="60"/>
        <v/>
      </c>
      <c r="M773" s="54" t="str">
        <f t="shared" si="61"/>
        <v>!</v>
      </c>
      <c r="N773" s="54" t="str">
        <f t="shared" si="62"/>
        <v/>
      </c>
      <c r="O773" s="55">
        <f t="shared" si="63"/>
        <v>627.70448548812669</v>
      </c>
      <c r="P773" s="55">
        <f t="shared" si="64"/>
        <v>595.77836411609496</v>
      </c>
      <c r="Q773" s="9" t="str">
        <f ca="1">IFERROR((VLOOKUP(A773,GM_Table,8,FALSE)-SUMIFS(D:D,A:A,A773,B:B,B773,C:C,C773)),"")</f>
        <v/>
      </c>
      <c r="R773" s="9" t="str">
        <f ca="1">IFERROR(CONCATENATE(VLOOKUP(A773,GM_Table,12,FALSE)," ",(VLOOKUP(A773,GM_Table,13,FALSE))),"")</f>
        <v/>
      </c>
    </row>
    <row r="774" spans="1:18" ht="15" x14ac:dyDescent="0.2">
      <c r="A774" s="193" t="s">
        <v>2746</v>
      </c>
      <c r="B774" s="9" t="s">
        <v>3290</v>
      </c>
      <c r="C774" s="9" t="s">
        <v>3291</v>
      </c>
      <c r="D774" s="252">
        <v>1.87</v>
      </c>
      <c r="E774" s="245">
        <v>1134</v>
      </c>
      <c r="F774" s="246">
        <v>1101</v>
      </c>
      <c r="G774" s="247">
        <v>1101</v>
      </c>
      <c r="H774" s="9">
        <v>0</v>
      </c>
      <c r="I774" s="255">
        <v>0</v>
      </c>
      <c r="J774" s="122" t="b">
        <f>IF(ISBLANK(CertifiedCrop[[#This Row],[1. Identifiant interne d’exploitation agricole*]]),"",IF(ISERROR(MATCH(CertifiedCrop[[#This Row],[1. Identifiant interne d’exploitation agricole*]],GroupMember[1. Identifiant interne d’exploitation agricole*],0)),FALSE,TRUE))</f>
        <v>1</v>
      </c>
      <c r="K774" s="122" t="b">
        <f t="array" ref="K774">IF(ISBLANK(CertifiedCrop[[#This Row],[2. Produit agricole certifié*]]),"",IF(ISERROR(MATCH(1,(#REF!=CertifiedCrop[[#This Row],[2. Produit agricole certifié*]])*(#REF!=CertifiedCrop[[#This Row],[3. Variété**]]),0)),FALSE,TRUE))</f>
        <v>0</v>
      </c>
      <c r="L774" s="20" t="str">
        <f t="shared" si="60"/>
        <v/>
      </c>
      <c r="M774" s="54" t="str">
        <f t="shared" si="61"/>
        <v/>
      </c>
      <c r="N774" s="54" t="str">
        <f t="shared" si="62"/>
        <v/>
      </c>
      <c r="O774" s="55">
        <f t="shared" si="63"/>
        <v>606.4171122994652</v>
      </c>
      <c r="P774" s="55">
        <f t="shared" si="64"/>
        <v>588.77005347593581</v>
      </c>
      <c r="Q774" s="9" t="str">
        <f ca="1">IFERROR((VLOOKUP(A774,GM_Table,8,FALSE)-SUMIFS(D:D,A:A,A774,B:B,B774,C:C,C774)),"")</f>
        <v/>
      </c>
      <c r="R774" s="9" t="str">
        <f ca="1">IFERROR(CONCATENATE(VLOOKUP(A774,GM_Table,12,FALSE)," ",(VLOOKUP(A774,GM_Table,13,FALSE))),"")</f>
        <v/>
      </c>
    </row>
    <row r="775" spans="1:18" ht="15" x14ac:dyDescent="0.2">
      <c r="A775" s="193" t="s">
        <v>2747</v>
      </c>
      <c r="B775" s="9" t="s">
        <v>3290</v>
      </c>
      <c r="C775" s="9" t="s">
        <v>3291</v>
      </c>
      <c r="D775" s="252">
        <v>1.74</v>
      </c>
      <c r="E775" s="245">
        <v>1028</v>
      </c>
      <c r="F775" s="246">
        <v>975</v>
      </c>
      <c r="G775" s="247">
        <v>837</v>
      </c>
      <c r="H775" s="9">
        <v>0</v>
      </c>
      <c r="I775" s="255">
        <v>0</v>
      </c>
      <c r="J775" s="122" t="b">
        <f>IF(ISBLANK(CertifiedCrop[[#This Row],[1. Identifiant interne d’exploitation agricole*]]),"",IF(ISERROR(MATCH(CertifiedCrop[[#This Row],[1. Identifiant interne d’exploitation agricole*]],GroupMember[1. Identifiant interne d’exploitation agricole*],0)),FALSE,TRUE))</f>
        <v>1</v>
      </c>
      <c r="K775" s="122" t="b">
        <f t="array" ref="K775">IF(ISBLANK(CertifiedCrop[[#This Row],[2. Produit agricole certifié*]]),"",IF(ISERROR(MATCH(1,(#REF!=CertifiedCrop[[#This Row],[2. Produit agricole certifié*]])*(#REF!=CertifiedCrop[[#This Row],[3. Variété**]]),0)),FALSE,TRUE))</f>
        <v>0</v>
      </c>
      <c r="L775" s="20" t="str">
        <f t="shared" si="60"/>
        <v/>
      </c>
      <c r="M775" s="54" t="str">
        <f t="shared" si="61"/>
        <v/>
      </c>
      <c r="N775" s="54" t="str">
        <f t="shared" si="62"/>
        <v/>
      </c>
      <c r="O775" s="55">
        <f t="shared" si="63"/>
        <v>590.80459770114942</v>
      </c>
      <c r="P775" s="55">
        <f t="shared" si="64"/>
        <v>560.34482758620686</v>
      </c>
      <c r="Q775" s="9" t="str">
        <f ca="1">IFERROR((VLOOKUP(A775,GM_Table,8,FALSE)-SUMIFS(D:D,A:A,A775,B:B,B775,C:C,C775)),"")</f>
        <v/>
      </c>
      <c r="R775" s="9" t="str">
        <f ca="1">IFERROR(CONCATENATE(VLOOKUP(A775,GM_Table,12,FALSE)," ",(VLOOKUP(A775,GM_Table,13,FALSE))),"")</f>
        <v/>
      </c>
    </row>
    <row r="776" spans="1:18" ht="15" x14ac:dyDescent="0.2">
      <c r="A776" s="193" t="s">
        <v>2749</v>
      </c>
      <c r="B776" s="9" t="s">
        <v>3290</v>
      </c>
      <c r="C776" s="9" t="s">
        <v>3291</v>
      </c>
      <c r="D776" s="252">
        <v>2.71</v>
      </c>
      <c r="E776" s="245">
        <v>1607</v>
      </c>
      <c r="F776" s="246">
        <v>1562</v>
      </c>
      <c r="G776" s="247">
        <v>1238</v>
      </c>
      <c r="H776" s="9">
        <v>0</v>
      </c>
      <c r="I776" s="255">
        <v>0</v>
      </c>
      <c r="J776" s="122" t="b">
        <f>IF(ISBLANK(CertifiedCrop[[#This Row],[1. Identifiant interne d’exploitation agricole*]]),"",IF(ISERROR(MATCH(CertifiedCrop[[#This Row],[1. Identifiant interne d’exploitation agricole*]],GroupMember[1. Identifiant interne d’exploitation agricole*],0)),FALSE,TRUE))</f>
        <v>1</v>
      </c>
      <c r="K776" s="122" t="b">
        <f t="array" ref="K776">IF(ISBLANK(CertifiedCrop[[#This Row],[2. Produit agricole certifié*]]),"",IF(ISERROR(MATCH(1,(#REF!=CertifiedCrop[[#This Row],[2. Produit agricole certifié*]])*(#REF!=CertifiedCrop[[#This Row],[3. Variété**]]),0)),FALSE,TRUE))</f>
        <v>0</v>
      </c>
      <c r="L776" s="20" t="str">
        <f t="shared" si="60"/>
        <v/>
      </c>
      <c r="M776" s="54" t="str">
        <f t="shared" si="61"/>
        <v>!</v>
      </c>
      <c r="N776" s="54" t="str">
        <f t="shared" si="62"/>
        <v/>
      </c>
      <c r="O776" s="55">
        <f t="shared" si="63"/>
        <v>592.9889298892989</v>
      </c>
      <c r="P776" s="55">
        <f t="shared" si="64"/>
        <v>576.38376383763841</v>
      </c>
      <c r="Q776" s="9" t="str">
        <f ca="1">IFERROR((VLOOKUP(A776,GM_Table,8,FALSE)-SUMIFS(D:D,A:A,A776,B:B,B776,C:C,C776)),"")</f>
        <v/>
      </c>
      <c r="R776" s="9" t="str">
        <f ca="1">IFERROR(CONCATENATE(VLOOKUP(A776,GM_Table,12,FALSE)," ",(VLOOKUP(A776,GM_Table,13,FALSE))),"")</f>
        <v/>
      </c>
    </row>
    <row r="777" spans="1:18" ht="15" x14ac:dyDescent="0.2">
      <c r="A777" s="193" t="s">
        <v>2751</v>
      </c>
      <c r="B777" s="9" t="s">
        <v>3290</v>
      </c>
      <c r="C777" s="9" t="s">
        <v>3291</v>
      </c>
      <c r="D777" s="252">
        <v>5.12</v>
      </c>
      <c r="E777" s="245">
        <v>2884</v>
      </c>
      <c r="F777" s="246">
        <v>2699</v>
      </c>
      <c r="G777" s="247">
        <v>2400</v>
      </c>
      <c r="H777" s="9">
        <v>0</v>
      </c>
      <c r="I777" s="255">
        <v>0</v>
      </c>
      <c r="J777" s="122" t="b">
        <f>IF(ISBLANK(CertifiedCrop[[#This Row],[1. Identifiant interne d’exploitation agricole*]]),"",IF(ISERROR(MATCH(CertifiedCrop[[#This Row],[1. Identifiant interne d’exploitation agricole*]],GroupMember[1. Identifiant interne d’exploitation agricole*],0)),FALSE,TRUE))</f>
        <v>1</v>
      </c>
      <c r="K777" s="122" t="b">
        <f t="array" ref="K777">IF(ISBLANK(CertifiedCrop[[#This Row],[2. Produit agricole certifié*]]),"",IF(ISERROR(MATCH(1,(#REF!=CertifiedCrop[[#This Row],[2. Produit agricole certifié*]])*(#REF!=CertifiedCrop[[#This Row],[3. Variété**]]),0)),FALSE,TRUE))</f>
        <v>0</v>
      </c>
      <c r="L777" s="20" t="str">
        <f t="shared" si="60"/>
        <v/>
      </c>
      <c r="M777" s="54" t="str">
        <f t="shared" si="61"/>
        <v/>
      </c>
      <c r="N777" s="54" t="str">
        <f t="shared" si="62"/>
        <v/>
      </c>
      <c r="O777" s="55">
        <f t="shared" si="63"/>
        <v>563.28125</v>
      </c>
      <c r="P777" s="55">
        <f t="shared" si="64"/>
        <v>527.1484375</v>
      </c>
      <c r="Q777" s="9" t="str">
        <f ca="1">IFERROR((VLOOKUP(A777,GM_Table,8,FALSE)-SUMIFS(D:D,A:A,A777,B:B,B777,C:C,C777)),"")</f>
        <v/>
      </c>
      <c r="R777" s="9" t="str">
        <f ca="1">IFERROR(CONCATENATE(VLOOKUP(A777,GM_Table,12,FALSE)," ",(VLOOKUP(A777,GM_Table,13,FALSE))),"")</f>
        <v/>
      </c>
    </row>
    <row r="778" spans="1:18" ht="15" x14ac:dyDescent="0.2">
      <c r="A778" s="193" t="s">
        <v>2752</v>
      </c>
      <c r="B778" s="9" t="s">
        <v>3290</v>
      </c>
      <c r="C778" s="9" t="s">
        <v>3291</v>
      </c>
      <c r="D778" s="252">
        <v>1.61</v>
      </c>
      <c r="E778" s="221">
        <v>789</v>
      </c>
      <c r="F778" s="246">
        <v>756</v>
      </c>
      <c r="G778" s="247">
        <v>521</v>
      </c>
      <c r="H778" s="9">
        <v>0</v>
      </c>
      <c r="I778" s="255">
        <v>0</v>
      </c>
      <c r="J778" s="122" t="b">
        <f>IF(ISBLANK(CertifiedCrop[[#This Row],[1. Identifiant interne d’exploitation agricole*]]),"",IF(ISERROR(MATCH(CertifiedCrop[[#This Row],[1. Identifiant interne d’exploitation agricole*]],GroupMember[1. Identifiant interne d’exploitation agricole*],0)),FALSE,TRUE))</f>
        <v>1</v>
      </c>
      <c r="K778" s="122" t="b">
        <f t="array" ref="K778">IF(ISBLANK(CertifiedCrop[[#This Row],[2. Produit agricole certifié*]]),"",IF(ISERROR(MATCH(1,(#REF!=CertifiedCrop[[#This Row],[2. Produit agricole certifié*]])*(#REF!=CertifiedCrop[[#This Row],[3. Variété**]]),0)),FALSE,TRUE))</f>
        <v>0</v>
      </c>
      <c r="L778" s="20" t="str">
        <f t="shared" si="60"/>
        <v/>
      </c>
      <c r="M778" s="54" t="str">
        <f t="shared" si="61"/>
        <v>!</v>
      </c>
      <c r="N778" s="54" t="str">
        <f t="shared" si="62"/>
        <v/>
      </c>
      <c r="O778" s="55">
        <f t="shared" si="63"/>
        <v>490.06211180124222</v>
      </c>
      <c r="P778" s="55">
        <f t="shared" si="64"/>
        <v>469.56521739130432</v>
      </c>
      <c r="Q778" s="9" t="str">
        <f ca="1">IFERROR((VLOOKUP(A778,GM_Table,8,FALSE)-SUMIFS(D:D,A:A,A778,B:B,B778,C:C,C778)),"")</f>
        <v/>
      </c>
      <c r="R778" s="9" t="str">
        <f ca="1">IFERROR(CONCATENATE(VLOOKUP(A778,GM_Table,12,FALSE)," ",(VLOOKUP(A778,GM_Table,13,FALSE))),"")</f>
        <v/>
      </c>
    </row>
    <row r="779" spans="1:18" ht="15" x14ac:dyDescent="0.2">
      <c r="A779" s="193" t="s">
        <v>2754</v>
      </c>
      <c r="B779" s="9" t="s">
        <v>3290</v>
      </c>
      <c r="C779" s="9" t="s">
        <v>3291</v>
      </c>
      <c r="D779" s="252">
        <v>1.05</v>
      </c>
      <c r="E779" s="221">
        <v>564</v>
      </c>
      <c r="F779" s="246">
        <v>554</v>
      </c>
      <c r="G779" s="247">
        <v>151</v>
      </c>
      <c r="H779" s="9">
        <v>0</v>
      </c>
      <c r="I779" s="255">
        <v>0</v>
      </c>
      <c r="J779" s="122" t="b">
        <f>IF(ISBLANK(CertifiedCrop[[#This Row],[1. Identifiant interne d’exploitation agricole*]]),"",IF(ISERROR(MATCH(CertifiedCrop[[#This Row],[1. Identifiant interne d’exploitation agricole*]],GroupMember[1. Identifiant interne d’exploitation agricole*],0)),FALSE,TRUE))</f>
        <v>1</v>
      </c>
      <c r="K779" s="122" t="b">
        <f t="array" ref="K779">IF(ISBLANK(CertifiedCrop[[#This Row],[2. Produit agricole certifié*]]),"",IF(ISERROR(MATCH(1,(#REF!=CertifiedCrop[[#This Row],[2. Produit agricole certifié*]])*(#REF!=CertifiedCrop[[#This Row],[3. Variété**]]),0)),FALSE,TRUE))</f>
        <v>0</v>
      </c>
      <c r="L779" s="20" t="str">
        <f t="shared" si="60"/>
        <v/>
      </c>
      <c r="M779" s="54" t="str">
        <f t="shared" si="61"/>
        <v>!</v>
      </c>
      <c r="N779" s="54" t="str">
        <f t="shared" si="62"/>
        <v/>
      </c>
      <c r="O779" s="55">
        <f t="shared" si="63"/>
        <v>537.14285714285711</v>
      </c>
      <c r="P779" s="55">
        <f t="shared" si="64"/>
        <v>527.61904761904759</v>
      </c>
      <c r="Q779" s="9" t="str">
        <f ca="1">IFERROR((VLOOKUP(A779,GM_Table,8,FALSE)-SUMIFS(D:D,A:A,A779,B:B,B779,C:C,C779)),"")</f>
        <v/>
      </c>
      <c r="R779" s="9" t="str">
        <f ca="1">IFERROR(CONCATENATE(VLOOKUP(A779,GM_Table,12,FALSE)," ",(VLOOKUP(A779,GM_Table,13,FALSE))),"")</f>
        <v/>
      </c>
    </row>
    <row r="780" spans="1:18" ht="15" x14ac:dyDescent="0.2">
      <c r="A780" s="193" t="s">
        <v>2756</v>
      </c>
      <c r="B780" s="9" t="s">
        <v>3290</v>
      </c>
      <c r="C780" s="9" t="s">
        <v>3291</v>
      </c>
      <c r="D780" s="252">
        <v>1.26</v>
      </c>
      <c r="E780" s="221">
        <v>628</v>
      </c>
      <c r="F780" s="246">
        <v>603</v>
      </c>
      <c r="G780" s="247">
        <v>247</v>
      </c>
      <c r="H780" s="9">
        <v>0</v>
      </c>
      <c r="I780" s="255">
        <v>0</v>
      </c>
      <c r="J780" s="122" t="b">
        <f>IF(ISBLANK(CertifiedCrop[[#This Row],[1. Identifiant interne d’exploitation agricole*]]),"",IF(ISERROR(MATCH(CertifiedCrop[[#This Row],[1. Identifiant interne d’exploitation agricole*]],GroupMember[1. Identifiant interne d’exploitation agricole*],0)),FALSE,TRUE))</f>
        <v>1</v>
      </c>
      <c r="K780" s="122" t="b">
        <f t="array" ref="K780">IF(ISBLANK(CertifiedCrop[[#This Row],[2. Produit agricole certifié*]]),"",IF(ISERROR(MATCH(1,(#REF!=CertifiedCrop[[#This Row],[2. Produit agricole certifié*]])*(#REF!=CertifiedCrop[[#This Row],[3. Variété**]]),0)),FALSE,TRUE))</f>
        <v>0</v>
      </c>
      <c r="L780" s="20" t="str">
        <f t="shared" si="60"/>
        <v/>
      </c>
      <c r="M780" s="54" t="str">
        <f t="shared" si="61"/>
        <v>!</v>
      </c>
      <c r="N780" s="54" t="str">
        <f t="shared" si="62"/>
        <v/>
      </c>
      <c r="O780" s="55">
        <f t="shared" si="63"/>
        <v>498.41269841269843</v>
      </c>
      <c r="P780" s="55">
        <f t="shared" si="64"/>
        <v>478.57142857142856</v>
      </c>
      <c r="Q780" s="9" t="str">
        <f ca="1">IFERROR((VLOOKUP(A780,GM_Table,8,FALSE)-SUMIFS(D:D,A:A,A780,B:B,B780,C:C,C780)),"")</f>
        <v/>
      </c>
      <c r="R780" s="9" t="str">
        <f ca="1">IFERROR(CONCATENATE(VLOOKUP(A780,GM_Table,12,FALSE)," ",(VLOOKUP(A780,GM_Table,13,FALSE))),"")</f>
        <v/>
      </c>
    </row>
    <row r="781" spans="1:18" ht="15" x14ac:dyDescent="0.2">
      <c r="A781" s="193" t="s">
        <v>2758</v>
      </c>
      <c r="B781" s="9" t="s">
        <v>3290</v>
      </c>
      <c r="C781" s="9" t="s">
        <v>3291</v>
      </c>
      <c r="D781" s="252">
        <v>2.73</v>
      </c>
      <c r="E781" s="245">
        <v>1483</v>
      </c>
      <c r="F781" s="246">
        <v>1369</v>
      </c>
      <c r="G781" s="247">
        <v>1031</v>
      </c>
      <c r="H781" s="9">
        <v>0</v>
      </c>
      <c r="I781" s="255">
        <v>0</v>
      </c>
      <c r="J781" s="122" t="b">
        <f>IF(ISBLANK(CertifiedCrop[[#This Row],[1. Identifiant interne d’exploitation agricole*]]),"",IF(ISERROR(MATCH(CertifiedCrop[[#This Row],[1. Identifiant interne d’exploitation agricole*]],GroupMember[1. Identifiant interne d’exploitation agricole*],0)),FALSE,TRUE))</f>
        <v>1</v>
      </c>
      <c r="K781" s="122" t="b">
        <f t="array" ref="K781">IF(ISBLANK(CertifiedCrop[[#This Row],[2. Produit agricole certifié*]]),"",IF(ISERROR(MATCH(1,(#REF!=CertifiedCrop[[#This Row],[2. Produit agricole certifié*]])*(#REF!=CertifiedCrop[[#This Row],[3. Variété**]]),0)),FALSE,TRUE))</f>
        <v>0</v>
      </c>
      <c r="L781" s="20" t="str">
        <f t="shared" si="60"/>
        <v/>
      </c>
      <c r="M781" s="54" t="str">
        <f t="shared" si="61"/>
        <v>!</v>
      </c>
      <c r="N781" s="54" t="str">
        <f t="shared" si="62"/>
        <v/>
      </c>
      <c r="O781" s="55">
        <f t="shared" si="63"/>
        <v>543.22344322344327</v>
      </c>
      <c r="P781" s="55">
        <f t="shared" si="64"/>
        <v>501.46520146520146</v>
      </c>
      <c r="Q781" s="9" t="str">
        <f ca="1">IFERROR((VLOOKUP(A781,GM_Table,8,FALSE)-SUMIFS(D:D,A:A,A781,B:B,B781,C:C,C781)),"")</f>
        <v/>
      </c>
      <c r="R781" s="9" t="str">
        <f ca="1">IFERROR(CONCATENATE(VLOOKUP(A781,GM_Table,12,FALSE)," ",(VLOOKUP(A781,GM_Table,13,FALSE))),"")</f>
        <v/>
      </c>
    </row>
    <row r="782" spans="1:18" ht="15" x14ac:dyDescent="0.2">
      <c r="A782" s="193" t="s">
        <v>2760</v>
      </c>
      <c r="B782" s="9" t="s">
        <v>3290</v>
      </c>
      <c r="C782" s="9" t="s">
        <v>3291</v>
      </c>
      <c r="D782" s="252">
        <v>3.68</v>
      </c>
      <c r="E782" s="245">
        <v>2300</v>
      </c>
      <c r="F782" s="246">
        <v>2245</v>
      </c>
      <c r="G782" s="247">
        <v>2018</v>
      </c>
      <c r="H782" s="9">
        <v>0</v>
      </c>
      <c r="I782" s="255">
        <v>0</v>
      </c>
      <c r="J782" s="122" t="b">
        <f>IF(ISBLANK(CertifiedCrop[[#This Row],[1. Identifiant interne d’exploitation agricole*]]),"",IF(ISERROR(MATCH(CertifiedCrop[[#This Row],[1. Identifiant interne d’exploitation agricole*]],GroupMember[1. Identifiant interne d’exploitation agricole*],0)),FALSE,TRUE))</f>
        <v>1</v>
      </c>
      <c r="K782" s="122" t="b">
        <f t="array" ref="K782">IF(ISBLANK(CertifiedCrop[[#This Row],[2. Produit agricole certifié*]]),"",IF(ISERROR(MATCH(1,(#REF!=CertifiedCrop[[#This Row],[2. Produit agricole certifié*]])*(#REF!=CertifiedCrop[[#This Row],[3. Variété**]]),0)),FALSE,TRUE))</f>
        <v>0</v>
      </c>
      <c r="L782" s="20" t="str">
        <f t="shared" si="60"/>
        <v/>
      </c>
      <c r="M782" s="54" t="str">
        <f t="shared" si="61"/>
        <v/>
      </c>
      <c r="N782" s="54" t="str">
        <f t="shared" si="62"/>
        <v/>
      </c>
      <c r="O782" s="55">
        <f t="shared" si="63"/>
        <v>625</v>
      </c>
      <c r="P782" s="55">
        <f t="shared" si="64"/>
        <v>610.05434782608688</v>
      </c>
      <c r="Q782" s="9" t="str">
        <f ca="1">IFERROR((VLOOKUP(A782,GM_Table,8,FALSE)-SUMIFS(D:D,A:A,A782,B:B,B782,C:C,C782)),"")</f>
        <v/>
      </c>
      <c r="R782" s="9" t="str">
        <f ca="1">IFERROR(CONCATENATE(VLOOKUP(A782,GM_Table,12,FALSE)," ",(VLOOKUP(A782,GM_Table,13,FALSE))),"")</f>
        <v/>
      </c>
    </row>
    <row r="783" spans="1:18" ht="15" x14ac:dyDescent="0.2">
      <c r="A783" s="193" t="s">
        <v>2761</v>
      </c>
      <c r="B783" s="9" t="s">
        <v>3290</v>
      </c>
      <c r="C783" s="9" t="s">
        <v>3291</v>
      </c>
      <c r="D783" s="252">
        <v>1.92</v>
      </c>
      <c r="E783" s="245">
        <v>1106</v>
      </c>
      <c r="F783" s="246">
        <v>1022</v>
      </c>
      <c r="G783" s="247">
        <v>1022</v>
      </c>
      <c r="H783" s="9">
        <v>0</v>
      </c>
      <c r="I783" s="255">
        <v>0</v>
      </c>
      <c r="J783" s="122" t="b">
        <f>IF(ISBLANK(CertifiedCrop[[#This Row],[1. Identifiant interne d’exploitation agricole*]]),"",IF(ISERROR(MATCH(CertifiedCrop[[#This Row],[1. Identifiant interne d’exploitation agricole*]],GroupMember[1. Identifiant interne d’exploitation agricole*],0)),FALSE,TRUE))</f>
        <v>1</v>
      </c>
      <c r="K783" s="122" t="b">
        <f t="array" ref="K783">IF(ISBLANK(CertifiedCrop[[#This Row],[2. Produit agricole certifié*]]),"",IF(ISERROR(MATCH(1,(#REF!=CertifiedCrop[[#This Row],[2. Produit agricole certifié*]])*(#REF!=CertifiedCrop[[#This Row],[3. Variété**]]),0)),FALSE,TRUE))</f>
        <v>0</v>
      </c>
      <c r="L783" s="20" t="str">
        <f t="shared" si="60"/>
        <v/>
      </c>
      <c r="M783" s="54" t="str">
        <f t="shared" si="61"/>
        <v/>
      </c>
      <c r="N783" s="54" t="str">
        <f t="shared" si="62"/>
        <v/>
      </c>
      <c r="O783" s="55">
        <f t="shared" si="63"/>
        <v>576.04166666666674</v>
      </c>
      <c r="P783" s="55">
        <f t="shared" si="64"/>
        <v>532.29166666666674</v>
      </c>
      <c r="Q783" s="9" t="str">
        <f ca="1">IFERROR((VLOOKUP(A783,GM_Table,8,FALSE)-SUMIFS(D:D,A:A,A783,B:B,B783,C:C,C783)),"")</f>
        <v/>
      </c>
      <c r="R783" s="9" t="str">
        <f ca="1">IFERROR(CONCATENATE(VLOOKUP(A783,GM_Table,12,FALSE)," ",(VLOOKUP(A783,GM_Table,13,FALSE))),"")</f>
        <v/>
      </c>
    </row>
    <row r="784" spans="1:18" ht="15" x14ac:dyDescent="0.2">
      <c r="A784" s="193" t="s">
        <v>2763</v>
      </c>
      <c r="B784" s="9" t="s">
        <v>3290</v>
      </c>
      <c r="C784" s="9" t="s">
        <v>3291</v>
      </c>
      <c r="D784" s="252">
        <v>1.96</v>
      </c>
      <c r="E784" s="245">
        <v>1008</v>
      </c>
      <c r="F784" s="246">
        <v>973</v>
      </c>
      <c r="G784" s="247">
        <v>631</v>
      </c>
      <c r="H784" s="9">
        <v>0</v>
      </c>
      <c r="I784" s="255">
        <v>0</v>
      </c>
      <c r="J784" s="122" t="b">
        <f>IF(ISBLANK(CertifiedCrop[[#This Row],[1. Identifiant interne d’exploitation agricole*]]),"",IF(ISERROR(MATCH(CertifiedCrop[[#This Row],[1. Identifiant interne d’exploitation agricole*]],GroupMember[1. Identifiant interne d’exploitation agricole*],0)),FALSE,TRUE))</f>
        <v>1</v>
      </c>
      <c r="K784" s="122" t="b">
        <f t="array" ref="K784">IF(ISBLANK(CertifiedCrop[[#This Row],[2. Produit agricole certifié*]]),"",IF(ISERROR(MATCH(1,(#REF!=CertifiedCrop[[#This Row],[2. Produit agricole certifié*]])*(#REF!=CertifiedCrop[[#This Row],[3. Variété**]]),0)),FALSE,TRUE))</f>
        <v>0</v>
      </c>
      <c r="L784" s="20" t="str">
        <f t="shared" si="60"/>
        <v/>
      </c>
      <c r="M784" s="54" t="str">
        <f t="shared" si="61"/>
        <v>!</v>
      </c>
      <c r="N784" s="54" t="str">
        <f t="shared" si="62"/>
        <v/>
      </c>
      <c r="O784" s="55">
        <f t="shared" si="63"/>
        <v>514.28571428571433</v>
      </c>
      <c r="P784" s="55">
        <f t="shared" si="64"/>
        <v>496.42857142857144</v>
      </c>
      <c r="Q784" s="9" t="str">
        <f ca="1">IFERROR((VLOOKUP(A784,GM_Table,8,FALSE)-SUMIFS(D:D,A:A,A784,B:B,B784,C:C,C784)),"")</f>
        <v/>
      </c>
      <c r="R784" s="9" t="str">
        <f ca="1">IFERROR(CONCATENATE(VLOOKUP(A784,GM_Table,12,FALSE)," ",(VLOOKUP(A784,GM_Table,13,FALSE))),"")</f>
        <v/>
      </c>
    </row>
    <row r="785" spans="1:18" ht="15" x14ac:dyDescent="0.2">
      <c r="A785" s="193" t="s">
        <v>2764</v>
      </c>
      <c r="B785" s="9" t="s">
        <v>3290</v>
      </c>
      <c r="C785" s="9" t="s">
        <v>3291</v>
      </c>
      <c r="D785" s="252">
        <v>0.92</v>
      </c>
      <c r="E785" s="221">
        <v>458</v>
      </c>
      <c r="F785" s="246">
        <v>426</v>
      </c>
      <c r="G785" s="247">
        <v>144</v>
      </c>
      <c r="H785" s="9">
        <v>0</v>
      </c>
      <c r="I785" s="255">
        <v>0</v>
      </c>
      <c r="J785" s="122" t="b">
        <f>IF(ISBLANK(CertifiedCrop[[#This Row],[1. Identifiant interne d’exploitation agricole*]]),"",IF(ISERROR(MATCH(CertifiedCrop[[#This Row],[1. Identifiant interne d’exploitation agricole*]],GroupMember[1. Identifiant interne d’exploitation agricole*],0)),FALSE,TRUE))</f>
        <v>1</v>
      </c>
      <c r="K785" s="122" t="b">
        <f t="array" ref="K785">IF(ISBLANK(CertifiedCrop[[#This Row],[2. Produit agricole certifié*]]),"",IF(ISERROR(MATCH(1,(#REF!=CertifiedCrop[[#This Row],[2. Produit agricole certifié*]])*(#REF!=CertifiedCrop[[#This Row],[3. Variété**]]),0)),FALSE,TRUE))</f>
        <v>0</v>
      </c>
      <c r="L785" s="20" t="str">
        <f t="shared" si="60"/>
        <v/>
      </c>
      <c r="M785" s="54" t="str">
        <f t="shared" si="61"/>
        <v>!</v>
      </c>
      <c r="N785" s="54" t="str">
        <f t="shared" si="62"/>
        <v/>
      </c>
      <c r="O785" s="55">
        <f t="shared" si="63"/>
        <v>497.82608695652169</v>
      </c>
      <c r="P785" s="55">
        <f t="shared" si="64"/>
        <v>463.04347826086956</v>
      </c>
      <c r="Q785" s="9" t="str">
        <f ca="1">IFERROR((VLOOKUP(A785,GM_Table,8,FALSE)-SUMIFS(D:D,A:A,A785,B:B,B785,C:C,C785)),"")</f>
        <v/>
      </c>
      <c r="R785" s="9" t="str">
        <f ca="1">IFERROR(CONCATENATE(VLOOKUP(A785,GM_Table,12,FALSE)," ",(VLOOKUP(A785,GM_Table,13,FALSE))),"")</f>
        <v/>
      </c>
    </row>
    <row r="786" spans="1:18" ht="15" x14ac:dyDescent="0.2">
      <c r="A786" s="193" t="s">
        <v>2766</v>
      </c>
      <c r="B786" s="9" t="s">
        <v>3290</v>
      </c>
      <c r="C786" s="9" t="s">
        <v>3291</v>
      </c>
      <c r="D786" s="252">
        <v>2.75</v>
      </c>
      <c r="E786" s="245">
        <v>1718</v>
      </c>
      <c r="F786" s="246">
        <v>1679</v>
      </c>
      <c r="G786" s="247">
        <v>241</v>
      </c>
      <c r="H786" s="9">
        <v>0</v>
      </c>
      <c r="I786" s="255">
        <v>0</v>
      </c>
      <c r="J786" s="122" t="b">
        <f>IF(ISBLANK(CertifiedCrop[[#This Row],[1. Identifiant interne d’exploitation agricole*]]),"",IF(ISERROR(MATCH(CertifiedCrop[[#This Row],[1. Identifiant interne d’exploitation agricole*]],GroupMember[1. Identifiant interne d’exploitation agricole*],0)),FALSE,TRUE))</f>
        <v>1</v>
      </c>
      <c r="K786" s="122" t="b">
        <f t="array" ref="K786">IF(ISBLANK(CertifiedCrop[[#This Row],[2. Produit agricole certifié*]]),"",IF(ISERROR(MATCH(1,(#REF!=CertifiedCrop[[#This Row],[2. Produit agricole certifié*]])*(#REF!=CertifiedCrop[[#This Row],[3. Variété**]]),0)),FALSE,TRUE))</f>
        <v>0</v>
      </c>
      <c r="L786" s="20" t="str">
        <f t="shared" si="60"/>
        <v/>
      </c>
      <c r="M786" s="54" t="str">
        <f t="shared" si="61"/>
        <v>!</v>
      </c>
      <c r="N786" s="54" t="str">
        <f t="shared" si="62"/>
        <v/>
      </c>
      <c r="O786" s="55">
        <f t="shared" si="63"/>
        <v>624.72727272727275</v>
      </c>
      <c r="P786" s="55">
        <f t="shared" si="64"/>
        <v>610.5454545454545</v>
      </c>
      <c r="Q786" s="9" t="str">
        <f ca="1">IFERROR((VLOOKUP(A786,GM_Table,8,FALSE)-SUMIFS(D:D,A:A,A786,B:B,B786,C:C,C786)),"")</f>
        <v/>
      </c>
      <c r="R786" s="9" t="str">
        <f ca="1">IFERROR(CONCATENATE(VLOOKUP(A786,GM_Table,12,FALSE)," ",(VLOOKUP(A786,GM_Table,13,FALSE))),"")</f>
        <v/>
      </c>
    </row>
    <row r="787" spans="1:18" ht="15" x14ac:dyDescent="0.2">
      <c r="A787" s="193" t="s">
        <v>2768</v>
      </c>
      <c r="B787" s="9" t="s">
        <v>3290</v>
      </c>
      <c r="C787" s="9" t="s">
        <v>3291</v>
      </c>
      <c r="D787" s="252">
        <v>1.74</v>
      </c>
      <c r="E787" s="245">
        <v>1021</v>
      </c>
      <c r="F787" s="246">
        <v>989</v>
      </c>
      <c r="G787" s="247">
        <v>905</v>
      </c>
      <c r="H787" s="9">
        <v>0</v>
      </c>
      <c r="I787" s="255">
        <v>0</v>
      </c>
      <c r="J787" s="122" t="b">
        <f>IF(ISBLANK(CertifiedCrop[[#This Row],[1. Identifiant interne d’exploitation agricole*]]),"",IF(ISERROR(MATCH(CertifiedCrop[[#This Row],[1. Identifiant interne d’exploitation agricole*]],GroupMember[1. Identifiant interne d’exploitation agricole*],0)),FALSE,TRUE))</f>
        <v>1</v>
      </c>
      <c r="K787" s="122" t="b">
        <f t="array" ref="K787">IF(ISBLANK(CertifiedCrop[[#This Row],[2. Produit agricole certifié*]]),"",IF(ISERROR(MATCH(1,(#REF!=CertifiedCrop[[#This Row],[2. Produit agricole certifié*]])*(#REF!=CertifiedCrop[[#This Row],[3. Variété**]]),0)),FALSE,TRUE))</f>
        <v>0</v>
      </c>
      <c r="L787" s="20" t="str">
        <f t="shared" si="60"/>
        <v/>
      </c>
      <c r="M787" s="54" t="str">
        <f t="shared" si="61"/>
        <v/>
      </c>
      <c r="N787" s="54" t="str">
        <f t="shared" si="62"/>
        <v/>
      </c>
      <c r="O787" s="55">
        <f t="shared" si="63"/>
        <v>586.78160919540232</v>
      </c>
      <c r="P787" s="55">
        <f t="shared" si="64"/>
        <v>568.39080459770116</v>
      </c>
      <c r="Q787" s="9" t="str">
        <f ca="1">IFERROR((VLOOKUP(A787,GM_Table,8,FALSE)-SUMIFS(D:D,A:A,A787,B:B,B787,C:C,C787)),"")</f>
        <v/>
      </c>
      <c r="R787" s="9" t="str">
        <f ca="1">IFERROR(CONCATENATE(VLOOKUP(A787,GM_Table,12,FALSE)," ",(VLOOKUP(A787,GM_Table,13,FALSE))),"")</f>
        <v/>
      </c>
    </row>
    <row r="788" spans="1:18" ht="15" x14ac:dyDescent="0.2">
      <c r="A788" s="193" t="s">
        <v>2769</v>
      </c>
      <c r="B788" s="9" t="s">
        <v>3290</v>
      </c>
      <c r="C788" s="9" t="s">
        <v>3291</v>
      </c>
      <c r="D788" s="252">
        <v>4.9400000000000004</v>
      </c>
      <c r="E788" s="245">
        <v>2520</v>
      </c>
      <c r="F788" s="246">
        <v>2474</v>
      </c>
      <c r="G788" s="247">
        <v>1636</v>
      </c>
      <c r="H788" s="9">
        <v>0</v>
      </c>
      <c r="I788" s="255">
        <v>0</v>
      </c>
      <c r="J788" s="122" t="b">
        <f>IF(ISBLANK(CertifiedCrop[[#This Row],[1. Identifiant interne d’exploitation agricole*]]),"",IF(ISERROR(MATCH(CertifiedCrop[[#This Row],[1. Identifiant interne d’exploitation agricole*]],GroupMember[1. Identifiant interne d’exploitation agricole*],0)),FALSE,TRUE))</f>
        <v>1</v>
      </c>
      <c r="K788" s="122" t="b">
        <f t="array" ref="K788">IF(ISBLANK(CertifiedCrop[[#This Row],[2. Produit agricole certifié*]]),"",IF(ISERROR(MATCH(1,(#REF!=CertifiedCrop[[#This Row],[2. Produit agricole certifié*]])*(#REF!=CertifiedCrop[[#This Row],[3. Variété**]]),0)),FALSE,TRUE))</f>
        <v>0</v>
      </c>
      <c r="L788" s="20" t="str">
        <f t="shared" si="60"/>
        <v/>
      </c>
      <c r="M788" s="54" t="str">
        <f t="shared" si="61"/>
        <v>!</v>
      </c>
      <c r="N788" s="54" t="str">
        <f t="shared" si="62"/>
        <v/>
      </c>
      <c r="O788" s="55">
        <f t="shared" si="63"/>
        <v>510.12145748987848</v>
      </c>
      <c r="P788" s="55">
        <f t="shared" si="64"/>
        <v>500.80971659919027</v>
      </c>
      <c r="Q788" s="9" t="str">
        <f ca="1">IFERROR((VLOOKUP(A788,GM_Table,8,FALSE)-SUMIFS(D:D,A:A,A788,B:B,B788,C:C,C788)),"")</f>
        <v/>
      </c>
      <c r="R788" s="9" t="str">
        <f ca="1">IFERROR(CONCATENATE(VLOOKUP(A788,GM_Table,12,FALSE)," ",(VLOOKUP(A788,GM_Table,13,FALSE))),"")</f>
        <v/>
      </c>
    </row>
    <row r="789" spans="1:18" ht="15" x14ac:dyDescent="0.2">
      <c r="A789" s="193" t="s">
        <v>2770</v>
      </c>
      <c r="B789" s="9" t="s">
        <v>3290</v>
      </c>
      <c r="C789" s="9" t="s">
        <v>3291</v>
      </c>
      <c r="D789" s="252">
        <v>0.97</v>
      </c>
      <c r="E789" s="221">
        <v>483</v>
      </c>
      <c r="F789" s="246">
        <v>462</v>
      </c>
      <c r="G789" s="247">
        <v>207</v>
      </c>
      <c r="H789" s="9">
        <v>0</v>
      </c>
      <c r="I789" s="255">
        <v>0</v>
      </c>
      <c r="J789" s="122" t="b">
        <f>IF(ISBLANK(CertifiedCrop[[#This Row],[1. Identifiant interne d’exploitation agricole*]]),"",IF(ISERROR(MATCH(CertifiedCrop[[#This Row],[1. Identifiant interne d’exploitation agricole*]],GroupMember[1. Identifiant interne d’exploitation agricole*],0)),FALSE,TRUE))</f>
        <v>1</v>
      </c>
      <c r="K789" s="122" t="b">
        <f t="array" ref="K789">IF(ISBLANK(CertifiedCrop[[#This Row],[2. Produit agricole certifié*]]),"",IF(ISERROR(MATCH(1,(#REF!=CertifiedCrop[[#This Row],[2. Produit agricole certifié*]])*(#REF!=CertifiedCrop[[#This Row],[3. Variété**]]),0)),FALSE,TRUE))</f>
        <v>0</v>
      </c>
      <c r="L789" s="20" t="str">
        <f t="shared" si="60"/>
        <v/>
      </c>
      <c r="M789" s="54" t="str">
        <f t="shared" si="61"/>
        <v>!</v>
      </c>
      <c r="N789" s="54" t="str">
        <f t="shared" si="62"/>
        <v/>
      </c>
      <c r="O789" s="55">
        <f t="shared" si="63"/>
        <v>497.93814432989694</v>
      </c>
      <c r="P789" s="55">
        <f t="shared" si="64"/>
        <v>476.28865979381442</v>
      </c>
      <c r="Q789" s="9" t="str">
        <f ca="1">IFERROR((VLOOKUP(A789,GM_Table,8,FALSE)-SUMIFS(D:D,A:A,A789,B:B,B789,C:C,C789)),"")</f>
        <v/>
      </c>
      <c r="R789" s="9" t="str">
        <f ca="1">IFERROR(CONCATENATE(VLOOKUP(A789,GM_Table,12,FALSE)," ",(VLOOKUP(A789,GM_Table,13,FALSE))),"")</f>
        <v/>
      </c>
    </row>
    <row r="790" spans="1:18" ht="15" x14ac:dyDescent="0.2">
      <c r="A790" s="193" t="s">
        <v>2772</v>
      </c>
      <c r="B790" s="9" t="s">
        <v>3290</v>
      </c>
      <c r="C790" s="9" t="s">
        <v>3291</v>
      </c>
      <c r="D790" s="252">
        <v>3.01</v>
      </c>
      <c r="E790" s="245">
        <v>1633</v>
      </c>
      <c r="F790" s="246">
        <v>1526</v>
      </c>
      <c r="G790" s="247">
        <v>1351</v>
      </c>
      <c r="H790" s="9">
        <v>0</v>
      </c>
      <c r="I790" s="255">
        <v>0</v>
      </c>
      <c r="J790" s="122" t="b">
        <f>IF(ISBLANK(CertifiedCrop[[#This Row],[1. Identifiant interne d’exploitation agricole*]]),"",IF(ISERROR(MATCH(CertifiedCrop[[#This Row],[1. Identifiant interne d’exploitation agricole*]],GroupMember[1. Identifiant interne d’exploitation agricole*],0)),FALSE,TRUE))</f>
        <v>1</v>
      </c>
      <c r="K790" s="122" t="b">
        <f t="array" ref="K790">IF(ISBLANK(CertifiedCrop[[#This Row],[2. Produit agricole certifié*]]),"",IF(ISERROR(MATCH(1,(#REF!=CertifiedCrop[[#This Row],[2. Produit agricole certifié*]])*(#REF!=CertifiedCrop[[#This Row],[3. Variété**]]),0)),FALSE,TRUE))</f>
        <v>0</v>
      </c>
      <c r="L790" s="20" t="str">
        <f t="shared" si="60"/>
        <v/>
      </c>
      <c r="M790" s="54" t="str">
        <f t="shared" si="61"/>
        <v/>
      </c>
      <c r="N790" s="54" t="str">
        <f t="shared" si="62"/>
        <v/>
      </c>
      <c r="O790" s="55">
        <f t="shared" si="63"/>
        <v>542.52491694352159</v>
      </c>
      <c r="P790" s="55">
        <f t="shared" si="64"/>
        <v>506.97674418604657</v>
      </c>
      <c r="Q790" s="9" t="str">
        <f ca="1">IFERROR((VLOOKUP(A790,GM_Table,8,FALSE)-SUMIFS(D:D,A:A,A790,B:B,B790,C:C,C790)),"")</f>
        <v/>
      </c>
      <c r="R790" s="9" t="str">
        <f ca="1">IFERROR(CONCATENATE(VLOOKUP(A790,GM_Table,12,FALSE)," ",(VLOOKUP(A790,GM_Table,13,FALSE))),"")</f>
        <v/>
      </c>
    </row>
    <row r="791" spans="1:18" ht="15" x14ac:dyDescent="0.2">
      <c r="A791" s="193" t="s">
        <v>2774</v>
      </c>
      <c r="B791" s="9" t="s">
        <v>3290</v>
      </c>
      <c r="C791" s="9" t="s">
        <v>3291</v>
      </c>
      <c r="D791" s="252">
        <v>2.3199999999999998</v>
      </c>
      <c r="E791" s="245">
        <v>1362</v>
      </c>
      <c r="F791" s="246">
        <v>1299</v>
      </c>
      <c r="G791" s="247">
        <v>318</v>
      </c>
      <c r="H791" s="9">
        <v>0</v>
      </c>
      <c r="I791" s="255">
        <v>0</v>
      </c>
      <c r="J791" s="122" t="b">
        <f>IF(ISBLANK(CertifiedCrop[[#This Row],[1. Identifiant interne d’exploitation agricole*]]),"",IF(ISERROR(MATCH(CertifiedCrop[[#This Row],[1. Identifiant interne d’exploitation agricole*]],GroupMember[1. Identifiant interne d’exploitation agricole*],0)),FALSE,TRUE))</f>
        <v>1</v>
      </c>
      <c r="K791" s="122" t="b">
        <f t="array" ref="K791">IF(ISBLANK(CertifiedCrop[[#This Row],[2. Produit agricole certifié*]]),"",IF(ISERROR(MATCH(1,(#REF!=CertifiedCrop[[#This Row],[2. Produit agricole certifié*]])*(#REF!=CertifiedCrop[[#This Row],[3. Variété**]]),0)),FALSE,TRUE))</f>
        <v>0</v>
      </c>
      <c r="L791" s="20" t="str">
        <f t="shared" si="60"/>
        <v/>
      </c>
      <c r="M791" s="54" t="str">
        <f t="shared" si="61"/>
        <v>!</v>
      </c>
      <c r="N791" s="54" t="str">
        <f t="shared" si="62"/>
        <v/>
      </c>
      <c r="O791" s="55">
        <f t="shared" si="63"/>
        <v>587.06896551724139</v>
      </c>
      <c r="P791" s="55">
        <f t="shared" si="64"/>
        <v>559.91379310344837</v>
      </c>
      <c r="Q791" s="9" t="str">
        <f ca="1">IFERROR((VLOOKUP(A791,GM_Table,8,FALSE)-SUMIFS(D:D,A:A,A791,B:B,B791,C:C,C791)),"")</f>
        <v/>
      </c>
      <c r="R791" s="9" t="str">
        <f ca="1">IFERROR(CONCATENATE(VLOOKUP(A791,GM_Table,12,FALSE)," ",(VLOOKUP(A791,GM_Table,13,FALSE))),"")</f>
        <v/>
      </c>
    </row>
    <row r="792" spans="1:18" ht="15" x14ac:dyDescent="0.2">
      <c r="A792" s="193" t="s">
        <v>2776</v>
      </c>
      <c r="B792" s="9" t="s">
        <v>3290</v>
      </c>
      <c r="C792" s="9" t="s">
        <v>3291</v>
      </c>
      <c r="D792" s="252">
        <v>3.12</v>
      </c>
      <c r="E792" s="245">
        <v>1553</v>
      </c>
      <c r="F792" s="246">
        <v>1432</v>
      </c>
      <c r="G792" s="247">
        <v>1225</v>
      </c>
      <c r="H792" s="9">
        <v>0</v>
      </c>
      <c r="I792" s="255">
        <v>0</v>
      </c>
      <c r="J792" s="122" t="b">
        <f>IF(ISBLANK(CertifiedCrop[[#This Row],[1. Identifiant interne d’exploitation agricole*]]),"",IF(ISERROR(MATCH(CertifiedCrop[[#This Row],[1. Identifiant interne d’exploitation agricole*]],GroupMember[1. Identifiant interne d’exploitation agricole*],0)),FALSE,TRUE))</f>
        <v>1</v>
      </c>
      <c r="K792" s="122" t="b">
        <f t="array" ref="K792">IF(ISBLANK(CertifiedCrop[[#This Row],[2. Produit agricole certifié*]]),"",IF(ISERROR(MATCH(1,(#REF!=CertifiedCrop[[#This Row],[2. Produit agricole certifié*]])*(#REF!=CertifiedCrop[[#This Row],[3. Variété**]]),0)),FALSE,TRUE))</f>
        <v>0</v>
      </c>
      <c r="L792" s="20" t="str">
        <f t="shared" si="60"/>
        <v/>
      </c>
      <c r="M792" s="54" t="str">
        <f t="shared" si="61"/>
        <v/>
      </c>
      <c r="N792" s="54" t="str">
        <f t="shared" si="62"/>
        <v/>
      </c>
      <c r="O792" s="55">
        <f t="shared" si="63"/>
        <v>497.75641025641022</v>
      </c>
      <c r="P792" s="55">
        <f t="shared" si="64"/>
        <v>458.97435897435895</v>
      </c>
      <c r="Q792" s="9" t="str">
        <f ca="1">IFERROR((VLOOKUP(A792,GM_Table,8,FALSE)-SUMIFS(D:D,A:A,A792,B:B,B792,C:C,C792)),"")</f>
        <v/>
      </c>
      <c r="R792" s="9" t="str">
        <f ca="1">IFERROR(CONCATENATE(VLOOKUP(A792,GM_Table,12,FALSE)," ",(VLOOKUP(A792,GM_Table,13,FALSE))),"")</f>
        <v/>
      </c>
    </row>
    <row r="793" spans="1:18" ht="15" x14ac:dyDescent="0.2">
      <c r="A793" s="193" t="s">
        <v>2778</v>
      </c>
      <c r="B793" s="9" t="s">
        <v>3290</v>
      </c>
      <c r="C793" s="9" t="s">
        <v>3291</v>
      </c>
      <c r="D793" s="252">
        <v>2.68</v>
      </c>
      <c r="E793" s="245">
        <v>1469</v>
      </c>
      <c r="F793" s="246">
        <v>1369</v>
      </c>
      <c r="G793" s="247">
        <v>944</v>
      </c>
      <c r="H793" s="9">
        <v>0</v>
      </c>
      <c r="I793" s="255">
        <v>0</v>
      </c>
      <c r="J793" s="122" t="b">
        <f>IF(ISBLANK(CertifiedCrop[[#This Row],[1. Identifiant interne d’exploitation agricole*]]),"",IF(ISERROR(MATCH(CertifiedCrop[[#This Row],[1. Identifiant interne d’exploitation agricole*]],GroupMember[1. Identifiant interne d’exploitation agricole*],0)),FALSE,TRUE))</f>
        <v>1</v>
      </c>
      <c r="K793" s="122" t="b">
        <f t="array" ref="K793">IF(ISBLANK(CertifiedCrop[[#This Row],[2. Produit agricole certifié*]]),"",IF(ISERROR(MATCH(1,(#REF!=CertifiedCrop[[#This Row],[2. Produit agricole certifié*]])*(#REF!=CertifiedCrop[[#This Row],[3. Variété**]]),0)),FALSE,TRUE))</f>
        <v>0</v>
      </c>
      <c r="L793" s="20" t="str">
        <f t="shared" si="60"/>
        <v/>
      </c>
      <c r="M793" s="54" t="str">
        <f t="shared" si="61"/>
        <v>!</v>
      </c>
      <c r="N793" s="54" t="str">
        <f t="shared" si="62"/>
        <v/>
      </c>
      <c r="O793" s="55">
        <f t="shared" si="63"/>
        <v>548.1343283582089</v>
      </c>
      <c r="P793" s="55">
        <f t="shared" si="64"/>
        <v>510.82089552238801</v>
      </c>
      <c r="Q793" s="9" t="str">
        <f ca="1">IFERROR((VLOOKUP(A793,GM_Table,8,FALSE)-SUMIFS(D:D,A:A,A793,B:B,B793,C:C,C793)),"")</f>
        <v/>
      </c>
      <c r="R793" s="9" t="str">
        <f ca="1">IFERROR(CONCATENATE(VLOOKUP(A793,GM_Table,12,FALSE)," ",(VLOOKUP(A793,GM_Table,13,FALSE))),"")</f>
        <v/>
      </c>
    </row>
    <row r="794" spans="1:18" ht="15" x14ac:dyDescent="0.2">
      <c r="A794" s="193" t="s">
        <v>2780</v>
      </c>
      <c r="B794" s="9" t="s">
        <v>3290</v>
      </c>
      <c r="C794" s="9" t="s">
        <v>3291</v>
      </c>
      <c r="D794" s="252">
        <v>1.64</v>
      </c>
      <c r="E794" s="245">
        <v>1025</v>
      </c>
      <c r="F794" s="246">
        <v>976</v>
      </c>
      <c r="G794" s="247">
        <v>485</v>
      </c>
      <c r="H794" s="9">
        <v>0</v>
      </c>
      <c r="I794" s="255">
        <v>0</v>
      </c>
      <c r="J794" s="122" t="b">
        <f>IF(ISBLANK(CertifiedCrop[[#This Row],[1. Identifiant interne d’exploitation agricole*]]),"",IF(ISERROR(MATCH(CertifiedCrop[[#This Row],[1. Identifiant interne d’exploitation agricole*]],GroupMember[1. Identifiant interne d’exploitation agricole*],0)),FALSE,TRUE))</f>
        <v>1</v>
      </c>
      <c r="K794" s="122" t="b">
        <f t="array" ref="K794">IF(ISBLANK(CertifiedCrop[[#This Row],[2. Produit agricole certifié*]]),"",IF(ISERROR(MATCH(1,(#REF!=CertifiedCrop[[#This Row],[2. Produit agricole certifié*]])*(#REF!=CertifiedCrop[[#This Row],[3. Variété**]]),0)),FALSE,TRUE))</f>
        <v>0</v>
      </c>
      <c r="L794" s="20" t="str">
        <f t="shared" si="60"/>
        <v/>
      </c>
      <c r="M794" s="54" t="str">
        <f t="shared" si="61"/>
        <v>!</v>
      </c>
      <c r="N794" s="54" t="str">
        <f t="shared" si="62"/>
        <v/>
      </c>
      <c r="O794" s="55">
        <f t="shared" si="63"/>
        <v>625</v>
      </c>
      <c r="P794" s="55">
        <f t="shared" si="64"/>
        <v>595.1219512195122</v>
      </c>
      <c r="Q794" s="9" t="str">
        <f ca="1">IFERROR((VLOOKUP(A794,GM_Table,8,FALSE)-SUMIFS(D:D,A:A,A794,B:B,B794,C:C,C794)),"")</f>
        <v/>
      </c>
      <c r="R794" s="9" t="str">
        <f ca="1">IFERROR(CONCATENATE(VLOOKUP(A794,GM_Table,12,FALSE)," ",(VLOOKUP(A794,GM_Table,13,FALSE))),"")</f>
        <v/>
      </c>
    </row>
    <row r="795" spans="1:18" ht="15" x14ac:dyDescent="0.2">
      <c r="A795" s="193" t="s">
        <v>2782</v>
      </c>
      <c r="B795" s="9" t="s">
        <v>3290</v>
      </c>
      <c r="C795" s="9" t="s">
        <v>3291</v>
      </c>
      <c r="D795" s="252">
        <v>2.19</v>
      </c>
      <c r="E795" s="245">
        <v>1372</v>
      </c>
      <c r="F795" s="246">
        <v>1305</v>
      </c>
      <c r="G795" s="247">
        <v>898</v>
      </c>
      <c r="H795" s="9">
        <v>0</v>
      </c>
      <c r="I795" s="255">
        <v>0</v>
      </c>
      <c r="J795" s="122" t="b">
        <f>IF(ISBLANK(CertifiedCrop[[#This Row],[1. Identifiant interne d’exploitation agricole*]]),"",IF(ISERROR(MATCH(CertifiedCrop[[#This Row],[1. Identifiant interne d’exploitation agricole*]],GroupMember[1. Identifiant interne d’exploitation agricole*],0)),FALSE,TRUE))</f>
        <v>1</v>
      </c>
      <c r="K795" s="122" t="b">
        <f t="array" ref="K795">IF(ISBLANK(CertifiedCrop[[#This Row],[2. Produit agricole certifié*]]),"",IF(ISERROR(MATCH(1,(#REF!=CertifiedCrop[[#This Row],[2. Produit agricole certifié*]])*(#REF!=CertifiedCrop[[#This Row],[3. Variété**]]),0)),FALSE,TRUE))</f>
        <v>0</v>
      </c>
      <c r="L795" s="20" t="str">
        <f t="shared" si="60"/>
        <v/>
      </c>
      <c r="M795" s="54" t="str">
        <f t="shared" si="61"/>
        <v>!</v>
      </c>
      <c r="N795" s="54" t="str">
        <f t="shared" si="62"/>
        <v/>
      </c>
      <c r="O795" s="55">
        <f t="shared" si="63"/>
        <v>626.48401826484019</v>
      </c>
      <c r="P795" s="55">
        <f t="shared" si="64"/>
        <v>595.89041095890411</v>
      </c>
      <c r="Q795" s="9" t="str">
        <f ca="1">IFERROR((VLOOKUP(A795,GM_Table,8,FALSE)-SUMIFS(D:D,A:A,A795,B:B,B795,C:C,C795)),"")</f>
        <v/>
      </c>
      <c r="R795" s="9" t="str">
        <f ca="1">IFERROR(CONCATENATE(VLOOKUP(A795,GM_Table,12,FALSE)," ",(VLOOKUP(A795,GM_Table,13,FALSE))),"")</f>
        <v/>
      </c>
    </row>
    <row r="796" spans="1:18" ht="15" x14ac:dyDescent="0.2">
      <c r="A796" s="193" t="s">
        <v>2784</v>
      </c>
      <c r="B796" s="9" t="s">
        <v>3290</v>
      </c>
      <c r="C796" s="9" t="s">
        <v>3291</v>
      </c>
      <c r="D796" s="252">
        <v>3.78</v>
      </c>
      <c r="E796" s="245">
        <v>2051</v>
      </c>
      <c r="F796" s="246">
        <v>1984</v>
      </c>
      <c r="G796" s="247">
        <v>1396</v>
      </c>
      <c r="H796" s="9">
        <v>0</v>
      </c>
      <c r="I796" s="255">
        <v>0</v>
      </c>
      <c r="J796" s="122" t="b">
        <f>IF(ISBLANK(CertifiedCrop[[#This Row],[1. Identifiant interne d’exploitation agricole*]]),"",IF(ISERROR(MATCH(CertifiedCrop[[#This Row],[1. Identifiant interne d’exploitation agricole*]],GroupMember[1. Identifiant interne d’exploitation agricole*],0)),FALSE,TRUE))</f>
        <v>1</v>
      </c>
      <c r="K796" s="122" t="b">
        <f t="array" ref="K796">IF(ISBLANK(CertifiedCrop[[#This Row],[2. Produit agricole certifié*]]),"",IF(ISERROR(MATCH(1,(#REF!=CertifiedCrop[[#This Row],[2. Produit agricole certifié*]])*(#REF!=CertifiedCrop[[#This Row],[3. Variété**]]),0)),FALSE,TRUE))</f>
        <v>0</v>
      </c>
      <c r="L796" s="20" t="str">
        <f t="shared" si="60"/>
        <v/>
      </c>
      <c r="M796" s="54" t="str">
        <f t="shared" si="61"/>
        <v>!</v>
      </c>
      <c r="N796" s="54" t="str">
        <f t="shared" si="62"/>
        <v/>
      </c>
      <c r="O796" s="55">
        <f t="shared" si="63"/>
        <v>542.59259259259261</v>
      </c>
      <c r="P796" s="55">
        <f t="shared" si="64"/>
        <v>524.86772486772486</v>
      </c>
      <c r="Q796" s="9" t="str">
        <f ca="1">IFERROR((VLOOKUP(A796,GM_Table,8,FALSE)-SUMIFS(D:D,A:A,A796,B:B,B796,C:C,C796)),"")</f>
        <v/>
      </c>
      <c r="R796" s="9" t="str">
        <f ca="1">IFERROR(CONCATENATE(VLOOKUP(A796,GM_Table,12,FALSE)," ",(VLOOKUP(A796,GM_Table,13,FALSE))),"")</f>
        <v/>
      </c>
    </row>
    <row r="797" spans="1:18" ht="15" x14ac:dyDescent="0.2">
      <c r="A797" s="193" t="s">
        <v>2786</v>
      </c>
      <c r="B797" s="9" t="s">
        <v>3290</v>
      </c>
      <c r="C797" s="9" t="s">
        <v>3291</v>
      </c>
      <c r="D797" s="252">
        <v>5.15</v>
      </c>
      <c r="E797" s="245">
        <v>2824</v>
      </c>
      <c r="F797" s="246">
        <v>2720</v>
      </c>
      <c r="G797" s="247">
        <v>2720</v>
      </c>
      <c r="H797" s="9">
        <v>0</v>
      </c>
      <c r="I797" s="255">
        <v>0</v>
      </c>
      <c r="J797" s="122" t="b">
        <f>IF(ISBLANK(CertifiedCrop[[#This Row],[1. Identifiant interne d’exploitation agricole*]]),"",IF(ISERROR(MATCH(CertifiedCrop[[#This Row],[1. Identifiant interne d’exploitation agricole*]],GroupMember[1. Identifiant interne d’exploitation agricole*],0)),FALSE,TRUE))</f>
        <v>1</v>
      </c>
      <c r="K797" s="122" t="b">
        <f t="array" ref="K797">IF(ISBLANK(CertifiedCrop[[#This Row],[2. Produit agricole certifié*]]),"",IF(ISERROR(MATCH(1,(#REF!=CertifiedCrop[[#This Row],[2. Produit agricole certifié*]])*(#REF!=CertifiedCrop[[#This Row],[3. Variété**]]),0)),FALSE,TRUE))</f>
        <v>0</v>
      </c>
      <c r="L797" s="20" t="str">
        <f t="shared" si="60"/>
        <v/>
      </c>
      <c r="M797" s="54" t="str">
        <f t="shared" si="61"/>
        <v/>
      </c>
      <c r="N797" s="54" t="str">
        <f t="shared" si="62"/>
        <v/>
      </c>
      <c r="O797" s="55">
        <f t="shared" si="63"/>
        <v>548.34951456310671</v>
      </c>
      <c r="P797" s="55">
        <f t="shared" si="64"/>
        <v>528.15533980582518</v>
      </c>
      <c r="Q797" s="9" t="str">
        <f ca="1">IFERROR((VLOOKUP(A797,GM_Table,8,FALSE)-SUMIFS(D:D,A:A,A797,B:B,B797,C:C,C797)),"")</f>
        <v/>
      </c>
      <c r="R797" s="9" t="str">
        <f ca="1">IFERROR(CONCATENATE(VLOOKUP(A797,GM_Table,12,FALSE)," ",(VLOOKUP(A797,GM_Table,13,FALSE))),"")</f>
        <v/>
      </c>
    </row>
    <row r="798" spans="1:18" ht="15" x14ac:dyDescent="0.2">
      <c r="A798" s="193" t="s">
        <v>2788</v>
      </c>
      <c r="B798" s="9" t="s">
        <v>3290</v>
      </c>
      <c r="C798" s="9" t="s">
        <v>3291</v>
      </c>
      <c r="D798" s="252">
        <v>2.91</v>
      </c>
      <c r="E798" s="245">
        <v>1765</v>
      </c>
      <c r="F798" s="246">
        <v>1652</v>
      </c>
      <c r="G798" s="247">
        <v>324</v>
      </c>
      <c r="H798" s="9">
        <v>0</v>
      </c>
      <c r="I798" s="255">
        <v>0</v>
      </c>
      <c r="J798" s="122" t="b">
        <f>IF(ISBLANK(CertifiedCrop[[#This Row],[1. Identifiant interne d’exploitation agricole*]]),"",IF(ISERROR(MATCH(CertifiedCrop[[#This Row],[1. Identifiant interne d’exploitation agricole*]],GroupMember[1. Identifiant interne d’exploitation agricole*],0)),FALSE,TRUE))</f>
        <v>1</v>
      </c>
      <c r="K798" s="122" t="b">
        <f t="array" ref="K798">IF(ISBLANK(CertifiedCrop[[#This Row],[2. Produit agricole certifié*]]),"",IF(ISERROR(MATCH(1,(#REF!=CertifiedCrop[[#This Row],[2. Produit agricole certifié*]])*(#REF!=CertifiedCrop[[#This Row],[3. Variété**]]),0)),FALSE,TRUE))</f>
        <v>0</v>
      </c>
      <c r="L798" s="20" t="str">
        <f t="shared" si="60"/>
        <v/>
      </c>
      <c r="M798" s="54" t="str">
        <f t="shared" si="61"/>
        <v>!</v>
      </c>
      <c r="N798" s="54" t="str">
        <f t="shared" si="62"/>
        <v/>
      </c>
      <c r="O798" s="55">
        <f t="shared" si="63"/>
        <v>606.52920962199312</v>
      </c>
      <c r="P798" s="55">
        <f t="shared" si="64"/>
        <v>567.69759450171819</v>
      </c>
      <c r="Q798" s="9" t="str">
        <f ca="1">IFERROR((VLOOKUP(A798,GM_Table,8,FALSE)-SUMIFS(D:D,A:A,A798,B:B,B798,C:C,C798)),"")</f>
        <v/>
      </c>
      <c r="R798" s="9" t="str">
        <f ca="1">IFERROR(CONCATENATE(VLOOKUP(A798,GM_Table,12,FALSE)," ",(VLOOKUP(A798,GM_Table,13,FALSE))),"")</f>
        <v/>
      </c>
    </row>
    <row r="799" spans="1:18" ht="15" x14ac:dyDescent="0.2">
      <c r="A799" s="193" t="s">
        <v>2790</v>
      </c>
      <c r="B799" s="9" t="s">
        <v>3290</v>
      </c>
      <c r="C799" s="9" t="s">
        <v>3291</v>
      </c>
      <c r="D799" s="252">
        <v>1.48</v>
      </c>
      <c r="E799" s="221">
        <v>927</v>
      </c>
      <c r="F799" s="246">
        <v>911</v>
      </c>
      <c r="G799" s="247">
        <v>644</v>
      </c>
      <c r="H799" s="9">
        <v>0</v>
      </c>
      <c r="I799" s="255">
        <v>0</v>
      </c>
      <c r="J799" s="122" t="b">
        <f>IF(ISBLANK(CertifiedCrop[[#This Row],[1. Identifiant interne d’exploitation agricole*]]),"",IF(ISERROR(MATCH(CertifiedCrop[[#This Row],[1. Identifiant interne d’exploitation agricole*]],GroupMember[1. Identifiant interne d’exploitation agricole*],0)),FALSE,TRUE))</f>
        <v>1</v>
      </c>
      <c r="K799" s="122" t="b">
        <f t="array" ref="K799">IF(ISBLANK(CertifiedCrop[[#This Row],[2. Produit agricole certifié*]]),"",IF(ISERROR(MATCH(1,(#REF!=CertifiedCrop[[#This Row],[2. Produit agricole certifié*]])*(#REF!=CertifiedCrop[[#This Row],[3. Variété**]]),0)),FALSE,TRUE))</f>
        <v>0</v>
      </c>
      <c r="L799" s="20" t="str">
        <f t="shared" si="60"/>
        <v/>
      </c>
      <c r="M799" s="54" t="str">
        <f t="shared" si="61"/>
        <v>!</v>
      </c>
      <c r="N799" s="54" t="str">
        <f t="shared" si="62"/>
        <v/>
      </c>
      <c r="O799" s="55">
        <f t="shared" si="63"/>
        <v>626.35135135135135</v>
      </c>
      <c r="P799" s="55">
        <f t="shared" si="64"/>
        <v>615.54054054054052</v>
      </c>
      <c r="Q799" s="9" t="str">
        <f ca="1">IFERROR((VLOOKUP(A799,GM_Table,8,FALSE)-SUMIFS(D:D,A:A,A799,B:B,B799,C:C,C799)),"")</f>
        <v/>
      </c>
      <c r="R799" s="9" t="str">
        <f ca="1">IFERROR(CONCATENATE(VLOOKUP(A799,GM_Table,12,FALSE)," ",(VLOOKUP(A799,GM_Table,13,FALSE))),"")</f>
        <v/>
      </c>
    </row>
    <row r="800" spans="1:18" ht="15" x14ac:dyDescent="0.2">
      <c r="A800" s="193" t="s">
        <v>2792</v>
      </c>
      <c r="B800" s="9" t="s">
        <v>3290</v>
      </c>
      <c r="C800" s="9" t="s">
        <v>3291</v>
      </c>
      <c r="D800" s="252">
        <v>5.31</v>
      </c>
      <c r="E800" s="245">
        <v>3109</v>
      </c>
      <c r="F800" s="246">
        <v>2845</v>
      </c>
      <c r="G800" s="247">
        <v>2845</v>
      </c>
      <c r="H800" s="9">
        <v>0</v>
      </c>
      <c r="I800" s="255">
        <v>0</v>
      </c>
      <c r="J800" s="122" t="b">
        <f>IF(ISBLANK(CertifiedCrop[[#This Row],[1. Identifiant interne d’exploitation agricole*]]),"",IF(ISERROR(MATCH(CertifiedCrop[[#This Row],[1. Identifiant interne d’exploitation agricole*]],GroupMember[1. Identifiant interne d’exploitation agricole*],0)),FALSE,TRUE))</f>
        <v>1</v>
      </c>
      <c r="K800" s="122" t="b">
        <f t="array" ref="K800">IF(ISBLANK(CertifiedCrop[[#This Row],[2. Produit agricole certifié*]]),"",IF(ISERROR(MATCH(1,(#REF!=CertifiedCrop[[#This Row],[2. Produit agricole certifié*]])*(#REF!=CertifiedCrop[[#This Row],[3. Variété**]]),0)),FALSE,TRUE))</f>
        <v>0</v>
      </c>
      <c r="L800" s="20" t="str">
        <f t="shared" si="60"/>
        <v/>
      </c>
      <c r="M800" s="54" t="str">
        <f t="shared" si="61"/>
        <v/>
      </c>
      <c r="N800" s="54" t="str">
        <f t="shared" si="62"/>
        <v/>
      </c>
      <c r="O800" s="55">
        <f t="shared" si="63"/>
        <v>585.49905838041434</v>
      </c>
      <c r="P800" s="55">
        <f t="shared" si="64"/>
        <v>535.78154425612058</v>
      </c>
      <c r="Q800" s="9" t="str">
        <f ca="1">IFERROR((VLOOKUP(A800,GM_Table,8,FALSE)-SUMIFS(D:D,A:A,A800,B:B,B800,C:C,C800)),"")</f>
        <v/>
      </c>
      <c r="R800" s="9" t="str">
        <f ca="1">IFERROR(CONCATENATE(VLOOKUP(A800,GM_Table,12,FALSE)," ",(VLOOKUP(A800,GM_Table,13,FALSE))),"")</f>
        <v/>
      </c>
    </row>
    <row r="801" spans="1:18" ht="15" x14ac:dyDescent="0.2">
      <c r="A801" s="193" t="s">
        <v>2794</v>
      </c>
      <c r="B801" s="9" t="s">
        <v>3290</v>
      </c>
      <c r="C801" s="9" t="s">
        <v>3291</v>
      </c>
      <c r="D801" s="252">
        <v>3.92</v>
      </c>
      <c r="E801" s="245">
        <v>2150</v>
      </c>
      <c r="F801" s="246">
        <v>2074</v>
      </c>
      <c r="G801" s="247">
        <v>1760</v>
      </c>
      <c r="H801" s="9">
        <v>0</v>
      </c>
      <c r="I801" s="255">
        <v>0</v>
      </c>
      <c r="J801" s="122" t="b">
        <f>IF(ISBLANK(CertifiedCrop[[#This Row],[1. Identifiant interne d’exploitation agricole*]]),"",IF(ISERROR(MATCH(CertifiedCrop[[#This Row],[1. Identifiant interne d’exploitation agricole*]],GroupMember[1. Identifiant interne d’exploitation agricole*],0)),FALSE,TRUE))</f>
        <v>1</v>
      </c>
      <c r="K801" s="122" t="b">
        <f t="array" ref="K801">IF(ISBLANK(CertifiedCrop[[#This Row],[2. Produit agricole certifié*]]),"",IF(ISERROR(MATCH(1,(#REF!=CertifiedCrop[[#This Row],[2. Produit agricole certifié*]])*(#REF!=CertifiedCrop[[#This Row],[3. Variété**]]),0)),FALSE,TRUE))</f>
        <v>0</v>
      </c>
      <c r="L801" s="20" t="str">
        <f t="shared" si="60"/>
        <v/>
      </c>
      <c r="M801" s="54" t="str">
        <f t="shared" si="61"/>
        <v/>
      </c>
      <c r="N801" s="54" t="str">
        <f t="shared" si="62"/>
        <v/>
      </c>
      <c r="O801" s="55">
        <f t="shared" si="63"/>
        <v>548.46938775510205</v>
      </c>
      <c r="P801" s="55">
        <f t="shared" si="64"/>
        <v>529.08163265306121</v>
      </c>
      <c r="Q801" s="9" t="str">
        <f ca="1">IFERROR((VLOOKUP(A801,GM_Table,8,FALSE)-SUMIFS(D:D,A:A,A801,B:B,B801,C:C,C801)),"")</f>
        <v/>
      </c>
      <c r="R801" s="9" t="str">
        <f ca="1">IFERROR(CONCATENATE(VLOOKUP(A801,GM_Table,12,FALSE)," ",(VLOOKUP(A801,GM_Table,13,FALSE))),"")</f>
        <v/>
      </c>
    </row>
    <row r="802" spans="1:18" ht="15" x14ac:dyDescent="0.2">
      <c r="A802" s="193" t="s">
        <v>2796</v>
      </c>
      <c r="B802" s="9" t="s">
        <v>3290</v>
      </c>
      <c r="C802" s="9" t="s">
        <v>3291</v>
      </c>
      <c r="D802" s="252">
        <v>3.31</v>
      </c>
      <c r="E802" s="245">
        <v>2069</v>
      </c>
      <c r="F802" s="246">
        <v>1889</v>
      </c>
      <c r="G802" s="247">
        <v>1689</v>
      </c>
      <c r="H802" s="9">
        <v>0</v>
      </c>
      <c r="I802" s="255">
        <v>0</v>
      </c>
      <c r="J802" s="122" t="b">
        <f>IF(ISBLANK(CertifiedCrop[[#This Row],[1. Identifiant interne d’exploitation agricole*]]),"",IF(ISERROR(MATCH(CertifiedCrop[[#This Row],[1. Identifiant interne d’exploitation agricole*]],GroupMember[1. Identifiant interne d’exploitation agricole*],0)),FALSE,TRUE))</f>
        <v>1</v>
      </c>
      <c r="K802" s="122" t="b">
        <f t="array" ref="K802">IF(ISBLANK(CertifiedCrop[[#This Row],[2. Produit agricole certifié*]]),"",IF(ISERROR(MATCH(1,(#REF!=CertifiedCrop[[#This Row],[2. Produit agricole certifié*]])*(#REF!=CertifiedCrop[[#This Row],[3. Variété**]]),0)),FALSE,TRUE))</f>
        <v>0</v>
      </c>
      <c r="L802" s="20" t="str">
        <f t="shared" si="60"/>
        <v/>
      </c>
      <c r="M802" s="54" t="str">
        <f t="shared" si="61"/>
        <v/>
      </c>
      <c r="N802" s="54" t="str">
        <f t="shared" si="62"/>
        <v/>
      </c>
      <c r="O802" s="55">
        <f t="shared" si="63"/>
        <v>625.07552870090637</v>
      </c>
      <c r="P802" s="55">
        <f t="shared" si="64"/>
        <v>570.69486404833833</v>
      </c>
      <c r="Q802" s="9" t="str">
        <f ca="1">IFERROR((VLOOKUP(A802,GM_Table,8,FALSE)-SUMIFS(D:D,A:A,A802,B:B,B802,C:C,C802)),"")</f>
        <v/>
      </c>
      <c r="R802" s="9" t="str">
        <f ca="1">IFERROR(CONCATENATE(VLOOKUP(A802,GM_Table,12,FALSE)," ",(VLOOKUP(A802,GM_Table,13,FALSE))),"")</f>
        <v/>
      </c>
    </row>
    <row r="803" spans="1:18" ht="15" x14ac:dyDescent="0.2">
      <c r="A803" s="193" t="s">
        <v>2799</v>
      </c>
      <c r="B803" s="9" t="s">
        <v>3290</v>
      </c>
      <c r="C803" s="9" t="s">
        <v>3291</v>
      </c>
      <c r="D803" s="252">
        <v>2.04</v>
      </c>
      <c r="E803" s="245">
        <v>1107</v>
      </c>
      <c r="F803" s="246">
        <v>1104</v>
      </c>
      <c r="G803" s="247">
        <v>768</v>
      </c>
      <c r="H803" s="9">
        <v>0</v>
      </c>
      <c r="I803" s="255">
        <v>0</v>
      </c>
      <c r="J803" s="122" t="b">
        <f>IF(ISBLANK(CertifiedCrop[[#This Row],[1. Identifiant interne d’exploitation agricole*]]),"",IF(ISERROR(MATCH(CertifiedCrop[[#This Row],[1. Identifiant interne d’exploitation agricole*]],GroupMember[1. Identifiant interne d’exploitation agricole*],0)),FALSE,TRUE))</f>
        <v>1</v>
      </c>
      <c r="K803" s="122" t="b">
        <f t="array" ref="K803">IF(ISBLANK(CertifiedCrop[[#This Row],[2. Produit agricole certifié*]]),"",IF(ISERROR(MATCH(1,(#REF!=CertifiedCrop[[#This Row],[2. Produit agricole certifié*]])*(#REF!=CertifiedCrop[[#This Row],[3. Variété**]]),0)),FALSE,TRUE))</f>
        <v>0</v>
      </c>
      <c r="L803" s="20" t="str">
        <f t="shared" si="60"/>
        <v/>
      </c>
      <c r="M803" s="54" t="str">
        <f t="shared" si="61"/>
        <v>!</v>
      </c>
      <c r="N803" s="54" t="str">
        <f t="shared" si="62"/>
        <v/>
      </c>
      <c r="O803" s="55">
        <f t="shared" si="63"/>
        <v>542.64705882352939</v>
      </c>
      <c r="P803" s="55">
        <f t="shared" si="64"/>
        <v>541.17647058823525</v>
      </c>
      <c r="Q803" s="9" t="str">
        <f ca="1">IFERROR((VLOOKUP(A803,GM_Table,8,FALSE)-SUMIFS(D:D,A:A,A803,B:B,B803,C:C,C803)),"")</f>
        <v/>
      </c>
      <c r="R803" s="9" t="str">
        <f ca="1">IFERROR(CONCATENATE(VLOOKUP(A803,GM_Table,12,FALSE)," ",(VLOOKUP(A803,GM_Table,13,FALSE))),"")</f>
        <v/>
      </c>
    </row>
    <row r="804" spans="1:18" ht="15" x14ac:dyDescent="0.2">
      <c r="A804" s="193" t="s">
        <v>2802</v>
      </c>
      <c r="B804" s="9" t="s">
        <v>3290</v>
      </c>
      <c r="C804" s="9" t="s">
        <v>3291</v>
      </c>
      <c r="D804" s="252">
        <v>1.91</v>
      </c>
      <c r="E804" s="221">
        <v>982</v>
      </c>
      <c r="F804" s="246">
        <v>956</v>
      </c>
      <c r="G804" s="247">
        <v>885</v>
      </c>
      <c r="H804" s="9">
        <v>0</v>
      </c>
      <c r="I804" s="255">
        <v>0</v>
      </c>
      <c r="J804" s="122" t="b">
        <f>IF(ISBLANK(CertifiedCrop[[#This Row],[1. Identifiant interne d’exploitation agricole*]]),"",IF(ISERROR(MATCH(CertifiedCrop[[#This Row],[1. Identifiant interne d’exploitation agricole*]],GroupMember[1. Identifiant interne d’exploitation agricole*],0)),FALSE,TRUE))</f>
        <v>1</v>
      </c>
      <c r="K804" s="122" t="b">
        <f t="array" ref="K804">IF(ISBLANK(CertifiedCrop[[#This Row],[2. Produit agricole certifié*]]),"",IF(ISERROR(MATCH(1,(#REF!=CertifiedCrop[[#This Row],[2. Produit agricole certifié*]])*(#REF!=CertifiedCrop[[#This Row],[3. Variété**]]),0)),FALSE,TRUE))</f>
        <v>0</v>
      </c>
      <c r="L804" s="20" t="str">
        <f t="shared" si="60"/>
        <v/>
      </c>
      <c r="M804" s="54" t="str">
        <f t="shared" si="61"/>
        <v/>
      </c>
      <c r="N804" s="54" t="str">
        <f t="shared" si="62"/>
        <v/>
      </c>
      <c r="O804" s="55">
        <f t="shared" si="63"/>
        <v>514.13612565445032</v>
      </c>
      <c r="P804" s="55">
        <f t="shared" si="64"/>
        <v>500.52356020942409</v>
      </c>
      <c r="Q804" s="9" t="str">
        <f ca="1">IFERROR((VLOOKUP(A804,GM_Table,8,FALSE)-SUMIFS(D:D,A:A,A804,B:B,B804,C:C,C804)),"")</f>
        <v/>
      </c>
      <c r="R804" s="9" t="str">
        <f ca="1">IFERROR(CONCATENATE(VLOOKUP(A804,GM_Table,12,FALSE)," ",(VLOOKUP(A804,GM_Table,13,FALSE))),"")</f>
        <v/>
      </c>
    </row>
    <row r="805" spans="1:18" ht="15" x14ac:dyDescent="0.2">
      <c r="A805" s="193" t="s">
        <v>2805</v>
      </c>
      <c r="B805" s="9" t="s">
        <v>3290</v>
      </c>
      <c r="C805" s="9" t="s">
        <v>3291</v>
      </c>
      <c r="D805" s="252">
        <v>1.0900000000000001</v>
      </c>
      <c r="E805" s="221">
        <v>597</v>
      </c>
      <c r="F805" s="246">
        <v>567</v>
      </c>
      <c r="G805" s="247">
        <v>236</v>
      </c>
      <c r="H805" s="9">
        <v>0</v>
      </c>
      <c r="I805" s="255">
        <v>0</v>
      </c>
      <c r="J805" s="122" t="b">
        <f>IF(ISBLANK(CertifiedCrop[[#This Row],[1. Identifiant interne d’exploitation agricole*]]),"",IF(ISERROR(MATCH(CertifiedCrop[[#This Row],[1. Identifiant interne d’exploitation agricole*]],GroupMember[1. Identifiant interne d’exploitation agricole*],0)),FALSE,TRUE))</f>
        <v>1</v>
      </c>
      <c r="K805" s="122" t="b">
        <f t="array" ref="K805">IF(ISBLANK(CertifiedCrop[[#This Row],[2. Produit agricole certifié*]]),"",IF(ISERROR(MATCH(1,(#REF!=CertifiedCrop[[#This Row],[2. Produit agricole certifié*]])*(#REF!=CertifiedCrop[[#This Row],[3. Variété**]]),0)),FALSE,TRUE))</f>
        <v>0</v>
      </c>
      <c r="L805" s="20" t="str">
        <f t="shared" si="60"/>
        <v/>
      </c>
      <c r="M805" s="54" t="str">
        <f t="shared" si="61"/>
        <v>!</v>
      </c>
      <c r="N805" s="54" t="str">
        <f t="shared" si="62"/>
        <v/>
      </c>
      <c r="O805" s="55">
        <f t="shared" si="63"/>
        <v>547.70642201834858</v>
      </c>
      <c r="P805" s="55">
        <f t="shared" si="64"/>
        <v>520.18348623853205</v>
      </c>
      <c r="Q805" s="9" t="str">
        <f ca="1">IFERROR((VLOOKUP(A805,GM_Table,8,FALSE)-SUMIFS(D:D,A:A,A805,B:B,B805,C:C,C805)),"")</f>
        <v/>
      </c>
      <c r="R805" s="9" t="str">
        <f ca="1">IFERROR(CONCATENATE(VLOOKUP(A805,GM_Table,12,FALSE)," ",(VLOOKUP(A805,GM_Table,13,FALSE))),"")</f>
        <v/>
      </c>
    </row>
    <row r="806" spans="1:18" ht="15" x14ac:dyDescent="0.2">
      <c r="A806" s="193" t="s">
        <v>2806</v>
      </c>
      <c r="B806" s="9" t="s">
        <v>3290</v>
      </c>
      <c r="C806" s="9" t="s">
        <v>3291</v>
      </c>
      <c r="D806" s="252">
        <v>0.92</v>
      </c>
      <c r="E806" s="221">
        <v>561</v>
      </c>
      <c r="F806" s="246">
        <v>546</v>
      </c>
      <c r="G806" s="247">
        <v>185</v>
      </c>
      <c r="H806" s="9">
        <v>0</v>
      </c>
      <c r="I806" s="255">
        <v>0</v>
      </c>
      <c r="J806" s="122" t="b">
        <f>IF(ISBLANK(CertifiedCrop[[#This Row],[1. Identifiant interne d’exploitation agricole*]]),"",IF(ISERROR(MATCH(CertifiedCrop[[#This Row],[1. Identifiant interne d’exploitation agricole*]],GroupMember[1. Identifiant interne d’exploitation agricole*],0)),FALSE,TRUE))</f>
        <v>1</v>
      </c>
      <c r="K806" s="122" t="b">
        <f t="array" ref="K806">IF(ISBLANK(CertifiedCrop[[#This Row],[2. Produit agricole certifié*]]),"",IF(ISERROR(MATCH(1,(#REF!=CertifiedCrop[[#This Row],[2. Produit agricole certifié*]])*(#REF!=CertifiedCrop[[#This Row],[3. Variété**]]),0)),FALSE,TRUE))</f>
        <v>0</v>
      </c>
      <c r="L806" s="20" t="str">
        <f t="shared" si="60"/>
        <v/>
      </c>
      <c r="M806" s="54" t="str">
        <f t="shared" si="61"/>
        <v>!</v>
      </c>
      <c r="N806" s="54" t="str">
        <f t="shared" si="62"/>
        <v/>
      </c>
      <c r="O806" s="55">
        <f t="shared" si="63"/>
        <v>609.78260869565213</v>
      </c>
      <c r="P806" s="55">
        <f t="shared" si="64"/>
        <v>593.47826086956525</v>
      </c>
      <c r="Q806" s="9" t="str">
        <f ca="1">IFERROR((VLOOKUP(A806,GM_Table,8,FALSE)-SUMIFS(D:D,A:A,A806,B:B,B806,C:C,C806)),"")</f>
        <v/>
      </c>
      <c r="R806" s="9" t="str">
        <f ca="1">IFERROR(CONCATENATE(VLOOKUP(A806,GM_Table,12,FALSE)," ",(VLOOKUP(A806,GM_Table,13,FALSE))),"")</f>
        <v/>
      </c>
    </row>
    <row r="807" spans="1:18" ht="15" x14ac:dyDescent="0.2">
      <c r="A807" s="193" t="s">
        <v>2807</v>
      </c>
      <c r="B807" s="9" t="s">
        <v>3290</v>
      </c>
      <c r="C807" s="9" t="s">
        <v>3291</v>
      </c>
      <c r="D807" s="252">
        <v>3.59</v>
      </c>
      <c r="E807" s="245">
        <v>1846</v>
      </c>
      <c r="F807" s="246">
        <v>1784</v>
      </c>
      <c r="G807" s="247">
        <v>1554</v>
      </c>
      <c r="H807" s="9">
        <v>0</v>
      </c>
      <c r="I807" s="255">
        <v>0</v>
      </c>
      <c r="J807" s="122" t="b">
        <f>IF(ISBLANK(CertifiedCrop[[#This Row],[1. Identifiant interne d’exploitation agricole*]]),"",IF(ISERROR(MATCH(CertifiedCrop[[#This Row],[1. Identifiant interne d’exploitation agricole*]],GroupMember[1. Identifiant interne d’exploitation agricole*],0)),FALSE,TRUE))</f>
        <v>1</v>
      </c>
      <c r="K807" s="122" t="b">
        <f t="array" ref="K807">IF(ISBLANK(CertifiedCrop[[#This Row],[2. Produit agricole certifié*]]),"",IF(ISERROR(MATCH(1,(#REF!=CertifiedCrop[[#This Row],[2. Produit agricole certifié*]])*(#REF!=CertifiedCrop[[#This Row],[3. Variété**]]),0)),FALSE,TRUE))</f>
        <v>0</v>
      </c>
      <c r="L807" s="20" t="str">
        <f t="shared" si="60"/>
        <v/>
      </c>
      <c r="M807" s="54" t="str">
        <f t="shared" si="61"/>
        <v/>
      </c>
      <c r="N807" s="54" t="str">
        <f t="shared" si="62"/>
        <v/>
      </c>
      <c r="O807" s="55">
        <f t="shared" si="63"/>
        <v>514.20612813370474</v>
      </c>
      <c r="P807" s="55">
        <f t="shared" si="64"/>
        <v>496.93593314763234</v>
      </c>
      <c r="Q807" s="9" t="str">
        <f ca="1">IFERROR((VLOOKUP(A807,GM_Table,8,FALSE)-SUMIFS(D:D,A:A,A807,B:B,B807,C:C,C807)),"")</f>
        <v/>
      </c>
      <c r="R807" s="9" t="str">
        <f ca="1">IFERROR(CONCATENATE(VLOOKUP(A807,GM_Table,12,FALSE)," ",(VLOOKUP(A807,GM_Table,13,FALSE))),"")</f>
        <v/>
      </c>
    </row>
    <row r="808" spans="1:18" ht="15" x14ac:dyDescent="0.2">
      <c r="A808" s="193" t="s">
        <v>2808</v>
      </c>
      <c r="B808" s="9" t="s">
        <v>3290</v>
      </c>
      <c r="C808" s="9" t="s">
        <v>3291</v>
      </c>
      <c r="D808" s="252">
        <v>1.37</v>
      </c>
      <c r="E808" s="221">
        <v>722</v>
      </c>
      <c r="F808" s="246">
        <v>715</v>
      </c>
      <c r="G808" s="247">
        <v>715</v>
      </c>
      <c r="H808" s="9">
        <v>0</v>
      </c>
      <c r="I808" s="255">
        <v>0</v>
      </c>
      <c r="J808" s="122" t="b">
        <f>IF(ISBLANK(CertifiedCrop[[#This Row],[1. Identifiant interne d’exploitation agricole*]]),"",IF(ISERROR(MATCH(CertifiedCrop[[#This Row],[1. Identifiant interne d’exploitation agricole*]],GroupMember[1. Identifiant interne d’exploitation agricole*],0)),FALSE,TRUE))</f>
        <v>1</v>
      </c>
      <c r="K808" s="122" t="b">
        <f t="array" ref="K808">IF(ISBLANK(CertifiedCrop[[#This Row],[2. Produit agricole certifié*]]),"",IF(ISERROR(MATCH(1,(#REF!=CertifiedCrop[[#This Row],[2. Produit agricole certifié*]])*(#REF!=CertifiedCrop[[#This Row],[3. Variété**]]),0)),FALSE,TRUE))</f>
        <v>0</v>
      </c>
      <c r="L808" s="20" t="str">
        <f t="shared" si="60"/>
        <v/>
      </c>
      <c r="M808" s="54" t="str">
        <f t="shared" si="61"/>
        <v/>
      </c>
      <c r="N808" s="54" t="str">
        <f t="shared" si="62"/>
        <v/>
      </c>
      <c r="O808" s="55">
        <f t="shared" si="63"/>
        <v>527.00729927007296</v>
      </c>
      <c r="P808" s="55">
        <f t="shared" si="64"/>
        <v>521.89781021897807</v>
      </c>
      <c r="Q808" s="9" t="str">
        <f ca="1">IFERROR((VLOOKUP(A808,GM_Table,8,FALSE)-SUMIFS(D:D,A:A,A808,B:B,B808,C:C,C808)),"")</f>
        <v/>
      </c>
      <c r="R808" s="9" t="str">
        <f ca="1">IFERROR(CONCATENATE(VLOOKUP(A808,GM_Table,12,FALSE)," ",(VLOOKUP(A808,GM_Table,13,FALSE))),"")</f>
        <v/>
      </c>
    </row>
    <row r="809" spans="1:18" ht="15" x14ac:dyDescent="0.2">
      <c r="A809" s="193" t="s">
        <v>2809</v>
      </c>
      <c r="B809" s="9" t="s">
        <v>3290</v>
      </c>
      <c r="C809" s="9" t="s">
        <v>3291</v>
      </c>
      <c r="D809" s="252">
        <v>2.66</v>
      </c>
      <c r="E809" s="245">
        <v>1544</v>
      </c>
      <c r="F809" s="246">
        <v>1418</v>
      </c>
      <c r="G809" s="247">
        <v>1418</v>
      </c>
      <c r="H809" s="9">
        <v>0</v>
      </c>
      <c r="I809" s="255">
        <v>0</v>
      </c>
      <c r="J809" s="122" t="b">
        <f>IF(ISBLANK(CertifiedCrop[[#This Row],[1. Identifiant interne d’exploitation agricole*]]),"",IF(ISERROR(MATCH(CertifiedCrop[[#This Row],[1. Identifiant interne d’exploitation agricole*]],GroupMember[1. Identifiant interne d’exploitation agricole*],0)),FALSE,TRUE))</f>
        <v>1</v>
      </c>
      <c r="K809" s="122" t="b">
        <f t="array" ref="K809">IF(ISBLANK(CertifiedCrop[[#This Row],[2. Produit agricole certifié*]]),"",IF(ISERROR(MATCH(1,(#REF!=CertifiedCrop[[#This Row],[2. Produit agricole certifié*]])*(#REF!=CertifiedCrop[[#This Row],[3. Variété**]]),0)),FALSE,TRUE))</f>
        <v>0</v>
      </c>
      <c r="L809" s="20" t="str">
        <f t="shared" si="60"/>
        <v/>
      </c>
      <c r="M809" s="54" t="str">
        <f t="shared" si="61"/>
        <v/>
      </c>
      <c r="N809" s="54" t="str">
        <f t="shared" si="62"/>
        <v/>
      </c>
      <c r="O809" s="55">
        <f t="shared" si="63"/>
        <v>580.45112781954879</v>
      </c>
      <c r="P809" s="55">
        <f t="shared" si="64"/>
        <v>533.08270676691723</v>
      </c>
      <c r="Q809" s="9" t="str">
        <f ca="1">IFERROR((VLOOKUP(A809,GM_Table,8,FALSE)-SUMIFS(D:D,A:A,A809,B:B,B809,C:C,C809)),"")</f>
        <v/>
      </c>
      <c r="R809" s="9" t="str">
        <f ca="1">IFERROR(CONCATENATE(VLOOKUP(A809,GM_Table,12,FALSE)," ",(VLOOKUP(A809,GM_Table,13,FALSE))),"")</f>
        <v/>
      </c>
    </row>
    <row r="810" spans="1:18" ht="15" x14ac:dyDescent="0.2">
      <c r="A810" s="193" t="s">
        <v>2810</v>
      </c>
      <c r="B810" s="9" t="s">
        <v>3290</v>
      </c>
      <c r="C810" s="9" t="s">
        <v>3291</v>
      </c>
      <c r="D810" s="252">
        <v>2.85</v>
      </c>
      <c r="E810" s="245">
        <v>1640</v>
      </c>
      <c r="F810" s="246">
        <v>1556</v>
      </c>
      <c r="G810" s="247">
        <v>1456</v>
      </c>
      <c r="H810" s="9">
        <v>0</v>
      </c>
      <c r="I810" s="255">
        <v>0</v>
      </c>
      <c r="J810" s="122" t="b">
        <f>IF(ISBLANK(CertifiedCrop[[#This Row],[1. Identifiant interne d’exploitation agricole*]]),"",IF(ISERROR(MATCH(CertifiedCrop[[#This Row],[1. Identifiant interne d’exploitation agricole*]],GroupMember[1. Identifiant interne d’exploitation agricole*],0)),FALSE,TRUE))</f>
        <v>1</v>
      </c>
      <c r="K810" s="122" t="b">
        <f t="array" ref="K810">IF(ISBLANK(CertifiedCrop[[#This Row],[2. Produit agricole certifié*]]),"",IF(ISERROR(MATCH(1,(#REF!=CertifiedCrop[[#This Row],[2. Produit agricole certifié*]])*(#REF!=CertifiedCrop[[#This Row],[3. Variété**]]),0)),FALSE,TRUE))</f>
        <v>0</v>
      </c>
      <c r="L810" s="20" t="str">
        <f t="shared" si="60"/>
        <v/>
      </c>
      <c r="M810" s="54" t="str">
        <f t="shared" si="61"/>
        <v/>
      </c>
      <c r="N810" s="54" t="str">
        <f t="shared" si="62"/>
        <v/>
      </c>
      <c r="O810" s="55">
        <f t="shared" si="63"/>
        <v>575.43859649122805</v>
      </c>
      <c r="P810" s="55">
        <f t="shared" si="64"/>
        <v>545.9649122807017</v>
      </c>
      <c r="Q810" s="9" t="str">
        <f ca="1">IFERROR((VLOOKUP(A810,GM_Table,8,FALSE)-SUMIFS(D:D,A:A,A810,B:B,B810,C:C,C810)),"")</f>
        <v/>
      </c>
      <c r="R810" s="9" t="str">
        <f ca="1">IFERROR(CONCATENATE(VLOOKUP(A810,GM_Table,12,FALSE)," ",(VLOOKUP(A810,GM_Table,13,FALSE))),"")</f>
        <v/>
      </c>
    </row>
    <row r="811" spans="1:18" ht="15" x14ac:dyDescent="0.2">
      <c r="A811" s="193" t="s">
        <v>2811</v>
      </c>
      <c r="B811" s="9" t="s">
        <v>3290</v>
      </c>
      <c r="C811" s="9" t="s">
        <v>3291</v>
      </c>
      <c r="D811" s="252">
        <v>3.76</v>
      </c>
      <c r="E811" s="245">
        <v>2096</v>
      </c>
      <c r="F811" s="246">
        <v>1973</v>
      </c>
      <c r="G811" s="247">
        <v>1873</v>
      </c>
      <c r="H811" s="9">
        <v>0</v>
      </c>
      <c r="I811" s="255">
        <v>0</v>
      </c>
      <c r="J811" s="122" t="b">
        <f>IF(ISBLANK(CertifiedCrop[[#This Row],[1. Identifiant interne d’exploitation agricole*]]),"",IF(ISERROR(MATCH(CertifiedCrop[[#This Row],[1. Identifiant interne d’exploitation agricole*]],GroupMember[1. Identifiant interne d’exploitation agricole*],0)),FALSE,TRUE))</f>
        <v>1</v>
      </c>
      <c r="K811" s="122" t="b">
        <f t="array" ref="K811">IF(ISBLANK(CertifiedCrop[[#This Row],[2. Produit agricole certifié*]]),"",IF(ISERROR(MATCH(1,(#REF!=CertifiedCrop[[#This Row],[2. Produit agricole certifié*]])*(#REF!=CertifiedCrop[[#This Row],[3. Variété**]]),0)),FALSE,TRUE))</f>
        <v>0</v>
      </c>
      <c r="L811" s="20" t="str">
        <f t="shared" si="60"/>
        <v/>
      </c>
      <c r="M811" s="54" t="str">
        <f t="shared" si="61"/>
        <v/>
      </c>
      <c r="N811" s="54" t="str">
        <f t="shared" si="62"/>
        <v/>
      </c>
      <c r="O811" s="55">
        <f t="shared" si="63"/>
        <v>557.44680851063833</v>
      </c>
      <c r="P811" s="55">
        <f t="shared" si="64"/>
        <v>524.73404255319156</v>
      </c>
      <c r="Q811" s="9" t="str">
        <f ca="1">IFERROR((VLOOKUP(A811,GM_Table,8,FALSE)-SUMIFS(D:D,A:A,A811,B:B,B811,C:C,C811)),"")</f>
        <v/>
      </c>
      <c r="R811" s="9" t="str">
        <f ca="1">IFERROR(CONCATENATE(VLOOKUP(A811,GM_Table,12,FALSE)," ",(VLOOKUP(A811,GM_Table,13,FALSE))),"")</f>
        <v/>
      </c>
    </row>
    <row r="812" spans="1:18" ht="15" x14ac:dyDescent="0.2">
      <c r="A812" s="193" t="s">
        <v>2813</v>
      </c>
      <c r="B812" s="9" t="s">
        <v>3290</v>
      </c>
      <c r="C812" s="9" t="s">
        <v>3291</v>
      </c>
      <c r="D812" s="252">
        <v>1.45</v>
      </c>
      <c r="E812" s="221">
        <v>894</v>
      </c>
      <c r="F812" s="246">
        <v>856</v>
      </c>
      <c r="G812" s="247">
        <v>538</v>
      </c>
      <c r="H812" s="9">
        <v>0</v>
      </c>
      <c r="I812" s="255">
        <v>0</v>
      </c>
      <c r="J812" s="122" t="b">
        <f>IF(ISBLANK(CertifiedCrop[[#This Row],[1. Identifiant interne d’exploitation agricole*]]),"",IF(ISERROR(MATCH(CertifiedCrop[[#This Row],[1. Identifiant interne d’exploitation agricole*]],GroupMember[1. Identifiant interne d’exploitation agricole*],0)),FALSE,TRUE))</f>
        <v>1</v>
      </c>
      <c r="K812" s="122" t="b">
        <f t="array" ref="K812">IF(ISBLANK(CertifiedCrop[[#This Row],[2. Produit agricole certifié*]]),"",IF(ISERROR(MATCH(1,(#REF!=CertifiedCrop[[#This Row],[2. Produit agricole certifié*]])*(#REF!=CertifiedCrop[[#This Row],[3. Variété**]]),0)),FALSE,TRUE))</f>
        <v>0</v>
      </c>
      <c r="L812" s="20" t="str">
        <f t="shared" si="60"/>
        <v/>
      </c>
      <c r="M812" s="54" t="str">
        <f t="shared" si="61"/>
        <v>!</v>
      </c>
      <c r="N812" s="54" t="str">
        <f t="shared" si="62"/>
        <v/>
      </c>
      <c r="O812" s="55">
        <f t="shared" si="63"/>
        <v>616.55172413793105</v>
      </c>
      <c r="P812" s="55">
        <f t="shared" si="64"/>
        <v>590.34482758620686</v>
      </c>
      <c r="Q812" s="9" t="str">
        <f ca="1">IFERROR((VLOOKUP(A812,GM_Table,8,FALSE)-SUMIFS(D:D,A:A,A812,B:B,B812,C:C,C812)),"")</f>
        <v/>
      </c>
      <c r="R812" s="9" t="str">
        <f ca="1">IFERROR(CONCATENATE(VLOOKUP(A812,GM_Table,12,FALSE)," ",(VLOOKUP(A812,GM_Table,13,FALSE))),"")</f>
        <v/>
      </c>
    </row>
    <row r="813" spans="1:18" ht="15" x14ac:dyDescent="0.2">
      <c r="A813" s="193" t="s">
        <v>2814</v>
      </c>
      <c r="B813" s="9" t="s">
        <v>3290</v>
      </c>
      <c r="C813" s="9" t="s">
        <v>3291</v>
      </c>
      <c r="D813" s="252">
        <v>0.91</v>
      </c>
      <c r="E813" s="221">
        <v>524</v>
      </c>
      <c r="F813" s="246">
        <v>506</v>
      </c>
      <c r="G813" s="247">
        <v>389</v>
      </c>
      <c r="H813" s="9">
        <v>0</v>
      </c>
      <c r="I813" s="255">
        <v>0</v>
      </c>
      <c r="J813" s="122" t="b">
        <f>IF(ISBLANK(CertifiedCrop[[#This Row],[1. Identifiant interne d’exploitation agricole*]]),"",IF(ISERROR(MATCH(CertifiedCrop[[#This Row],[1. Identifiant interne d’exploitation agricole*]],GroupMember[1. Identifiant interne d’exploitation agricole*],0)),FALSE,TRUE))</f>
        <v>1</v>
      </c>
      <c r="K813" s="122" t="b">
        <f t="array" ref="K813">IF(ISBLANK(CertifiedCrop[[#This Row],[2. Produit agricole certifié*]]),"",IF(ISERROR(MATCH(1,(#REF!=CertifiedCrop[[#This Row],[2. Produit agricole certifié*]])*(#REF!=CertifiedCrop[[#This Row],[3. Variété**]]),0)),FALSE,TRUE))</f>
        <v>0</v>
      </c>
      <c r="L813" s="20" t="str">
        <f t="shared" si="60"/>
        <v/>
      </c>
      <c r="M813" s="54" t="str">
        <f t="shared" si="61"/>
        <v>!</v>
      </c>
      <c r="N813" s="54" t="str">
        <f t="shared" si="62"/>
        <v/>
      </c>
      <c r="O813" s="55">
        <f t="shared" si="63"/>
        <v>575.82417582417577</v>
      </c>
      <c r="P813" s="55">
        <f t="shared" si="64"/>
        <v>556.04395604395597</v>
      </c>
      <c r="Q813" s="9" t="str">
        <f ca="1">IFERROR((VLOOKUP(A813,GM_Table,8,FALSE)-SUMIFS(D:D,A:A,A813,B:B,B813,C:C,C813)),"")</f>
        <v/>
      </c>
      <c r="R813" s="9" t="str">
        <f ca="1">IFERROR(CONCATENATE(VLOOKUP(A813,GM_Table,12,FALSE)," ",(VLOOKUP(A813,GM_Table,13,FALSE))),"")</f>
        <v/>
      </c>
    </row>
    <row r="814" spans="1:18" ht="15" x14ac:dyDescent="0.2">
      <c r="A814" s="193" t="s">
        <v>2815</v>
      </c>
      <c r="B814" s="9" t="s">
        <v>3290</v>
      </c>
      <c r="C814" s="9" t="s">
        <v>3291</v>
      </c>
      <c r="D814" s="252">
        <v>2.87</v>
      </c>
      <c r="E814" s="245">
        <v>1621</v>
      </c>
      <c r="F814" s="246">
        <v>1562</v>
      </c>
      <c r="G814" s="247">
        <v>1080</v>
      </c>
      <c r="H814" s="9">
        <v>0</v>
      </c>
      <c r="I814" s="255">
        <v>0</v>
      </c>
      <c r="J814" s="122" t="b">
        <f>IF(ISBLANK(CertifiedCrop[[#This Row],[1. Identifiant interne d’exploitation agricole*]]),"",IF(ISERROR(MATCH(CertifiedCrop[[#This Row],[1. Identifiant interne d’exploitation agricole*]],GroupMember[1. Identifiant interne d’exploitation agricole*],0)),FALSE,TRUE))</f>
        <v>1</v>
      </c>
      <c r="K814" s="122" t="b">
        <f t="array" ref="K814">IF(ISBLANK(CertifiedCrop[[#This Row],[2. Produit agricole certifié*]]),"",IF(ISERROR(MATCH(1,(#REF!=CertifiedCrop[[#This Row],[2. Produit agricole certifié*]])*(#REF!=CertifiedCrop[[#This Row],[3. Variété**]]),0)),FALSE,TRUE))</f>
        <v>0</v>
      </c>
      <c r="L814" s="20" t="str">
        <f t="shared" si="60"/>
        <v/>
      </c>
      <c r="M814" s="54" t="str">
        <f t="shared" si="61"/>
        <v>!</v>
      </c>
      <c r="N814" s="54" t="str">
        <f t="shared" si="62"/>
        <v/>
      </c>
      <c r="O814" s="55">
        <f t="shared" si="63"/>
        <v>564.80836236933794</v>
      </c>
      <c r="P814" s="55">
        <f t="shared" si="64"/>
        <v>544.2508710801394</v>
      </c>
      <c r="Q814" s="9" t="str">
        <f ca="1">IFERROR((VLOOKUP(A814,GM_Table,8,FALSE)-SUMIFS(D:D,A:A,A814,B:B,B814,C:C,C814)),"")</f>
        <v/>
      </c>
      <c r="R814" s="9" t="str">
        <f ca="1">IFERROR(CONCATENATE(VLOOKUP(A814,GM_Table,12,FALSE)," ",(VLOOKUP(A814,GM_Table,13,FALSE))),"")</f>
        <v/>
      </c>
    </row>
    <row r="815" spans="1:18" ht="15" x14ac:dyDescent="0.2">
      <c r="A815" s="193" t="s">
        <v>2816</v>
      </c>
      <c r="B815" s="9" t="s">
        <v>3290</v>
      </c>
      <c r="C815" s="9" t="s">
        <v>3291</v>
      </c>
      <c r="D815" s="252">
        <v>0.86</v>
      </c>
      <c r="E815" s="221">
        <v>514</v>
      </c>
      <c r="F815" s="246">
        <v>512</v>
      </c>
      <c r="G815" s="247">
        <v>421</v>
      </c>
      <c r="H815" s="9">
        <v>0</v>
      </c>
      <c r="I815" s="255">
        <v>0</v>
      </c>
      <c r="J815" s="122" t="b">
        <f>IF(ISBLANK(CertifiedCrop[[#This Row],[1. Identifiant interne d’exploitation agricole*]]),"",IF(ISERROR(MATCH(CertifiedCrop[[#This Row],[1. Identifiant interne d’exploitation agricole*]],GroupMember[1. Identifiant interne d’exploitation agricole*],0)),FALSE,TRUE))</f>
        <v>1</v>
      </c>
      <c r="K815" s="122" t="b">
        <f t="array" ref="K815">IF(ISBLANK(CertifiedCrop[[#This Row],[2. Produit agricole certifié*]]),"",IF(ISERROR(MATCH(1,(#REF!=CertifiedCrop[[#This Row],[2. Produit agricole certifié*]])*(#REF!=CertifiedCrop[[#This Row],[3. Variété**]]),0)),FALSE,TRUE))</f>
        <v>0</v>
      </c>
      <c r="L815" s="20" t="str">
        <f t="shared" si="60"/>
        <v/>
      </c>
      <c r="M815" s="54" t="str">
        <f t="shared" si="61"/>
        <v/>
      </c>
      <c r="N815" s="54" t="str">
        <f t="shared" si="62"/>
        <v/>
      </c>
      <c r="O815" s="55">
        <f t="shared" si="63"/>
        <v>597.67441860465112</v>
      </c>
      <c r="P815" s="55">
        <f t="shared" si="64"/>
        <v>595.34883720930236</v>
      </c>
      <c r="Q815" s="9" t="str">
        <f ca="1">IFERROR((VLOOKUP(A815,GM_Table,8,FALSE)-SUMIFS(D:D,A:A,A815,B:B,B815,C:C,C815)),"")</f>
        <v/>
      </c>
      <c r="R815" s="9" t="str">
        <f ca="1">IFERROR(CONCATENATE(VLOOKUP(A815,GM_Table,12,FALSE)," ",(VLOOKUP(A815,GM_Table,13,FALSE))),"")</f>
        <v/>
      </c>
    </row>
    <row r="816" spans="1:18" ht="15" x14ac:dyDescent="0.2">
      <c r="A816" s="193" t="s">
        <v>2818</v>
      </c>
      <c r="B816" s="9" t="s">
        <v>3290</v>
      </c>
      <c r="C816" s="9" t="s">
        <v>3291</v>
      </c>
      <c r="D816" s="252">
        <v>2.09</v>
      </c>
      <c r="E816" s="245">
        <v>1294</v>
      </c>
      <c r="F816" s="246">
        <v>1206</v>
      </c>
      <c r="G816" s="247">
        <v>127</v>
      </c>
      <c r="H816" s="9">
        <v>0</v>
      </c>
      <c r="I816" s="255">
        <v>0</v>
      </c>
      <c r="J816" s="122" t="b">
        <f>IF(ISBLANK(CertifiedCrop[[#This Row],[1. Identifiant interne d’exploitation agricole*]]),"",IF(ISERROR(MATCH(CertifiedCrop[[#This Row],[1. Identifiant interne d’exploitation agricole*]],GroupMember[1. Identifiant interne d’exploitation agricole*],0)),FALSE,TRUE))</f>
        <v>1</v>
      </c>
      <c r="K816" s="122" t="b">
        <f t="array" ref="K816">IF(ISBLANK(CertifiedCrop[[#This Row],[2. Produit agricole certifié*]]),"",IF(ISERROR(MATCH(1,(#REF!=CertifiedCrop[[#This Row],[2. Produit agricole certifié*]])*(#REF!=CertifiedCrop[[#This Row],[3. Variété**]]),0)),FALSE,TRUE))</f>
        <v>0</v>
      </c>
      <c r="L816" s="20" t="str">
        <f t="shared" si="60"/>
        <v/>
      </c>
      <c r="M816" s="54" t="str">
        <f t="shared" si="61"/>
        <v>!</v>
      </c>
      <c r="N816" s="54" t="str">
        <f t="shared" si="62"/>
        <v/>
      </c>
      <c r="O816" s="55">
        <f t="shared" si="63"/>
        <v>619.13875598086133</v>
      </c>
      <c r="P816" s="55">
        <f t="shared" si="64"/>
        <v>577.03349282296654</v>
      </c>
      <c r="Q816" s="9" t="str">
        <f ca="1">IFERROR((VLOOKUP(A816,GM_Table,8,FALSE)-SUMIFS(D:D,A:A,A816,B:B,B816,C:C,C816)),"")</f>
        <v/>
      </c>
      <c r="R816" s="9" t="str">
        <f ca="1">IFERROR(CONCATENATE(VLOOKUP(A816,GM_Table,12,FALSE)," ",(VLOOKUP(A816,GM_Table,13,FALSE))),"")</f>
        <v/>
      </c>
    </row>
    <row r="817" spans="1:18" ht="15" x14ac:dyDescent="0.2">
      <c r="A817" s="193" t="s">
        <v>2820</v>
      </c>
      <c r="B817" s="9" t="s">
        <v>3290</v>
      </c>
      <c r="C817" s="9" t="s">
        <v>3291</v>
      </c>
      <c r="D817" s="252">
        <v>1.63</v>
      </c>
      <c r="E817" s="245">
        <v>1022</v>
      </c>
      <c r="F817" s="246">
        <v>977</v>
      </c>
      <c r="G817" s="247">
        <v>977</v>
      </c>
      <c r="H817" s="9">
        <v>0</v>
      </c>
      <c r="I817" s="255">
        <v>0</v>
      </c>
      <c r="J817" s="122" t="b">
        <f>IF(ISBLANK(CertifiedCrop[[#This Row],[1. Identifiant interne d’exploitation agricole*]]),"",IF(ISERROR(MATCH(CertifiedCrop[[#This Row],[1. Identifiant interne d’exploitation agricole*]],GroupMember[1. Identifiant interne d’exploitation agricole*],0)),FALSE,TRUE))</f>
        <v>1</v>
      </c>
      <c r="K817" s="122" t="b">
        <f t="array" ref="K817">IF(ISBLANK(CertifiedCrop[[#This Row],[2. Produit agricole certifié*]]),"",IF(ISERROR(MATCH(1,(#REF!=CertifiedCrop[[#This Row],[2. Produit agricole certifié*]])*(#REF!=CertifiedCrop[[#This Row],[3. Variété**]]),0)),FALSE,TRUE))</f>
        <v>0</v>
      </c>
      <c r="L817" s="20" t="str">
        <f t="shared" si="60"/>
        <v/>
      </c>
      <c r="M817" s="54" t="str">
        <f t="shared" si="61"/>
        <v/>
      </c>
      <c r="N817" s="54" t="str">
        <f t="shared" si="62"/>
        <v/>
      </c>
      <c r="O817" s="55">
        <f t="shared" si="63"/>
        <v>626.9938650306749</v>
      </c>
      <c r="P817" s="55">
        <f t="shared" si="64"/>
        <v>599.38650306748468</v>
      </c>
      <c r="Q817" s="9" t="str">
        <f ca="1">IFERROR((VLOOKUP(A817,GM_Table,8,FALSE)-SUMIFS(D:D,A:A,A817,B:B,B817,C:C,C817)),"")</f>
        <v/>
      </c>
      <c r="R817" s="9" t="str">
        <f ca="1">IFERROR(CONCATENATE(VLOOKUP(A817,GM_Table,12,FALSE)," ",(VLOOKUP(A817,GM_Table,13,FALSE))),"")</f>
        <v/>
      </c>
    </row>
    <row r="818" spans="1:18" ht="15" x14ac:dyDescent="0.2">
      <c r="A818" s="193" t="s">
        <v>2821</v>
      </c>
      <c r="B818" s="9" t="s">
        <v>3290</v>
      </c>
      <c r="C818" s="9" t="s">
        <v>3291</v>
      </c>
      <c r="D818" s="252">
        <v>4.76</v>
      </c>
      <c r="E818" s="245">
        <v>2803</v>
      </c>
      <c r="F818" s="246">
        <v>2700</v>
      </c>
      <c r="G818" s="247">
        <v>2700</v>
      </c>
      <c r="H818" s="9">
        <v>0</v>
      </c>
      <c r="I818" s="255">
        <v>0</v>
      </c>
      <c r="J818" s="122" t="b">
        <f>IF(ISBLANK(CertifiedCrop[[#This Row],[1. Identifiant interne d’exploitation agricole*]]),"",IF(ISERROR(MATCH(CertifiedCrop[[#This Row],[1. Identifiant interne d’exploitation agricole*]],GroupMember[1. Identifiant interne d’exploitation agricole*],0)),FALSE,TRUE))</f>
        <v>1</v>
      </c>
      <c r="K818" s="122" t="b">
        <f t="array" ref="K818">IF(ISBLANK(CertifiedCrop[[#This Row],[2. Produit agricole certifié*]]),"",IF(ISERROR(MATCH(1,(#REF!=CertifiedCrop[[#This Row],[2. Produit agricole certifié*]])*(#REF!=CertifiedCrop[[#This Row],[3. Variété**]]),0)),FALSE,TRUE))</f>
        <v>0</v>
      </c>
      <c r="L818" s="20" t="str">
        <f t="shared" si="60"/>
        <v/>
      </c>
      <c r="M818" s="54" t="str">
        <f t="shared" si="61"/>
        <v/>
      </c>
      <c r="N818" s="54" t="str">
        <f t="shared" si="62"/>
        <v/>
      </c>
      <c r="O818" s="55">
        <f t="shared" si="63"/>
        <v>588.86554621848745</v>
      </c>
      <c r="P818" s="55">
        <f t="shared" si="64"/>
        <v>567.22689075630251</v>
      </c>
      <c r="Q818" s="9" t="str">
        <f ca="1">IFERROR((VLOOKUP(A818,GM_Table,8,FALSE)-SUMIFS(D:D,A:A,A818,B:B,B818,C:C,C818)),"")</f>
        <v/>
      </c>
      <c r="R818" s="9" t="str">
        <f ca="1">IFERROR(CONCATENATE(VLOOKUP(A818,GM_Table,12,FALSE)," ",(VLOOKUP(A818,GM_Table,13,FALSE))),"")</f>
        <v/>
      </c>
    </row>
    <row r="819" spans="1:18" ht="15" x14ac:dyDescent="0.2">
      <c r="A819" s="193" t="s">
        <v>2822</v>
      </c>
      <c r="B819" s="9" t="s">
        <v>3290</v>
      </c>
      <c r="C819" s="9" t="s">
        <v>3291</v>
      </c>
      <c r="D819" s="252">
        <v>1.86</v>
      </c>
      <c r="E819" s="245">
        <v>1099</v>
      </c>
      <c r="F819" s="246">
        <v>1007</v>
      </c>
      <c r="G819" s="247">
        <v>823</v>
      </c>
      <c r="H819" s="9">
        <v>0</v>
      </c>
      <c r="I819" s="255">
        <v>0</v>
      </c>
      <c r="J819" s="122" t="b">
        <f>IF(ISBLANK(CertifiedCrop[[#This Row],[1. Identifiant interne d’exploitation agricole*]]),"",IF(ISERROR(MATCH(CertifiedCrop[[#This Row],[1. Identifiant interne d’exploitation agricole*]],GroupMember[1. Identifiant interne d’exploitation agricole*],0)),FALSE,TRUE))</f>
        <v>1</v>
      </c>
      <c r="K819" s="122" t="b">
        <f t="array" ref="K819">IF(ISBLANK(CertifiedCrop[[#This Row],[2. Produit agricole certifié*]]),"",IF(ISERROR(MATCH(1,(#REF!=CertifiedCrop[[#This Row],[2. Produit agricole certifié*]])*(#REF!=CertifiedCrop[[#This Row],[3. Variété**]]),0)),FALSE,TRUE))</f>
        <v>0</v>
      </c>
      <c r="L819" s="20" t="str">
        <f t="shared" ref="L819:L882" si="65">IF((F819-G819)&lt;0,"!","")</f>
        <v/>
      </c>
      <c r="M819" s="54" t="str">
        <f t="shared" ref="M819:M882" si="66">IFERROR(IF((F819-G819)/G819&gt;25%,"!",IF((F819-G819)/G819&lt;-25%,"!","")),"")</f>
        <v/>
      </c>
      <c r="N819" s="54" t="str">
        <f t="shared" ref="N819:N882" si="67">IFERROR(IF((G819-H819)/H819&gt;25%,"!",IF((G819-H819)/H819&lt;-25%,"!","")),"")</f>
        <v/>
      </c>
      <c r="O819" s="55">
        <f t="shared" ref="O819:O882" si="68">IFERROR(E819/D819,"")</f>
        <v>590.86021505376345</v>
      </c>
      <c r="P819" s="55">
        <f t="shared" ref="P819:P882" si="69">IFERROR(F819/D819,"")</f>
        <v>541.39784946236557</v>
      </c>
      <c r="Q819" s="9" t="str">
        <f ca="1">IFERROR((VLOOKUP(A819,GM_Table,8,FALSE)-SUMIFS(D:D,A:A,A819,B:B,B819,C:C,C819)),"")</f>
        <v/>
      </c>
      <c r="R819" s="9" t="str">
        <f ca="1">IFERROR(CONCATENATE(VLOOKUP(A819,GM_Table,12,FALSE)," ",(VLOOKUP(A819,GM_Table,13,FALSE))),"")</f>
        <v/>
      </c>
    </row>
    <row r="820" spans="1:18" ht="15" x14ac:dyDescent="0.2">
      <c r="A820" s="193" t="s">
        <v>2823</v>
      </c>
      <c r="B820" s="9" t="s">
        <v>3290</v>
      </c>
      <c r="C820" s="9" t="s">
        <v>3291</v>
      </c>
      <c r="D820" s="252">
        <v>4.78</v>
      </c>
      <c r="E820" s="245">
        <v>2624</v>
      </c>
      <c r="F820" s="246">
        <v>2562</v>
      </c>
      <c r="G820" s="247">
        <v>2381</v>
      </c>
      <c r="H820" s="9">
        <v>0</v>
      </c>
      <c r="I820" s="255">
        <v>0</v>
      </c>
      <c r="J820" s="122" t="b">
        <f>IF(ISBLANK(CertifiedCrop[[#This Row],[1. Identifiant interne d’exploitation agricole*]]),"",IF(ISERROR(MATCH(CertifiedCrop[[#This Row],[1. Identifiant interne d’exploitation agricole*]],GroupMember[1. Identifiant interne d’exploitation agricole*],0)),FALSE,TRUE))</f>
        <v>1</v>
      </c>
      <c r="K820" s="122" t="b">
        <f t="array" ref="K820">IF(ISBLANK(CertifiedCrop[[#This Row],[2. Produit agricole certifié*]]),"",IF(ISERROR(MATCH(1,(#REF!=CertifiedCrop[[#This Row],[2. Produit agricole certifié*]])*(#REF!=CertifiedCrop[[#This Row],[3. Variété**]]),0)),FALSE,TRUE))</f>
        <v>0</v>
      </c>
      <c r="L820" s="20" t="str">
        <f t="shared" si="65"/>
        <v/>
      </c>
      <c r="M820" s="54" t="str">
        <f t="shared" si="66"/>
        <v/>
      </c>
      <c r="N820" s="54" t="str">
        <f t="shared" si="67"/>
        <v/>
      </c>
      <c r="O820" s="55">
        <f t="shared" si="68"/>
        <v>548.95397489539744</v>
      </c>
      <c r="P820" s="55">
        <f t="shared" si="69"/>
        <v>535.98326359832629</v>
      </c>
      <c r="Q820" s="9" t="str">
        <f ca="1">IFERROR((VLOOKUP(A820,GM_Table,8,FALSE)-SUMIFS(D:D,A:A,A820,B:B,B820,C:C,C820)),"")</f>
        <v/>
      </c>
      <c r="R820" s="9" t="str">
        <f ca="1">IFERROR(CONCATENATE(VLOOKUP(A820,GM_Table,12,FALSE)," ",(VLOOKUP(A820,GM_Table,13,FALSE))),"")</f>
        <v/>
      </c>
    </row>
    <row r="821" spans="1:18" ht="15" x14ac:dyDescent="0.2">
      <c r="A821" s="193" t="s">
        <v>2827</v>
      </c>
      <c r="B821" s="9" t="s">
        <v>3290</v>
      </c>
      <c r="C821" s="9" t="s">
        <v>3291</v>
      </c>
      <c r="D821" s="252">
        <v>4.9800000000000004</v>
      </c>
      <c r="E821" s="245">
        <v>2890</v>
      </c>
      <c r="F821" s="246">
        <v>2689</v>
      </c>
      <c r="G821" s="247">
        <v>2572</v>
      </c>
      <c r="H821" s="9">
        <v>0</v>
      </c>
      <c r="I821" s="255">
        <v>0</v>
      </c>
      <c r="J821" s="122" t="b">
        <f>IF(ISBLANK(CertifiedCrop[[#This Row],[1. Identifiant interne d’exploitation agricole*]]),"",IF(ISERROR(MATCH(CertifiedCrop[[#This Row],[1. Identifiant interne d’exploitation agricole*]],GroupMember[1. Identifiant interne d’exploitation agricole*],0)),FALSE,TRUE))</f>
        <v>1</v>
      </c>
      <c r="K821" s="122" t="b">
        <f t="array" ref="K821">IF(ISBLANK(CertifiedCrop[[#This Row],[2. Produit agricole certifié*]]),"",IF(ISERROR(MATCH(1,(#REF!=CertifiedCrop[[#This Row],[2. Produit agricole certifié*]])*(#REF!=CertifiedCrop[[#This Row],[3. Variété**]]),0)),FALSE,TRUE))</f>
        <v>0</v>
      </c>
      <c r="L821" s="20" t="str">
        <f t="shared" si="65"/>
        <v/>
      </c>
      <c r="M821" s="54" t="str">
        <f t="shared" si="66"/>
        <v/>
      </c>
      <c r="N821" s="54" t="str">
        <f t="shared" si="67"/>
        <v/>
      </c>
      <c r="O821" s="55">
        <f t="shared" si="68"/>
        <v>580.32128514056217</v>
      </c>
      <c r="P821" s="55">
        <f t="shared" si="69"/>
        <v>539.9598393574297</v>
      </c>
      <c r="Q821" s="9" t="str">
        <f ca="1">IFERROR((VLOOKUP(A821,GM_Table,8,FALSE)-SUMIFS(D:D,A:A,A821,B:B,B821,C:C,C821)),"")</f>
        <v/>
      </c>
      <c r="R821" s="9" t="str">
        <f ca="1">IFERROR(CONCATENATE(VLOOKUP(A821,GM_Table,12,FALSE)," ",(VLOOKUP(A821,GM_Table,13,FALSE))),"")</f>
        <v/>
      </c>
    </row>
    <row r="822" spans="1:18" ht="15" x14ac:dyDescent="0.2">
      <c r="A822" s="193" t="s">
        <v>2828</v>
      </c>
      <c r="B822" s="9" t="s">
        <v>3290</v>
      </c>
      <c r="C822" s="9" t="s">
        <v>3291</v>
      </c>
      <c r="D822" s="252">
        <v>3.28</v>
      </c>
      <c r="E822" s="245">
        <v>1780</v>
      </c>
      <c r="F822" s="246">
        <v>1682</v>
      </c>
      <c r="G822" s="247">
        <v>1682</v>
      </c>
      <c r="H822" s="9">
        <v>0</v>
      </c>
      <c r="I822" s="255">
        <v>0</v>
      </c>
      <c r="J822" s="122" t="b">
        <f>IF(ISBLANK(CertifiedCrop[[#This Row],[1. Identifiant interne d’exploitation agricole*]]),"",IF(ISERROR(MATCH(CertifiedCrop[[#This Row],[1. Identifiant interne d’exploitation agricole*]],GroupMember[1. Identifiant interne d’exploitation agricole*],0)),FALSE,TRUE))</f>
        <v>1</v>
      </c>
      <c r="K822" s="122" t="b">
        <f t="array" ref="K822">IF(ISBLANK(CertifiedCrop[[#This Row],[2. Produit agricole certifié*]]),"",IF(ISERROR(MATCH(1,(#REF!=CertifiedCrop[[#This Row],[2. Produit agricole certifié*]])*(#REF!=CertifiedCrop[[#This Row],[3. Variété**]]),0)),FALSE,TRUE))</f>
        <v>0</v>
      </c>
      <c r="L822" s="20" t="str">
        <f t="shared" si="65"/>
        <v/>
      </c>
      <c r="M822" s="54" t="str">
        <f t="shared" si="66"/>
        <v/>
      </c>
      <c r="N822" s="54" t="str">
        <f t="shared" si="67"/>
        <v/>
      </c>
      <c r="O822" s="55">
        <f t="shared" si="68"/>
        <v>542.68292682926835</v>
      </c>
      <c r="P822" s="55">
        <f t="shared" si="69"/>
        <v>512.80487804878055</v>
      </c>
      <c r="Q822" s="9" t="str">
        <f ca="1">IFERROR((VLOOKUP(A822,GM_Table,8,FALSE)-SUMIFS(D:D,A:A,A822,B:B,B822,C:C,C822)),"")</f>
        <v/>
      </c>
      <c r="R822" s="9" t="str">
        <f ca="1">IFERROR(CONCATENATE(VLOOKUP(A822,GM_Table,12,FALSE)," ",(VLOOKUP(A822,GM_Table,13,FALSE))),"")</f>
        <v/>
      </c>
    </row>
    <row r="823" spans="1:18" ht="15" x14ac:dyDescent="0.2">
      <c r="A823" s="193" t="s">
        <v>2829</v>
      </c>
      <c r="B823" s="9" t="s">
        <v>3290</v>
      </c>
      <c r="C823" s="9" t="s">
        <v>3291</v>
      </c>
      <c r="D823" s="252">
        <v>1.97</v>
      </c>
      <c r="E823" s="245">
        <v>1233</v>
      </c>
      <c r="F823" s="246">
        <v>1187</v>
      </c>
      <c r="G823" s="247">
        <v>554</v>
      </c>
      <c r="H823" s="9">
        <v>0</v>
      </c>
      <c r="I823" s="255">
        <v>0</v>
      </c>
      <c r="J823" s="122" t="b">
        <f>IF(ISBLANK(CertifiedCrop[[#This Row],[1. Identifiant interne d’exploitation agricole*]]),"",IF(ISERROR(MATCH(CertifiedCrop[[#This Row],[1. Identifiant interne d’exploitation agricole*]],GroupMember[1. Identifiant interne d’exploitation agricole*],0)),FALSE,TRUE))</f>
        <v>1</v>
      </c>
      <c r="K823" s="122" t="b">
        <f t="array" ref="K823">IF(ISBLANK(CertifiedCrop[[#This Row],[2. Produit agricole certifié*]]),"",IF(ISERROR(MATCH(1,(#REF!=CertifiedCrop[[#This Row],[2. Produit agricole certifié*]])*(#REF!=CertifiedCrop[[#This Row],[3. Variété**]]),0)),FALSE,TRUE))</f>
        <v>0</v>
      </c>
      <c r="L823" s="20" t="str">
        <f t="shared" si="65"/>
        <v/>
      </c>
      <c r="M823" s="54" t="str">
        <f t="shared" si="66"/>
        <v>!</v>
      </c>
      <c r="N823" s="54" t="str">
        <f t="shared" si="67"/>
        <v/>
      </c>
      <c r="O823" s="55">
        <f t="shared" si="68"/>
        <v>625.88832487309651</v>
      </c>
      <c r="P823" s="55">
        <f t="shared" si="69"/>
        <v>602.53807106598981</v>
      </c>
      <c r="Q823" s="9" t="str">
        <f ca="1">IFERROR((VLOOKUP(A823,GM_Table,8,FALSE)-SUMIFS(D:D,A:A,A823,B:B,B823,C:C,C823)),"")</f>
        <v/>
      </c>
      <c r="R823" s="9" t="str">
        <f ca="1">IFERROR(CONCATENATE(VLOOKUP(A823,GM_Table,12,FALSE)," ",(VLOOKUP(A823,GM_Table,13,FALSE))),"")</f>
        <v/>
      </c>
    </row>
    <row r="824" spans="1:18" ht="15" x14ac:dyDescent="0.2">
      <c r="A824" s="193" t="s">
        <v>2830</v>
      </c>
      <c r="B824" s="9" t="s">
        <v>3290</v>
      </c>
      <c r="C824" s="9" t="s">
        <v>3291</v>
      </c>
      <c r="D824" s="252">
        <v>12.78</v>
      </c>
      <c r="E824" s="245">
        <v>6567</v>
      </c>
      <c r="F824" s="246">
        <v>6325</v>
      </c>
      <c r="G824" s="247">
        <v>1456</v>
      </c>
      <c r="H824" s="9">
        <v>0</v>
      </c>
      <c r="I824" s="255">
        <v>0</v>
      </c>
      <c r="J824" s="122" t="b">
        <f>IF(ISBLANK(CertifiedCrop[[#This Row],[1. Identifiant interne d’exploitation agricole*]]),"",IF(ISERROR(MATCH(CertifiedCrop[[#This Row],[1. Identifiant interne d’exploitation agricole*]],GroupMember[1. Identifiant interne d’exploitation agricole*],0)),FALSE,TRUE))</f>
        <v>1</v>
      </c>
      <c r="K824" s="122" t="b">
        <f t="array" ref="K824">IF(ISBLANK(CertifiedCrop[[#This Row],[2. Produit agricole certifié*]]),"",IF(ISERROR(MATCH(1,(#REF!=CertifiedCrop[[#This Row],[2. Produit agricole certifié*]])*(#REF!=CertifiedCrop[[#This Row],[3. Variété**]]),0)),FALSE,TRUE))</f>
        <v>0</v>
      </c>
      <c r="L824" s="20" t="str">
        <f t="shared" si="65"/>
        <v/>
      </c>
      <c r="M824" s="54" t="str">
        <f t="shared" si="66"/>
        <v>!</v>
      </c>
      <c r="N824" s="54" t="str">
        <f t="shared" si="67"/>
        <v/>
      </c>
      <c r="O824" s="55">
        <f t="shared" si="68"/>
        <v>513.84976525821594</v>
      </c>
      <c r="P824" s="55">
        <f t="shared" si="69"/>
        <v>494.91392801251959</v>
      </c>
      <c r="Q824" s="9" t="str">
        <f ca="1">IFERROR((VLOOKUP(A824,GM_Table,8,FALSE)-SUMIFS(D:D,A:A,A824,B:B,B824,C:C,C824)),"")</f>
        <v/>
      </c>
      <c r="R824" s="9" t="str">
        <f ca="1">IFERROR(CONCATENATE(VLOOKUP(A824,GM_Table,12,FALSE)," ",(VLOOKUP(A824,GM_Table,13,FALSE))),"")</f>
        <v/>
      </c>
    </row>
    <row r="825" spans="1:18" ht="15" x14ac:dyDescent="0.2">
      <c r="A825" s="193" t="s">
        <v>2832</v>
      </c>
      <c r="B825" s="9" t="s">
        <v>3290</v>
      </c>
      <c r="C825" s="9" t="s">
        <v>3291</v>
      </c>
      <c r="D825" s="252">
        <v>10.36</v>
      </c>
      <c r="E825" s="245">
        <v>5501</v>
      </c>
      <c r="F825" s="246">
        <v>5284</v>
      </c>
      <c r="G825" s="247">
        <v>5284</v>
      </c>
      <c r="H825" s="9">
        <v>0</v>
      </c>
      <c r="I825" s="255">
        <v>0</v>
      </c>
      <c r="J825" s="122" t="b">
        <f>IF(ISBLANK(CertifiedCrop[[#This Row],[1. Identifiant interne d’exploitation agricole*]]),"",IF(ISERROR(MATCH(CertifiedCrop[[#This Row],[1. Identifiant interne d’exploitation agricole*]],GroupMember[1. Identifiant interne d’exploitation agricole*],0)),FALSE,TRUE))</f>
        <v>1</v>
      </c>
      <c r="K825" s="122" t="b">
        <f t="array" ref="K825">IF(ISBLANK(CertifiedCrop[[#This Row],[2. Produit agricole certifié*]]),"",IF(ISERROR(MATCH(1,(#REF!=CertifiedCrop[[#This Row],[2. Produit agricole certifié*]])*(#REF!=CertifiedCrop[[#This Row],[3. Variété**]]),0)),FALSE,TRUE))</f>
        <v>0</v>
      </c>
      <c r="L825" s="20" t="str">
        <f t="shared" si="65"/>
        <v/>
      </c>
      <c r="M825" s="54" t="str">
        <f t="shared" si="66"/>
        <v/>
      </c>
      <c r="N825" s="54" t="str">
        <f t="shared" si="67"/>
        <v/>
      </c>
      <c r="O825" s="55">
        <f t="shared" si="68"/>
        <v>530.98455598455598</v>
      </c>
      <c r="P825" s="55">
        <f t="shared" si="69"/>
        <v>510.03861003861005</v>
      </c>
      <c r="Q825" s="9" t="str">
        <f ca="1">IFERROR((VLOOKUP(A825,GM_Table,8,FALSE)-SUMIFS(D:D,A:A,A825,B:B,B825,C:C,C825)),"")</f>
        <v/>
      </c>
      <c r="R825" s="9" t="str">
        <f ca="1">IFERROR(CONCATENATE(VLOOKUP(A825,GM_Table,12,FALSE)," ",(VLOOKUP(A825,GM_Table,13,FALSE))),"")</f>
        <v/>
      </c>
    </row>
    <row r="826" spans="1:18" ht="15" x14ac:dyDescent="0.2">
      <c r="A826" s="193" t="s">
        <v>2834</v>
      </c>
      <c r="B826" s="9" t="s">
        <v>3290</v>
      </c>
      <c r="C826" s="9" t="s">
        <v>3291</v>
      </c>
      <c r="D826" s="252">
        <v>2.98</v>
      </c>
      <c r="E826" s="245">
        <v>1665</v>
      </c>
      <c r="F826" s="246">
        <v>1596</v>
      </c>
      <c r="G826" s="247">
        <v>1392</v>
      </c>
      <c r="H826" s="9">
        <v>0</v>
      </c>
      <c r="I826" s="255">
        <v>0</v>
      </c>
      <c r="J826" s="122" t="b">
        <f>IF(ISBLANK(CertifiedCrop[[#This Row],[1. Identifiant interne d’exploitation agricole*]]),"",IF(ISERROR(MATCH(CertifiedCrop[[#This Row],[1. Identifiant interne d’exploitation agricole*]],GroupMember[1. Identifiant interne d’exploitation agricole*],0)),FALSE,TRUE))</f>
        <v>1</v>
      </c>
      <c r="K826" s="122" t="b">
        <f t="array" ref="K826">IF(ISBLANK(CertifiedCrop[[#This Row],[2. Produit agricole certifié*]]),"",IF(ISERROR(MATCH(1,(#REF!=CertifiedCrop[[#This Row],[2. Produit agricole certifié*]])*(#REF!=CertifiedCrop[[#This Row],[3. Variété**]]),0)),FALSE,TRUE))</f>
        <v>0</v>
      </c>
      <c r="L826" s="20" t="str">
        <f t="shared" si="65"/>
        <v/>
      </c>
      <c r="M826" s="54" t="str">
        <f t="shared" si="66"/>
        <v/>
      </c>
      <c r="N826" s="54" t="str">
        <f t="shared" si="67"/>
        <v/>
      </c>
      <c r="O826" s="55">
        <f t="shared" si="68"/>
        <v>558.72483221476512</v>
      </c>
      <c r="P826" s="55">
        <f t="shared" si="69"/>
        <v>535.57046979865777</v>
      </c>
      <c r="Q826" s="9" t="str">
        <f ca="1">IFERROR((VLOOKUP(A826,GM_Table,8,FALSE)-SUMIFS(D:D,A:A,A826,B:B,B826,C:C,C826)),"")</f>
        <v/>
      </c>
      <c r="R826" s="9" t="str">
        <f ca="1">IFERROR(CONCATENATE(VLOOKUP(A826,GM_Table,12,FALSE)," ",(VLOOKUP(A826,GM_Table,13,FALSE))),"")</f>
        <v/>
      </c>
    </row>
    <row r="827" spans="1:18" ht="15" x14ac:dyDescent="0.2">
      <c r="A827" s="193" t="s">
        <v>2836</v>
      </c>
      <c r="B827" s="9" t="s">
        <v>3290</v>
      </c>
      <c r="C827" s="9" t="s">
        <v>3291</v>
      </c>
      <c r="D827" s="256">
        <v>5</v>
      </c>
      <c r="E827" s="245">
        <v>2832</v>
      </c>
      <c r="F827" s="246">
        <v>2748</v>
      </c>
      <c r="G827" s="247">
        <v>0</v>
      </c>
      <c r="H827" s="9">
        <v>0</v>
      </c>
      <c r="I827" s="255">
        <v>0</v>
      </c>
      <c r="J827" s="122" t="b">
        <f>IF(ISBLANK(CertifiedCrop[[#This Row],[1. Identifiant interne d’exploitation agricole*]]),"",IF(ISERROR(MATCH(CertifiedCrop[[#This Row],[1. Identifiant interne d’exploitation agricole*]],GroupMember[1. Identifiant interne d’exploitation agricole*],0)),FALSE,TRUE))</f>
        <v>1</v>
      </c>
      <c r="K827" s="122" t="b">
        <f t="array" ref="K827">IF(ISBLANK(CertifiedCrop[[#This Row],[2. Produit agricole certifié*]]),"",IF(ISERROR(MATCH(1,(#REF!=CertifiedCrop[[#This Row],[2. Produit agricole certifié*]])*(#REF!=CertifiedCrop[[#This Row],[3. Variété**]]),0)),FALSE,TRUE))</f>
        <v>0</v>
      </c>
      <c r="L827" s="20" t="str">
        <f t="shared" si="65"/>
        <v/>
      </c>
      <c r="M827" s="54" t="str">
        <f t="shared" si="66"/>
        <v/>
      </c>
      <c r="N827" s="54" t="str">
        <f t="shared" si="67"/>
        <v/>
      </c>
      <c r="O827" s="55">
        <f t="shared" si="68"/>
        <v>566.4</v>
      </c>
      <c r="P827" s="55">
        <f t="shared" si="69"/>
        <v>549.6</v>
      </c>
      <c r="Q827" s="9" t="str">
        <f ca="1">IFERROR((VLOOKUP(A827,GM_Table,8,FALSE)-SUMIFS(D:D,A:A,A827,B:B,B827,C:C,C827)),"")</f>
        <v/>
      </c>
      <c r="R827" s="9" t="str">
        <f ca="1">IFERROR(CONCATENATE(VLOOKUP(A827,GM_Table,12,FALSE)," ",(VLOOKUP(A827,GM_Table,13,FALSE))),"")</f>
        <v/>
      </c>
    </row>
    <row r="828" spans="1:18" ht="15" x14ac:dyDescent="0.2">
      <c r="A828" s="193" t="s">
        <v>2841</v>
      </c>
      <c r="B828" s="9" t="s">
        <v>3290</v>
      </c>
      <c r="C828" s="9" t="s">
        <v>3291</v>
      </c>
      <c r="D828" s="256">
        <v>1.86</v>
      </c>
      <c r="E828" s="245">
        <v>1058</v>
      </c>
      <c r="F828" s="246">
        <v>965</v>
      </c>
      <c r="G828" s="247">
        <v>0</v>
      </c>
      <c r="H828" s="9">
        <v>0</v>
      </c>
      <c r="I828" s="255">
        <v>0</v>
      </c>
      <c r="J828" s="122" t="b">
        <f>IF(ISBLANK(CertifiedCrop[[#This Row],[1. Identifiant interne d’exploitation agricole*]]),"",IF(ISERROR(MATCH(CertifiedCrop[[#This Row],[1. Identifiant interne d’exploitation agricole*]],GroupMember[1. Identifiant interne d’exploitation agricole*],0)),FALSE,TRUE))</f>
        <v>1</v>
      </c>
      <c r="K828" s="122" t="b">
        <f t="array" ref="K828">IF(ISBLANK(CertifiedCrop[[#This Row],[2. Produit agricole certifié*]]),"",IF(ISERROR(MATCH(1,(#REF!=CertifiedCrop[[#This Row],[2. Produit agricole certifié*]])*(#REF!=CertifiedCrop[[#This Row],[3. Variété**]]),0)),FALSE,TRUE))</f>
        <v>0</v>
      </c>
      <c r="L828" s="20" t="str">
        <f t="shared" si="65"/>
        <v/>
      </c>
      <c r="M828" s="54" t="str">
        <f t="shared" si="66"/>
        <v/>
      </c>
      <c r="N828" s="54" t="str">
        <f t="shared" si="67"/>
        <v/>
      </c>
      <c r="O828" s="55">
        <f t="shared" si="68"/>
        <v>568.81720430107521</v>
      </c>
      <c r="P828" s="55">
        <f t="shared" si="69"/>
        <v>518.81720430107521</v>
      </c>
      <c r="Q828" s="9" t="str">
        <f ca="1">IFERROR((VLOOKUP(A828,GM_Table,8,FALSE)-SUMIFS(D:D,A:A,A828,B:B,B828,C:C,C828)),"")</f>
        <v/>
      </c>
      <c r="R828" s="9" t="str">
        <f ca="1">IFERROR(CONCATENATE(VLOOKUP(A828,GM_Table,12,FALSE)," ",(VLOOKUP(A828,GM_Table,13,FALSE))),"")</f>
        <v/>
      </c>
    </row>
    <row r="829" spans="1:18" ht="15" x14ac:dyDescent="0.2">
      <c r="A829" s="193" t="s">
        <v>2845</v>
      </c>
      <c r="B829" s="9" t="s">
        <v>3290</v>
      </c>
      <c r="C829" s="9" t="s">
        <v>3291</v>
      </c>
      <c r="D829" s="256">
        <v>1.9165000000000001</v>
      </c>
      <c r="E829" s="245">
        <v>1126</v>
      </c>
      <c r="F829" s="246">
        <v>1087</v>
      </c>
      <c r="G829" s="247">
        <v>0</v>
      </c>
      <c r="H829" s="9">
        <v>0</v>
      </c>
      <c r="I829" s="255">
        <v>0</v>
      </c>
      <c r="J829" s="122" t="b">
        <f>IF(ISBLANK(CertifiedCrop[[#This Row],[1. Identifiant interne d’exploitation agricole*]]),"",IF(ISERROR(MATCH(CertifiedCrop[[#This Row],[1. Identifiant interne d’exploitation agricole*]],GroupMember[1. Identifiant interne d’exploitation agricole*],0)),FALSE,TRUE))</f>
        <v>1</v>
      </c>
      <c r="K829" s="122" t="b">
        <f t="array" ref="K829">IF(ISBLANK(CertifiedCrop[[#This Row],[2. Produit agricole certifié*]]),"",IF(ISERROR(MATCH(1,(#REF!=CertifiedCrop[[#This Row],[2. Produit agricole certifié*]])*(#REF!=CertifiedCrop[[#This Row],[3. Variété**]]),0)),FALSE,TRUE))</f>
        <v>0</v>
      </c>
      <c r="L829" s="20" t="str">
        <f t="shared" si="65"/>
        <v/>
      </c>
      <c r="M829" s="54" t="str">
        <f t="shared" si="66"/>
        <v/>
      </c>
      <c r="N829" s="54" t="str">
        <f t="shared" si="67"/>
        <v/>
      </c>
      <c r="O829" s="55">
        <f t="shared" si="68"/>
        <v>587.52935037829377</v>
      </c>
      <c r="P829" s="55">
        <f t="shared" si="69"/>
        <v>567.17975476128356</v>
      </c>
      <c r="Q829" s="9" t="str">
        <f ca="1">IFERROR((VLOOKUP(A829,GM_Table,8,FALSE)-SUMIFS(D:D,A:A,A829,B:B,B829,C:C,C829)),"")</f>
        <v/>
      </c>
      <c r="R829" s="9" t="str">
        <f ca="1">IFERROR(CONCATENATE(VLOOKUP(A829,GM_Table,12,FALSE)," ",(VLOOKUP(A829,GM_Table,13,FALSE))),"")</f>
        <v/>
      </c>
    </row>
    <row r="830" spans="1:18" ht="15" x14ac:dyDescent="0.2">
      <c r="A830" s="193" t="s">
        <v>2849</v>
      </c>
      <c r="B830" s="9" t="s">
        <v>3290</v>
      </c>
      <c r="C830" s="9" t="s">
        <v>3291</v>
      </c>
      <c r="D830" s="256">
        <v>1.5047999999999999</v>
      </c>
      <c r="E830" s="221">
        <v>811</v>
      </c>
      <c r="F830" s="246">
        <v>845</v>
      </c>
      <c r="G830" s="247">
        <v>0</v>
      </c>
      <c r="H830" s="9">
        <v>0</v>
      </c>
      <c r="I830" s="255">
        <v>0</v>
      </c>
      <c r="J830" s="122" t="b">
        <f>IF(ISBLANK(CertifiedCrop[[#This Row],[1. Identifiant interne d’exploitation agricole*]]),"",IF(ISERROR(MATCH(CertifiedCrop[[#This Row],[1. Identifiant interne d’exploitation agricole*]],GroupMember[1. Identifiant interne d’exploitation agricole*],0)),FALSE,TRUE))</f>
        <v>1</v>
      </c>
      <c r="K830" s="122" t="b">
        <f t="array" ref="K830">IF(ISBLANK(CertifiedCrop[[#This Row],[2. Produit agricole certifié*]]),"",IF(ISERROR(MATCH(1,(#REF!=CertifiedCrop[[#This Row],[2. Produit agricole certifié*]])*(#REF!=CertifiedCrop[[#This Row],[3. Variété**]]),0)),FALSE,TRUE))</f>
        <v>0</v>
      </c>
      <c r="L830" s="20" t="str">
        <f t="shared" si="65"/>
        <v/>
      </c>
      <c r="M830" s="54" t="str">
        <f t="shared" si="66"/>
        <v/>
      </c>
      <c r="N830" s="54" t="str">
        <f t="shared" si="67"/>
        <v/>
      </c>
      <c r="O830" s="55">
        <f t="shared" si="68"/>
        <v>538.94205209994686</v>
      </c>
      <c r="P830" s="55">
        <f t="shared" si="69"/>
        <v>561.53641679957468</v>
      </c>
      <c r="Q830" s="9" t="str">
        <f ca="1">IFERROR((VLOOKUP(A830,GM_Table,8,FALSE)-SUMIFS(D:D,A:A,A830,B:B,B830,C:C,C830)),"")</f>
        <v/>
      </c>
      <c r="R830" s="9" t="str">
        <f ca="1">IFERROR(CONCATENATE(VLOOKUP(A830,GM_Table,12,FALSE)," ",(VLOOKUP(A830,GM_Table,13,FALSE))),"")</f>
        <v/>
      </c>
    </row>
    <row r="831" spans="1:18" ht="15" x14ac:dyDescent="0.2">
      <c r="A831" s="193" t="s">
        <v>2852</v>
      </c>
      <c r="B831" s="9" t="s">
        <v>3290</v>
      </c>
      <c r="C831" s="9" t="s">
        <v>3291</v>
      </c>
      <c r="D831" s="256">
        <v>1.0746</v>
      </c>
      <c r="E831" s="221">
        <v>585</v>
      </c>
      <c r="F831" s="246">
        <v>562</v>
      </c>
      <c r="G831" s="247">
        <v>0</v>
      </c>
      <c r="H831" s="9">
        <v>0</v>
      </c>
      <c r="I831" s="255">
        <v>0</v>
      </c>
      <c r="J831" s="122" t="b">
        <f>IF(ISBLANK(CertifiedCrop[[#This Row],[1. Identifiant interne d’exploitation agricole*]]),"",IF(ISERROR(MATCH(CertifiedCrop[[#This Row],[1. Identifiant interne d’exploitation agricole*]],GroupMember[1. Identifiant interne d’exploitation agricole*],0)),FALSE,TRUE))</f>
        <v>1</v>
      </c>
      <c r="K831" s="122" t="b">
        <f t="array" ref="K831">IF(ISBLANK(CertifiedCrop[[#This Row],[2. Produit agricole certifié*]]),"",IF(ISERROR(MATCH(1,(#REF!=CertifiedCrop[[#This Row],[2. Produit agricole certifié*]])*(#REF!=CertifiedCrop[[#This Row],[3. Variété**]]),0)),FALSE,TRUE))</f>
        <v>0</v>
      </c>
      <c r="L831" s="20" t="str">
        <f t="shared" si="65"/>
        <v/>
      </c>
      <c r="M831" s="54" t="str">
        <f t="shared" si="66"/>
        <v/>
      </c>
      <c r="N831" s="54" t="str">
        <f t="shared" si="67"/>
        <v/>
      </c>
      <c r="O831" s="55">
        <f t="shared" si="68"/>
        <v>544.38860971524286</v>
      </c>
      <c r="P831" s="55">
        <f t="shared" si="69"/>
        <v>522.98529685464359</v>
      </c>
      <c r="Q831" s="9" t="str">
        <f ca="1">IFERROR((VLOOKUP(A831,GM_Table,8,FALSE)-SUMIFS(D:D,A:A,A831,B:B,B831,C:C,C831)),"")</f>
        <v/>
      </c>
      <c r="R831" s="9" t="str">
        <f ca="1">IFERROR(CONCATENATE(VLOOKUP(A831,GM_Table,12,FALSE)," ",(VLOOKUP(A831,GM_Table,13,FALSE))),"")</f>
        <v/>
      </c>
    </row>
    <row r="832" spans="1:18" ht="15" x14ac:dyDescent="0.2">
      <c r="A832" s="193" t="s">
        <v>2854</v>
      </c>
      <c r="B832" s="9" t="s">
        <v>3290</v>
      </c>
      <c r="C832" s="9" t="s">
        <v>3291</v>
      </c>
      <c r="D832" s="256">
        <v>1.1218999999999999</v>
      </c>
      <c r="E832" s="221">
        <v>632</v>
      </c>
      <c r="F832" s="246">
        <v>603</v>
      </c>
      <c r="G832" s="247">
        <v>0</v>
      </c>
      <c r="H832" s="9">
        <v>0</v>
      </c>
      <c r="I832" s="255">
        <v>0</v>
      </c>
      <c r="J832" s="122" t="b">
        <f>IF(ISBLANK(CertifiedCrop[[#This Row],[1. Identifiant interne d’exploitation agricole*]]),"",IF(ISERROR(MATCH(CertifiedCrop[[#This Row],[1. Identifiant interne d’exploitation agricole*]],GroupMember[1. Identifiant interne d’exploitation agricole*],0)),FALSE,TRUE))</f>
        <v>1</v>
      </c>
      <c r="K832" s="122" t="b">
        <f t="array" ref="K832">IF(ISBLANK(CertifiedCrop[[#This Row],[2. Produit agricole certifié*]]),"",IF(ISERROR(MATCH(1,(#REF!=CertifiedCrop[[#This Row],[2. Produit agricole certifié*]])*(#REF!=CertifiedCrop[[#This Row],[3. Variété**]]),0)),FALSE,TRUE))</f>
        <v>0</v>
      </c>
      <c r="L832" s="20" t="str">
        <f t="shared" si="65"/>
        <v/>
      </c>
      <c r="M832" s="54" t="str">
        <f t="shared" si="66"/>
        <v/>
      </c>
      <c r="N832" s="54" t="str">
        <f t="shared" si="67"/>
        <v/>
      </c>
      <c r="O832" s="55">
        <f t="shared" si="68"/>
        <v>563.33006506818799</v>
      </c>
      <c r="P832" s="55">
        <f t="shared" si="69"/>
        <v>537.48105891790715</v>
      </c>
      <c r="Q832" s="9" t="str">
        <f ca="1">IFERROR((VLOOKUP(A832,GM_Table,8,FALSE)-SUMIFS(D:D,A:A,A832,B:B,B832,C:C,C832)),"")</f>
        <v/>
      </c>
      <c r="R832" s="9" t="str">
        <f ca="1">IFERROR(CONCATENATE(VLOOKUP(A832,GM_Table,12,FALSE)," ",(VLOOKUP(A832,GM_Table,13,FALSE))),"")</f>
        <v/>
      </c>
    </row>
    <row r="833" spans="1:18" ht="15" x14ac:dyDescent="0.2">
      <c r="A833" s="193" t="s">
        <v>2858</v>
      </c>
      <c r="B833" s="9" t="s">
        <v>3290</v>
      </c>
      <c r="C833" s="9" t="s">
        <v>3291</v>
      </c>
      <c r="D833" s="256">
        <v>0.80649999999999999</v>
      </c>
      <c r="E833" s="221">
        <v>435</v>
      </c>
      <c r="F833" s="246">
        <v>418</v>
      </c>
      <c r="G833" s="247">
        <v>0</v>
      </c>
      <c r="H833" s="9">
        <v>0</v>
      </c>
      <c r="I833" s="255">
        <v>0</v>
      </c>
      <c r="J833" s="122" t="b">
        <f>IF(ISBLANK(CertifiedCrop[[#This Row],[1. Identifiant interne d’exploitation agricole*]]),"",IF(ISERROR(MATCH(CertifiedCrop[[#This Row],[1. Identifiant interne d’exploitation agricole*]],GroupMember[1. Identifiant interne d’exploitation agricole*],0)),FALSE,TRUE))</f>
        <v>1</v>
      </c>
      <c r="K833" s="122" t="b">
        <f t="array" ref="K833">IF(ISBLANK(CertifiedCrop[[#This Row],[2. Produit agricole certifié*]]),"",IF(ISERROR(MATCH(1,(#REF!=CertifiedCrop[[#This Row],[2. Produit agricole certifié*]])*(#REF!=CertifiedCrop[[#This Row],[3. Variété**]]),0)),FALSE,TRUE))</f>
        <v>0</v>
      </c>
      <c r="L833" s="20" t="str">
        <f t="shared" si="65"/>
        <v/>
      </c>
      <c r="M833" s="54" t="str">
        <f t="shared" si="66"/>
        <v/>
      </c>
      <c r="N833" s="54" t="str">
        <f t="shared" si="67"/>
        <v/>
      </c>
      <c r="O833" s="55">
        <f t="shared" si="68"/>
        <v>539.3676379417235</v>
      </c>
      <c r="P833" s="55">
        <f t="shared" si="69"/>
        <v>518.28890266584006</v>
      </c>
      <c r="Q833" s="9" t="str">
        <f ca="1">IFERROR((VLOOKUP(A833,GM_Table,8,FALSE)-SUMIFS(D:D,A:A,A833,B:B,B833,C:C,C833)),"")</f>
        <v/>
      </c>
      <c r="R833" s="9" t="str">
        <f ca="1">IFERROR(CONCATENATE(VLOOKUP(A833,GM_Table,12,FALSE)," ",(VLOOKUP(A833,GM_Table,13,FALSE))),"")</f>
        <v/>
      </c>
    </row>
    <row r="834" spans="1:18" ht="15" x14ac:dyDescent="0.2">
      <c r="A834" s="193" t="s">
        <v>2862</v>
      </c>
      <c r="B834" s="9" t="s">
        <v>3290</v>
      </c>
      <c r="C834" s="9" t="s">
        <v>3291</v>
      </c>
      <c r="D834" s="256">
        <v>5.1890999999999998</v>
      </c>
      <c r="E834" s="245">
        <v>2787</v>
      </c>
      <c r="F834" s="246">
        <v>2695</v>
      </c>
      <c r="G834" s="247">
        <v>0</v>
      </c>
      <c r="H834" s="9">
        <v>0</v>
      </c>
      <c r="I834" s="255">
        <v>0</v>
      </c>
      <c r="J834" s="122" t="b">
        <f>IF(ISBLANK(CertifiedCrop[[#This Row],[1. Identifiant interne d’exploitation agricole*]]),"",IF(ISERROR(MATCH(CertifiedCrop[[#This Row],[1. Identifiant interne d’exploitation agricole*]],GroupMember[1. Identifiant interne d’exploitation agricole*],0)),FALSE,TRUE))</f>
        <v>1</v>
      </c>
      <c r="K834" s="122" t="b">
        <f t="array" ref="K834">IF(ISBLANK(CertifiedCrop[[#This Row],[2. Produit agricole certifié*]]),"",IF(ISERROR(MATCH(1,(#REF!=CertifiedCrop[[#This Row],[2. Produit agricole certifié*]])*(#REF!=CertifiedCrop[[#This Row],[3. Variété**]]),0)),FALSE,TRUE))</f>
        <v>0</v>
      </c>
      <c r="L834" s="20" t="str">
        <f t="shared" si="65"/>
        <v/>
      </c>
      <c r="M834" s="54" t="str">
        <f t="shared" si="66"/>
        <v/>
      </c>
      <c r="N834" s="54" t="str">
        <f t="shared" si="67"/>
        <v/>
      </c>
      <c r="O834" s="55">
        <f t="shared" si="68"/>
        <v>537.08735618893456</v>
      </c>
      <c r="P834" s="55">
        <f t="shared" si="69"/>
        <v>519.35788479697828</v>
      </c>
      <c r="Q834" s="9" t="str">
        <f ca="1">IFERROR((VLOOKUP(A834,GM_Table,8,FALSE)-SUMIFS(D:D,A:A,A834,B:B,B834,C:C,C834)),"")</f>
        <v/>
      </c>
      <c r="R834" s="9" t="str">
        <f ca="1">IFERROR(CONCATENATE(VLOOKUP(A834,GM_Table,12,FALSE)," ",(VLOOKUP(A834,GM_Table,13,FALSE))),"")</f>
        <v/>
      </c>
    </row>
    <row r="835" spans="1:18" ht="15" x14ac:dyDescent="0.2">
      <c r="A835" s="193" t="s">
        <v>2865</v>
      </c>
      <c r="B835" s="9" t="s">
        <v>3290</v>
      </c>
      <c r="C835" s="9" t="s">
        <v>3291</v>
      </c>
      <c r="D835" s="256">
        <v>1.96</v>
      </c>
      <c r="E835" s="245">
        <v>1133</v>
      </c>
      <c r="F835" s="246">
        <v>1082</v>
      </c>
      <c r="G835" s="247">
        <v>0</v>
      </c>
      <c r="H835" s="9">
        <v>0</v>
      </c>
      <c r="I835" s="255">
        <v>0</v>
      </c>
      <c r="J835" s="122" t="b">
        <f>IF(ISBLANK(CertifiedCrop[[#This Row],[1. Identifiant interne d’exploitation agricole*]]),"",IF(ISERROR(MATCH(CertifiedCrop[[#This Row],[1. Identifiant interne d’exploitation agricole*]],GroupMember[1. Identifiant interne d’exploitation agricole*],0)),FALSE,TRUE))</f>
        <v>1</v>
      </c>
      <c r="K835" s="122" t="b">
        <f t="array" ref="K835">IF(ISBLANK(CertifiedCrop[[#This Row],[2. Produit agricole certifié*]]),"",IF(ISERROR(MATCH(1,(#REF!=CertifiedCrop[[#This Row],[2. Produit agricole certifié*]])*(#REF!=CertifiedCrop[[#This Row],[3. Variété**]]),0)),FALSE,TRUE))</f>
        <v>0</v>
      </c>
      <c r="L835" s="20" t="str">
        <f t="shared" si="65"/>
        <v/>
      </c>
      <c r="M835" s="54" t="str">
        <f t="shared" si="66"/>
        <v/>
      </c>
      <c r="N835" s="54" t="str">
        <f t="shared" si="67"/>
        <v/>
      </c>
      <c r="O835" s="55">
        <f t="shared" si="68"/>
        <v>578.0612244897959</v>
      </c>
      <c r="P835" s="55">
        <f t="shared" si="69"/>
        <v>552.0408163265306</v>
      </c>
      <c r="Q835" s="9" t="str">
        <f ca="1">IFERROR((VLOOKUP(A835,GM_Table,8,FALSE)-SUMIFS(D:D,A:A,A835,B:B,B835,C:C,C835)),"")</f>
        <v/>
      </c>
      <c r="R835" s="9" t="str">
        <f ca="1">IFERROR(CONCATENATE(VLOOKUP(A835,GM_Table,12,FALSE)," ",(VLOOKUP(A835,GM_Table,13,FALSE))),"")</f>
        <v/>
      </c>
    </row>
    <row r="836" spans="1:18" ht="15" x14ac:dyDescent="0.2">
      <c r="A836" s="193" t="s">
        <v>2868</v>
      </c>
      <c r="B836" s="9" t="s">
        <v>3290</v>
      </c>
      <c r="C836" s="9" t="s">
        <v>3291</v>
      </c>
      <c r="D836" s="256">
        <v>2.8355999999999999</v>
      </c>
      <c r="E836" s="245">
        <v>1650</v>
      </c>
      <c r="F836" s="246">
        <v>1569</v>
      </c>
      <c r="G836" s="247">
        <v>0</v>
      </c>
      <c r="H836" s="9">
        <v>0</v>
      </c>
      <c r="I836" s="255">
        <v>0</v>
      </c>
      <c r="J836" s="122" t="b">
        <f>IF(ISBLANK(CertifiedCrop[[#This Row],[1. Identifiant interne d’exploitation agricole*]]),"",IF(ISERROR(MATCH(CertifiedCrop[[#This Row],[1. Identifiant interne d’exploitation agricole*]],GroupMember[1. Identifiant interne d’exploitation agricole*],0)),FALSE,TRUE))</f>
        <v>1</v>
      </c>
      <c r="K836" s="122" t="b">
        <f t="array" ref="K836">IF(ISBLANK(CertifiedCrop[[#This Row],[2. Produit agricole certifié*]]),"",IF(ISERROR(MATCH(1,(#REF!=CertifiedCrop[[#This Row],[2. Produit agricole certifié*]])*(#REF!=CertifiedCrop[[#This Row],[3. Variété**]]),0)),FALSE,TRUE))</f>
        <v>0</v>
      </c>
      <c r="L836" s="20" t="str">
        <f t="shared" si="65"/>
        <v/>
      </c>
      <c r="M836" s="54" t="str">
        <f t="shared" si="66"/>
        <v/>
      </c>
      <c r="N836" s="54" t="str">
        <f t="shared" si="67"/>
        <v/>
      </c>
      <c r="O836" s="55">
        <f t="shared" si="68"/>
        <v>581.88743123148538</v>
      </c>
      <c r="P836" s="55">
        <f t="shared" si="69"/>
        <v>553.32204824375799</v>
      </c>
      <c r="Q836" s="9" t="str">
        <f ca="1">IFERROR((VLOOKUP(A836,GM_Table,8,FALSE)-SUMIFS(D:D,A:A,A836,B:B,B836,C:C,C836)),"")</f>
        <v/>
      </c>
      <c r="R836" s="9" t="str">
        <f ca="1">IFERROR(CONCATENATE(VLOOKUP(A836,GM_Table,12,FALSE)," ",(VLOOKUP(A836,GM_Table,13,FALSE))),"")</f>
        <v/>
      </c>
    </row>
    <row r="837" spans="1:18" ht="15" x14ac:dyDescent="0.2">
      <c r="A837" s="193" t="s">
        <v>2869</v>
      </c>
      <c r="B837" s="9" t="s">
        <v>3290</v>
      </c>
      <c r="C837" s="9" t="s">
        <v>3291</v>
      </c>
      <c r="D837" s="256">
        <v>4.9349999999999996</v>
      </c>
      <c r="E837" s="245">
        <v>2831</v>
      </c>
      <c r="F837" s="246">
        <v>2745</v>
      </c>
      <c r="G837" s="247">
        <v>0</v>
      </c>
      <c r="H837" s="9">
        <v>0</v>
      </c>
      <c r="I837" s="255">
        <v>0</v>
      </c>
      <c r="J837" s="122" t="b">
        <f>IF(ISBLANK(CertifiedCrop[[#This Row],[1. Identifiant interne d’exploitation agricole*]]),"",IF(ISERROR(MATCH(CertifiedCrop[[#This Row],[1. Identifiant interne d’exploitation agricole*]],GroupMember[1. Identifiant interne d’exploitation agricole*],0)),FALSE,TRUE))</f>
        <v>1</v>
      </c>
      <c r="K837" s="122" t="b">
        <f t="array" ref="K837">IF(ISBLANK(CertifiedCrop[[#This Row],[2. Produit agricole certifié*]]),"",IF(ISERROR(MATCH(1,(#REF!=CertifiedCrop[[#This Row],[2. Produit agricole certifié*]])*(#REF!=CertifiedCrop[[#This Row],[3. Variété**]]),0)),FALSE,TRUE))</f>
        <v>0</v>
      </c>
      <c r="L837" s="20" t="str">
        <f t="shared" si="65"/>
        <v/>
      </c>
      <c r="M837" s="54" t="str">
        <f t="shared" si="66"/>
        <v/>
      </c>
      <c r="N837" s="54" t="str">
        <f t="shared" si="67"/>
        <v/>
      </c>
      <c r="O837" s="55">
        <f t="shared" si="68"/>
        <v>573.6575481256333</v>
      </c>
      <c r="P837" s="55">
        <f t="shared" si="69"/>
        <v>556.23100303951367</v>
      </c>
      <c r="Q837" s="9" t="str">
        <f ca="1">IFERROR((VLOOKUP(A837,GM_Table,8,FALSE)-SUMIFS(D:D,A:A,A837,B:B,B837,C:C,C837)),"")</f>
        <v/>
      </c>
      <c r="R837" s="9" t="str">
        <f ca="1">IFERROR(CONCATENATE(VLOOKUP(A837,GM_Table,12,FALSE)," ",(VLOOKUP(A837,GM_Table,13,FALSE))),"")</f>
        <v/>
      </c>
    </row>
    <row r="838" spans="1:18" ht="15" x14ac:dyDescent="0.2">
      <c r="A838" s="193" t="s">
        <v>2873</v>
      </c>
      <c r="B838" s="9" t="s">
        <v>3290</v>
      </c>
      <c r="C838" s="9" t="s">
        <v>3291</v>
      </c>
      <c r="D838" s="256">
        <v>1.9106000000000001</v>
      </c>
      <c r="E838" s="245">
        <v>1041</v>
      </c>
      <c r="F838" s="246">
        <v>1002</v>
      </c>
      <c r="G838" s="247">
        <v>0</v>
      </c>
      <c r="H838" s="9">
        <v>0</v>
      </c>
      <c r="I838" s="255">
        <v>0</v>
      </c>
      <c r="J838" s="122" t="b">
        <f>IF(ISBLANK(CertifiedCrop[[#This Row],[1. Identifiant interne d’exploitation agricole*]]),"",IF(ISERROR(MATCH(CertifiedCrop[[#This Row],[1. Identifiant interne d’exploitation agricole*]],GroupMember[1. Identifiant interne d’exploitation agricole*],0)),FALSE,TRUE))</f>
        <v>1</v>
      </c>
      <c r="K838" s="122" t="b">
        <f t="array" ref="K838">IF(ISBLANK(CertifiedCrop[[#This Row],[2. Produit agricole certifié*]]),"",IF(ISERROR(MATCH(1,(#REF!=CertifiedCrop[[#This Row],[2. Produit agricole certifié*]])*(#REF!=CertifiedCrop[[#This Row],[3. Variété**]]),0)),FALSE,TRUE))</f>
        <v>0</v>
      </c>
      <c r="L838" s="20" t="str">
        <f t="shared" si="65"/>
        <v/>
      </c>
      <c r="M838" s="54" t="str">
        <f t="shared" si="66"/>
        <v/>
      </c>
      <c r="N838" s="54" t="str">
        <f t="shared" si="67"/>
        <v/>
      </c>
      <c r="O838" s="55">
        <f t="shared" si="68"/>
        <v>544.85501936564424</v>
      </c>
      <c r="P838" s="55">
        <f t="shared" si="69"/>
        <v>524.44258348162873</v>
      </c>
      <c r="Q838" s="9" t="str">
        <f ca="1">IFERROR((VLOOKUP(A838,GM_Table,8,FALSE)-SUMIFS(D:D,A:A,A838,B:B,B838,C:C,C838)),"")</f>
        <v/>
      </c>
      <c r="R838" s="9" t="str">
        <f ca="1">IFERROR(CONCATENATE(VLOOKUP(A838,GM_Table,12,FALSE)," ",(VLOOKUP(A838,GM_Table,13,FALSE))),"")</f>
        <v/>
      </c>
    </row>
    <row r="839" spans="1:18" ht="15" x14ac:dyDescent="0.2">
      <c r="A839" s="193" t="s">
        <v>2876</v>
      </c>
      <c r="B839" s="9" t="s">
        <v>3290</v>
      </c>
      <c r="C839" s="9" t="s">
        <v>3291</v>
      </c>
      <c r="D839" s="256">
        <v>2.4041999999999999</v>
      </c>
      <c r="E839" s="245">
        <v>1306</v>
      </c>
      <c r="F839" s="246">
        <v>1262</v>
      </c>
      <c r="G839" s="247">
        <v>0</v>
      </c>
      <c r="H839" s="9">
        <v>0</v>
      </c>
      <c r="I839" s="255">
        <v>0</v>
      </c>
      <c r="J839" s="122" t="b">
        <f>IF(ISBLANK(CertifiedCrop[[#This Row],[1. Identifiant interne d’exploitation agricole*]]),"",IF(ISERROR(MATCH(CertifiedCrop[[#This Row],[1. Identifiant interne d’exploitation agricole*]],GroupMember[1. Identifiant interne d’exploitation agricole*],0)),FALSE,TRUE))</f>
        <v>1</v>
      </c>
      <c r="K839" s="122" t="b">
        <f t="array" ref="K839">IF(ISBLANK(CertifiedCrop[[#This Row],[2. Produit agricole certifié*]]),"",IF(ISERROR(MATCH(1,(#REF!=CertifiedCrop[[#This Row],[2. Produit agricole certifié*]])*(#REF!=CertifiedCrop[[#This Row],[3. Variété**]]),0)),FALSE,TRUE))</f>
        <v>0</v>
      </c>
      <c r="L839" s="20" t="str">
        <f t="shared" si="65"/>
        <v/>
      </c>
      <c r="M839" s="54" t="str">
        <f t="shared" si="66"/>
        <v/>
      </c>
      <c r="N839" s="54" t="str">
        <f t="shared" si="67"/>
        <v/>
      </c>
      <c r="O839" s="55">
        <f t="shared" si="68"/>
        <v>543.21603859911818</v>
      </c>
      <c r="P839" s="55">
        <f t="shared" si="69"/>
        <v>524.9147325513685</v>
      </c>
      <c r="Q839" s="9" t="str">
        <f ca="1">IFERROR((VLOOKUP(A839,GM_Table,8,FALSE)-SUMIFS(D:D,A:A,A839,B:B,B839,C:C,C839)),"")</f>
        <v/>
      </c>
      <c r="R839" s="9" t="str">
        <f ca="1">IFERROR(CONCATENATE(VLOOKUP(A839,GM_Table,12,FALSE)," ",(VLOOKUP(A839,GM_Table,13,FALSE))),"")</f>
        <v/>
      </c>
    </row>
    <row r="840" spans="1:18" ht="15" x14ac:dyDescent="0.2">
      <c r="A840" s="193" t="s">
        <v>2880</v>
      </c>
      <c r="B840" s="9" t="s">
        <v>3290</v>
      </c>
      <c r="C840" s="9" t="s">
        <v>3291</v>
      </c>
      <c r="D840" s="256">
        <v>7.5579000000000001</v>
      </c>
      <c r="E840" s="245">
        <v>4476</v>
      </c>
      <c r="F840" s="246">
        <v>4329</v>
      </c>
      <c r="G840" s="247">
        <v>0</v>
      </c>
      <c r="H840" s="9">
        <v>0</v>
      </c>
      <c r="I840" s="255">
        <v>0</v>
      </c>
      <c r="J840" s="122" t="b">
        <f>IF(ISBLANK(CertifiedCrop[[#This Row],[1. Identifiant interne d’exploitation agricole*]]),"",IF(ISERROR(MATCH(CertifiedCrop[[#This Row],[1. Identifiant interne d’exploitation agricole*]],GroupMember[1. Identifiant interne d’exploitation agricole*],0)),FALSE,TRUE))</f>
        <v>1</v>
      </c>
      <c r="K840" s="122" t="b">
        <f t="array" ref="K840">IF(ISBLANK(CertifiedCrop[[#This Row],[2. Produit agricole certifié*]]),"",IF(ISERROR(MATCH(1,(#REF!=CertifiedCrop[[#This Row],[2. Produit agricole certifié*]])*(#REF!=CertifiedCrop[[#This Row],[3. Variété**]]),0)),FALSE,TRUE))</f>
        <v>0</v>
      </c>
      <c r="L840" s="20" t="str">
        <f t="shared" si="65"/>
        <v/>
      </c>
      <c r="M840" s="54" t="str">
        <f t="shared" si="66"/>
        <v/>
      </c>
      <c r="N840" s="54" t="str">
        <f t="shared" si="67"/>
        <v/>
      </c>
      <c r="O840" s="55">
        <f t="shared" si="68"/>
        <v>592.22799984122571</v>
      </c>
      <c r="P840" s="55">
        <f t="shared" si="69"/>
        <v>572.77815266145353</v>
      </c>
      <c r="Q840" s="9" t="str">
        <f ca="1">IFERROR((VLOOKUP(A840,GM_Table,8,FALSE)-SUMIFS(D:D,A:A,A840,B:B,B840,C:C,C840)),"")</f>
        <v/>
      </c>
      <c r="R840" s="9" t="str">
        <f ca="1">IFERROR(CONCATENATE(VLOOKUP(A840,GM_Table,12,FALSE)," ",(VLOOKUP(A840,GM_Table,13,FALSE))),"")</f>
        <v/>
      </c>
    </row>
    <row r="841" spans="1:18" ht="15" x14ac:dyDescent="0.2">
      <c r="A841" s="193" t="s">
        <v>2885</v>
      </c>
      <c r="B841" s="9" t="s">
        <v>3290</v>
      </c>
      <c r="C841" s="9" t="s">
        <v>3291</v>
      </c>
      <c r="D841" s="256">
        <v>3.1768999999999998</v>
      </c>
      <c r="E841" s="245">
        <v>1722</v>
      </c>
      <c r="F841" s="246">
        <v>1658</v>
      </c>
      <c r="G841" s="247">
        <v>0</v>
      </c>
      <c r="H841" s="9">
        <v>0</v>
      </c>
      <c r="I841" s="255">
        <v>0</v>
      </c>
      <c r="J841" s="122" t="b">
        <f>IF(ISBLANK(CertifiedCrop[[#This Row],[1. Identifiant interne d’exploitation agricole*]]),"",IF(ISERROR(MATCH(CertifiedCrop[[#This Row],[1. Identifiant interne d’exploitation agricole*]],GroupMember[1. Identifiant interne d’exploitation agricole*],0)),FALSE,TRUE))</f>
        <v>1</v>
      </c>
      <c r="K841" s="122" t="b">
        <f t="array" ref="K841">IF(ISBLANK(CertifiedCrop[[#This Row],[2. Produit agricole certifié*]]),"",IF(ISERROR(MATCH(1,(#REF!=CertifiedCrop[[#This Row],[2. Produit agricole certifié*]])*(#REF!=CertifiedCrop[[#This Row],[3. Variété**]]),0)),FALSE,TRUE))</f>
        <v>0</v>
      </c>
      <c r="L841" s="20" t="str">
        <f t="shared" si="65"/>
        <v/>
      </c>
      <c r="M841" s="54" t="str">
        <f t="shared" si="66"/>
        <v/>
      </c>
      <c r="N841" s="54" t="str">
        <f t="shared" si="67"/>
        <v/>
      </c>
      <c r="O841" s="55">
        <f t="shared" si="68"/>
        <v>542.03783562592469</v>
      </c>
      <c r="P841" s="55">
        <f t="shared" si="69"/>
        <v>521.89241084075672</v>
      </c>
      <c r="Q841" s="9" t="str">
        <f ca="1">IFERROR((VLOOKUP(A841,GM_Table,8,FALSE)-SUMIFS(D:D,A:A,A841,B:B,B841,C:C,C841)),"")</f>
        <v/>
      </c>
      <c r="R841" s="9" t="str">
        <f ca="1">IFERROR(CONCATENATE(VLOOKUP(A841,GM_Table,12,FALSE)," ",(VLOOKUP(A841,GM_Table,13,FALSE))),"")</f>
        <v/>
      </c>
    </row>
    <row r="842" spans="1:18" ht="15" x14ac:dyDescent="0.2">
      <c r="A842" s="193" t="s">
        <v>2886</v>
      </c>
      <c r="B842" s="9" t="s">
        <v>3290</v>
      </c>
      <c r="C842" s="9" t="s">
        <v>3291</v>
      </c>
      <c r="D842" s="256">
        <v>1.24</v>
      </c>
      <c r="E842" s="221">
        <v>683</v>
      </c>
      <c r="F842" s="246">
        <v>652</v>
      </c>
      <c r="G842" s="247">
        <v>0</v>
      </c>
      <c r="H842" s="9">
        <v>0</v>
      </c>
      <c r="I842" s="255">
        <v>0</v>
      </c>
      <c r="J842" s="122" t="b">
        <f>IF(ISBLANK(CertifiedCrop[[#This Row],[1. Identifiant interne d’exploitation agricole*]]),"",IF(ISERROR(MATCH(CertifiedCrop[[#This Row],[1. Identifiant interne d’exploitation agricole*]],GroupMember[1. Identifiant interne d’exploitation agricole*],0)),FALSE,TRUE))</f>
        <v>1</v>
      </c>
      <c r="K842" s="122" t="b">
        <f t="array" ref="K842">IF(ISBLANK(CertifiedCrop[[#This Row],[2. Produit agricole certifié*]]),"",IF(ISERROR(MATCH(1,(#REF!=CertifiedCrop[[#This Row],[2. Produit agricole certifié*]])*(#REF!=CertifiedCrop[[#This Row],[3. Variété**]]),0)),FALSE,TRUE))</f>
        <v>0</v>
      </c>
      <c r="L842" s="20" t="str">
        <f t="shared" si="65"/>
        <v/>
      </c>
      <c r="M842" s="54" t="str">
        <f t="shared" si="66"/>
        <v/>
      </c>
      <c r="N842" s="54" t="str">
        <f t="shared" si="67"/>
        <v/>
      </c>
      <c r="O842" s="55">
        <f t="shared" si="68"/>
        <v>550.80645161290317</v>
      </c>
      <c r="P842" s="55">
        <f t="shared" si="69"/>
        <v>525.80645161290317</v>
      </c>
      <c r="Q842" s="9" t="str">
        <f ca="1">IFERROR((VLOOKUP(A842,GM_Table,8,FALSE)-SUMIFS(D:D,A:A,A842,B:B,B842,C:C,C842)),"")</f>
        <v/>
      </c>
      <c r="R842" s="9" t="str">
        <f ca="1">IFERROR(CONCATENATE(VLOOKUP(A842,GM_Table,12,FALSE)," ",(VLOOKUP(A842,GM_Table,13,FALSE))),"")</f>
        <v/>
      </c>
    </row>
    <row r="843" spans="1:18" ht="15" x14ac:dyDescent="0.2">
      <c r="A843" s="193" t="s">
        <v>2889</v>
      </c>
      <c r="B843" s="9" t="s">
        <v>3290</v>
      </c>
      <c r="C843" s="9" t="s">
        <v>3291</v>
      </c>
      <c r="D843" s="256">
        <v>2.6076999999999999</v>
      </c>
      <c r="E843" s="245">
        <v>1392</v>
      </c>
      <c r="F843" s="246">
        <v>1282</v>
      </c>
      <c r="G843" s="247">
        <v>0</v>
      </c>
      <c r="H843" s="9">
        <v>0</v>
      </c>
      <c r="I843" s="255">
        <v>0</v>
      </c>
      <c r="J843" s="122" t="b">
        <f>IF(ISBLANK(CertifiedCrop[[#This Row],[1. Identifiant interne d’exploitation agricole*]]),"",IF(ISERROR(MATCH(CertifiedCrop[[#This Row],[1. Identifiant interne d’exploitation agricole*]],GroupMember[1. Identifiant interne d’exploitation agricole*],0)),FALSE,TRUE))</f>
        <v>1</v>
      </c>
      <c r="K843" s="122" t="b">
        <f t="array" ref="K843">IF(ISBLANK(CertifiedCrop[[#This Row],[2. Produit agricole certifié*]]),"",IF(ISERROR(MATCH(1,(#REF!=CertifiedCrop[[#This Row],[2. Produit agricole certifié*]])*(#REF!=CertifiedCrop[[#This Row],[3. Variété**]]),0)),FALSE,TRUE))</f>
        <v>0</v>
      </c>
      <c r="L843" s="20" t="str">
        <f t="shared" si="65"/>
        <v/>
      </c>
      <c r="M843" s="54" t="str">
        <f t="shared" si="66"/>
        <v/>
      </c>
      <c r="N843" s="54" t="str">
        <f t="shared" si="67"/>
        <v/>
      </c>
      <c r="O843" s="55">
        <f t="shared" si="68"/>
        <v>533.80373509222693</v>
      </c>
      <c r="P843" s="55">
        <f t="shared" si="69"/>
        <v>491.62096866970893</v>
      </c>
      <c r="Q843" s="9" t="str">
        <f ca="1">IFERROR((VLOOKUP(A843,GM_Table,8,FALSE)-SUMIFS(D:D,A:A,A843,B:B,B843,C:C,C843)),"")</f>
        <v/>
      </c>
      <c r="R843" s="9" t="str">
        <f ca="1">IFERROR(CONCATENATE(VLOOKUP(A843,GM_Table,12,FALSE)," ",(VLOOKUP(A843,GM_Table,13,FALSE))),"")</f>
        <v/>
      </c>
    </row>
    <row r="844" spans="1:18" ht="15" x14ac:dyDescent="0.2">
      <c r="A844" s="193" t="s">
        <v>2891</v>
      </c>
      <c r="B844" s="9" t="s">
        <v>3290</v>
      </c>
      <c r="C844" s="9" t="s">
        <v>3291</v>
      </c>
      <c r="D844" s="256">
        <v>2.2238000000000002</v>
      </c>
      <c r="E844" s="245">
        <v>1305</v>
      </c>
      <c r="F844" s="246">
        <v>1289</v>
      </c>
      <c r="G844" s="247">
        <v>0</v>
      </c>
      <c r="H844" s="9">
        <v>0</v>
      </c>
      <c r="I844" s="255">
        <v>0</v>
      </c>
      <c r="J844" s="122" t="b">
        <f>IF(ISBLANK(CertifiedCrop[[#This Row],[1. Identifiant interne d’exploitation agricole*]]),"",IF(ISERROR(MATCH(CertifiedCrop[[#This Row],[1. Identifiant interne d’exploitation agricole*]],GroupMember[1. Identifiant interne d’exploitation agricole*],0)),FALSE,TRUE))</f>
        <v>1</v>
      </c>
      <c r="K844" s="122" t="b">
        <f t="array" ref="K844">IF(ISBLANK(CertifiedCrop[[#This Row],[2. Produit agricole certifié*]]),"",IF(ISERROR(MATCH(1,(#REF!=CertifiedCrop[[#This Row],[2. Produit agricole certifié*]])*(#REF!=CertifiedCrop[[#This Row],[3. Variété**]]),0)),FALSE,TRUE))</f>
        <v>0</v>
      </c>
      <c r="L844" s="20" t="str">
        <f t="shared" si="65"/>
        <v/>
      </c>
      <c r="M844" s="54" t="str">
        <f t="shared" si="66"/>
        <v/>
      </c>
      <c r="N844" s="54" t="str">
        <f t="shared" si="67"/>
        <v/>
      </c>
      <c r="O844" s="55">
        <f t="shared" si="68"/>
        <v>586.83334832269088</v>
      </c>
      <c r="P844" s="55">
        <f t="shared" si="69"/>
        <v>579.63845669574596</v>
      </c>
      <c r="Q844" s="9" t="str">
        <f ca="1">IFERROR((VLOOKUP(A844,GM_Table,8,FALSE)-SUMIFS(D:D,A:A,A844,B:B,B844,C:C,C844)),"")</f>
        <v/>
      </c>
      <c r="R844" s="9" t="str">
        <f ca="1">IFERROR(CONCATENATE(VLOOKUP(A844,GM_Table,12,FALSE)," ",(VLOOKUP(A844,GM_Table,13,FALSE))),"")</f>
        <v/>
      </c>
    </row>
    <row r="845" spans="1:18" ht="15" x14ac:dyDescent="0.2">
      <c r="A845" s="193" t="s">
        <v>2894</v>
      </c>
      <c r="B845" s="9" t="s">
        <v>3290</v>
      </c>
      <c r="C845" s="9" t="s">
        <v>3291</v>
      </c>
      <c r="D845" s="256">
        <v>2.8443000000000001</v>
      </c>
      <c r="E845" s="245">
        <v>1549</v>
      </c>
      <c r="F845" s="246">
        <v>1475</v>
      </c>
      <c r="G845" s="247">
        <v>0</v>
      </c>
      <c r="H845" s="9">
        <v>0</v>
      </c>
      <c r="I845" s="255">
        <v>0</v>
      </c>
      <c r="J845" s="122" t="b">
        <f>IF(ISBLANK(CertifiedCrop[[#This Row],[1. Identifiant interne d’exploitation agricole*]]),"",IF(ISERROR(MATCH(CertifiedCrop[[#This Row],[1. Identifiant interne d’exploitation agricole*]],GroupMember[1. Identifiant interne d’exploitation agricole*],0)),FALSE,TRUE))</f>
        <v>1</v>
      </c>
      <c r="K845" s="122" t="b">
        <f t="array" ref="K845">IF(ISBLANK(CertifiedCrop[[#This Row],[2. Produit agricole certifié*]]),"",IF(ISERROR(MATCH(1,(#REF!=CertifiedCrop[[#This Row],[2. Produit agricole certifié*]])*(#REF!=CertifiedCrop[[#This Row],[3. Variété**]]),0)),FALSE,TRUE))</f>
        <v>0</v>
      </c>
      <c r="L845" s="20" t="str">
        <f t="shared" si="65"/>
        <v/>
      </c>
      <c r="M845" s="54" t="str">
        <f t="shared" si="66"/>
        <v/>
      </c>
      <c r="N845" s="54" t="str">
        <f t="shared" si="67"/>
        <v/>
      </c>
      <c r="O845" s="55">
        <f t="shared" si="68"/>
        <v>544.59796786555569</v>
      </c>
      <c r="P845" s="55">
        <f t="shared" si="69"/>
        <v>518.58102169250776</v>
      </c>
      <c r="Q845" s="9" t="str">
        <f ca="1">IFERROR((VLOOKUP(A845,GM_Table,8,FALSE)-SUMIFS(D:D,A:A,A845,B:B,B845,C:C,C845)),"")</f>
        <v/>
      </c>
      <c r="R845" s="9" t="str">
        <f ca="1">IFERROR(CONCATENATE(VLOOKUP(A845,GM_Table,12,FALSE)," ",(VLOOKUP(A845,GM_Table,13,FALSE))),"")</f>
        <v/>
      </c>
    </row>
    <row r="846" spans="1:18" ht="15" x14ac:dyDescent="0.2">
      <c r="A846" s="193" t="s">
        <v>2898</v>
      </c>
      <c r="B846" s="9" t="s">
        <v>3290</v>
      </c>
      <c r="C846" s="9" t="s">
        <v>3291</v>
      </c>
      <c r="D846" s="256">
        <v>5.6147999999999998</v>
      </c>
      <c r="E846" s="245">
        <v>3193</v>
      </c>
      <c r="F846" s="246">
        <v>3069</v>
      </c>
      <c r="G846" s="247">
        <v>0</v>
      </c>
      <c r="H846" s="9">
        <v>0</v>
      </c>
      <c r="I846" s="255">
        <v>0</v>
      </c>
      <c r="J846" s="122" t="b">
        <f>IF(ISBLANK(CertifiedCrop[[#This Row],[1. Identifiant interne d’exploitation agricole*]]),"",IF(ISERROR(MATCH(CertifiedCrop[[#This Row],[1. Identifiant interne d’exploitation agricole*]],GroupMember[1. Identifiant interne d’exploitation agricole*],0)),FALSE,TRUE))</f>
        <v>1</v>
      </c>
      <c r="K846" s="122" t="b">
        <f t="array" ref="K846">IF(ISBLANK(CertifiedCrop[[#This Row],[2. Produit agricole certifié*]]),"",IF(ISERROR(MATCH(1,(#REF!=CertifiedCrop[[#This Row],[2. Produit agricole certifié*]])*(#REF!=CertifiedCrop[[#This Row],[3. Variété**]]),0)),FALSE,TRUE))</f>
        <v>0</v>
      </c>
      <c r="L846" s="20" t="str">
        <f t="shared" si="65"/>
        <v/>
      </c>
      <c r="M846" s="54" t="str">
        <f t="shared" si="66"/>
        <v/>
      </c>
      <c r="N846" s="54" t="str">
        <f t="shared" si="67"/>
        <v/>
      </c>
      <c r="O846" s="55">
        <f t="shared" si="68"/>
        <v>568.675642943649</v>
      </c>
      <c r="P846" s="55">
        <f t="shared" si="69"/>
        <v>546.59115195554602</v>
      </c>
      <c r="Q846" s="9" t="str">
        <f ca="1">IFERROR((VLOOKUP(A846,GM_Table,8,FALSE)-SUMIFS(D:D,A:A,A846,B:B,B846,C:C,C846)),"")</f>
        <v/>
      </c>
      <c r="R846" s="9" t="str">
        <f ca="1">IFERROR(CONCATENATE(VLOOKUP(A846,GM_Table,12,FALSE)," ",(VLOOKUP(A846,GM_Table,13,FALSE))),"")</f>
        <v/>
      </c>
    </row>
    <row r="847" spans="1:18" ht="15" x14ac:dyDescent="0.2">
      <c r="A847" s="193" t="s">
        <v>2900</v>
      </c>
      <c r="B847" s="9" t="s">
        <v>3290</v>
      </c>
      <c r="C847" s="9" t="s">
        <v>3291</v>
      </c>
      <c r="D847" s="256">
        <v>5.8080999999999996</v>
      </c>
      <c r="E847" s="245">
        <v>3420</v>
      </c>
      <c r="F847" s="246">
        <v>3365</v>
      </c>
      <c r="G847" s="247">
        <v>0</v>
      </c>
      <c r="H847" s="9">
        <v>0</v>
      </c>
      <c r="I847" s="255">
        <v>0</v>
      </c>
      <c r="J847" s="122" t="b">
        <f>IF(ISBLANK(CertifiedCrop[[#This Row],[1. Identifiant interne d’exploitation agricole*]]),"",IF(ISERROR(MATCH(CertifiedCrop[[#This Row],[1. Identifiant interne d’exploitation agricole*]],GroupMember[1. Identifiant interne d’exploitation agricole*],0)),FALSE,TRUE))</f>
        <v>1</v>
      </c>
      <c r="K847" s="122" t="b">
        <f t="array" ref="K847">IF(ISBLANK(CertifiedCrop[[#This Row],[2. Produit agricole certifié*]]),"",IF(ISERROR(MATCH(1,(#REF!=CertifiedCrop[[#This Row],[2. Produit agricole certifié*]])*(#REF!=CertifiedCrop[[#This Row],[3. Variété**]]),0)),FALSE,TRUE))</f>
        <v>0</v>
      </c>
      <c r="L847" s="20" t="str">
        <f t="shared" si="65"/>
        <v/>
      </c>
      <c r="M847" s="54" t="str">
        <f t="shared" si="66"/>
        <v/>
      </c>
      <c r="N847" s="54" t="str">
        <f t="shared" si="67"/>
        <v/>
      </c>
      <c r="O847" s="55">
        <f t="shared" si="68"/>
        <v>588.83283690019118</v>
      </c>
      <c r="P847" s="55">
        <f t="shared" si="69"/>
        <v>579.36330297343375</v>
      </c>
      <c r="Q847" s="9" t="str">
        <f ca="1">IFERROR((VLOOKUP(A847,GM_Table,8,FALSE)-SUMIFS(D:D,A:A,A847,B:B,B847,C:C,C847)),"")</f>
        <v/>
      </c>
      <c r="R847" s="9" t="str">
        <f ca="1">IFERROR(CONCATENATE(VLOOKUP(A847,GM_Table,12,FALSE)," ",(VLOOKUP(A847,GM_Table,13,FALSE))),"")</f>
        <v/>
      </c>
    </row>
    <row r="848" spans="1:18" ht="15" x14ac:dyDescent="0.2">
      <c r="A848" s="193" t="s">
        <v>2901</v>
      </c>
      <c r="B848" s="9" t="s">
        <v>3290</v>
      </c>
      <c r="C848" s="9" t="s">
        <v>3291</v>
      </c>
      <c r="D848" s="256">
        <v>2.4281999999999999</v>
      </c>
      <c r="E848" s="245">
        <v>1415</v>
      </c>
      <c r="F848" s="246">
        <v>1329</v>
      </c>
      <c r="G848" s="247">
        <v>0</v>
      </c>
      <c r="H848" s="9">
        <v>0</v>
      </c>
      <c r="I848" s="255">
        <v>0</v>
      </c>
      <c r="J848" s="122" t="b">
        <f>IF(ISBLANK(CertifiedCrop[[#This Row],[1. Identifiant interne d’exploitation agricole*]]),"",IF(ISERROR(MATCH(CertifiedCrop[[#This Row],[1. Identifiant interne d’exploitation agricole*]],GroupMember[1. Identifiant interne d’exploitation agricole*],0)),FALSE,TRUE))</f>
        <v>1</v>
      </c>
      <c r="K848" s="122" t="b">
        <f t="array" ref="K848">IF(ISBLANK(CertifiedCrop[[#This Row],[2. Produit agricole certifié*]]),"",IF(ISERROR(MATCH(1,(#REF!=CertifiedCrop[[#This Row],[2. Produit agricole certifié*]])*(#REF!=CertifiedCrop[[#This Row],[3. Variété**]]),0)),FALSE,TRUE))</f>
        <v>0</v>
      </c>
      <c r="L848" s="20" t="str">
        <f t="shared" si="65"/>
        <v/>
      </c>
      <c r="M848" s="54" t="str">
        <f t="shared" si="66"/>
        <v/>
      </c>
      <c r="N848" s="54" t="str">
        <f t="shared" si="67"/>
        <v/>
      </c>
      <c r="O848" s="55">
        <f t="shared" si="68"/>
        <v>582.73618318095714</v>
      </c>
      <c r="P848" s="55">
        <f t="shared" si="69"/>
        <v>547.3190017296763</v>
      </c>
      <c r="Q848" s="9" t="str">
        <f ca="1">IFERROR((VLOOKUP(A848,GM_Table,8,FALSE)-SUMIFS(D:D,A:A,A848,B:B,B848,C:C,C848)),"")</f>
        <v/>
      </c>
      <c r="R848" s="9" t="str">
        <f ca="1">IFERROR(CONCATENATE(VLOOKUP(A848,GM_Table,12,FALSE)," ",(VLOOKUP(A848,GM_Table,13,FALSE))),"")</f>
        <v/>
      </c>
    </row>
    <row r="849" spans="1:18" ht="15" x14ac:dyDescent="0.2">
      <c r="A849" s="193" t="s">
        <v>2904</v>
      </c>
      <c r="B849" s="9" t="s">
        <v>3290</v>
      </c>
      <c r="C849" s="9" t="s">
        <v>3291</v>
      </c>
      <c r="D849" s="256">
        <v>2.3639000000000001</v>
      </c>
      <c r="E849" s="245">
        <v>1393</v>
      </c>
      <c r="F849" s="246">
        <v>1306</v>
      </c>
      <c r="G849" s="247">
        <v>0</v>
      </c>
      <c r="H849" s="9">
        <v>0</v>
      </c>
      <c r="I849" s="255">
        <v>0</v>
      </c>
      <c r="J849" s="122" t="b">
        <f>IF(ISBLANK(CertifiedCrop[[#This Row],[1. Identifiant interne d’exploitation agricole*]]),"",IF(ISERROR(MATCH(CertifiedCrop[[#This Row],[1. Identifiant interne d’exploitation agricole*]],GroupMember[1. Identifiant interne d’exploitation agricole*],0)),FALSE,TRUE))</f>
        <v>1</v>
      </c>
      <c r="K849" s="122" t="b">
        <f t="array" ref="K849">IF(ISBLANK(CertifiedCrop[[#This Row],[2. Produit agricole certifié*]]),"",IF(ISERROR(MATCH(1,(#REF!=CertifiedCrop[[#This Row],[2. Produit agricole certifié*]])*(#REF!=CertifiedCrop[[#This Row],[3. Variété**]]),0)),FALSE,TRUE))</f>
        <v>0</v>
      </c>
      <c r="L849" s="20" t="str">
        <f t="shared" si="65"/>
        <v/>
      </c>
      <c r="M849" s="54" t="str">
        <f t="shared" si="66"/>
        <v/>
      </c>
      <c r="N849" s="54" t="str">
        <f t="shared" si="67"/>
        <v/>
      </c>
      <c r="O849" s="55">
        <f t="shared" si="68"/>
        <v>589.2804264139769</v>
      </c>
      <c r="P849" s="55">
        <f t="shared" si="69"/>
        <v>552.47683912179025</v>
      </c>
      <c r="Q849" s="9" t="str">
        <f ca="1">IFERROR((VLOOKUP(A849,GM_Table,8,FALSE)-SUMIFS(D:D,A:A,A849,B:B,B849,C:C,C849)),"")</f>
        <v/>
      </c>
      <c r="R849" s="9" t="str">
        <f ca="1">IFERROR(CONCATENATE(VLOOKUP(A849,GM_Table,12,FALSE)," ",(VLOOKUP(A849,GM_Table,13,FALSE))),"")</f>
        <v/>
      </c>
    </row>
    <row r="850" spans="1:18" ht="15" x14ac:dyDescent="0.2">
      <c r="A850" s="193" t="s">
        <v>2907</v>
      </c>
      <c r="B850" s="9" t="s">
        <v>3290</v>
      </c>
      <c r="C850" s="9" t="s">
        <v>3291</v>
      </c>
      <c r="D850" s="256">
        <v>1.9213</v>
      </c>
      <c r="E850" s="245">
        <v>1110</v>
      </c>
      <c r="F850" s="246">
        <v>1088</v>
      </c>
      <c r="G850" s="247">
        <v>0</v>
      </c>
      <c r="H850" s="9">
        <v>0</v>
      </c>
      <c r="I850" s="255">
        <v>0</v>
      </c>
      <c r="J850" s="122" t="b">
        <f>IF(ISBLANK(CertifiedCrop[[#This Row],[1. Identifiant interne d’exploitation agricole*]]),"",IF(ISERROR(MATCH(CertifiedCrop[[#This Row],[1. Identifiant interne d’exploitation agricole*]],GroupMember[1. Identifiant interne d’exploitation agricole*],0)),FALSE,TRUE))</f>
        <v>1</v>
      </c>
      <c r="K850" s="122" t="b">
        <f t="array" ref="K850">IF(ISBLANK(CertifiedCrop[[#This Row],[2. Produit agricole certifié*]]),"",IF(ISERROR(MATCH(1,(#REF!=CertifiedCrop[[#This Row],[2. Produit agricole certifié*]])*(#REF!=CertifiedCrop[[#This Row],[3. Variété**]]),0)),FALSE,TRUE))</f>
        <v>0</v>
      </c>
      <c r="L850" s="20" t="str">
        <f t="shared" si="65"/>
        <v/>
      </c>
      <c r="M850" s="54" t="str">
        <f t="shared" si="66"/>
        <v/>
      </c>
      <c r="N850" s="54" t="str">
        <f t="shared" si="67"/>
        <v/>
      </c>
      <c r="O850" s="55">
        <f t="shared" si="68"/>
        <v>577.73382605527502</v>
      </c>
      <c r="P850" s="55">
        <f t="shared" si="69"/>
        <v>566.28324571904443</v>
      </c>
      <c r="Q850" s="9" t="str">
        <f ca="1">IFERROR((VLOOKUP(A850,GM_Table,8,FALSE)-SUMIFS(D:D,A:A,A850,B:B,B850,C:C,C850)),"")</f>
        <v/>
      </c>
      <c r="R850" s="9" t="str">
        <f ca="1">IFERROR(CONCATENATE(VLOOKUP(A850,GM_Table,12,FALSE)," ",(VLOOKUP(A850,GM_Table,13,FALSE))),"")</f>
        <v/>
      </c>
    </row>
    <row r="851" spans="1:18" ht="15" x14ac:dyDescent="0.2">
      <c r="A851" s="193" t="s">
        <v>2909</v>
      </c>
      <c r="B851" s="9" t="s">
        <v>3290</v>
      </c>
      <c r="C851" s="9" t="s">
        <v>3291</v>
      </c>
      <c r="D851" s="256">
        <v>3.0809000000000002</v>
      </c>
      <c r="E851" s="245">
        <v>1830</v>
      </c>
      <c r="F851" s="246">
        <v>1745</v>
      </c>
      <c r="G851" s="247">
        <v>0</v>
      </c>
      <c r="H851" s="9">
        <v>0</v>
      </c>
      <c r="I851" s="255">
        <v>0</v>
      </c>
      <c r="J851" s="122" t="b">
        <f>IF(ISBLANK(CertifiedCrop[[#This Row],[1. Identifiant interne d’exploitation agricole*]]),"",IF(ISERROR(MATCH(CertifiedCrop[[#This Row],[1. Identifiant interne d’exploitation agricole*]],GroupMember[1. Identifiant interne d’exploitation agricole*],0)),FALSE,TRUE))</f>
        <v>1</v>
      </c>
      <c r="K851" s="122" t="b">
        <f t="array" ref="K851">IF(ISBLANK(CertifiedCrop[[#This Row],[2. Produit agricole certifié*]]),"",IF(ISERROR(MATCH(1,(#REF!=CertifiedCrop[[#This Row],[2. Produit agricole certifié*]])*(#REF!=CertifiedCrop[[#This Row],[3. Variété**]]),0)),FALSE,TRUE))</f>
        <v>0</v>
      </c>
      <c r="L851" s="20" t="str">
        <f t="shared" si="65"/>
        <v/>
      </c>
      <c r="M851" s="54" t="str">
        <f t="shared" si="66"/>
        <v/>
      </c>
      <c r="N851" s="54" t="str">
        <f t="shared" si="67"/>
        <v/>
      </c>
      <c r="O851" s="55">
        <f t="shared" si="68"/>
        <v>593.98227790580665</v>
      </c>
      <c r="P851" s="55">
        <f t="shared" si="69"/>
        <v>566.39293712876099</v>
      </c>
      <c r="Q851" s="9" t="str">
        <f ca="1">IFERROR((VLOOKUP(A851,GM_Table,8,FALSE)-SUMIFS(D:D,A:A,A851,B:B,B851,C:C,C851)),"")</f>
        <v/>
      </c>
      <c r="R851" s="9" t="str">
        <f ca="1">IFERROR(CONCATENATE(VLOOKUP(A851,GM_Table,12,FALSE)," ",(VLOOKUP(A851,GM_Table,13,FALSE))),"")</f>
        <v/>
      </c>
    </row>
    <row r="852" spans="1:18" ht="15" x14ac:dyDescent="0.2">
      <c r="A852" s="193" t="s">
        <v>2912</v>
      </c>
      <c r="B852" s="9" t="s">
        <v>3290</v>
      </c>
      <c r="C852" s="9" t="s">
        <v>3291</v>
      </c>
      <c r="D852" s="256">
        <v>1.2838000000000001</v>
      </c>
      <c r="E852" s="221">
        <v>747</v>
      </c>
      <c r="F852" s="246">
        <v>719</v>
      </c>
      <c r="G852" s="247">
        <v>0</v>
      </c>
      <c r="H852" s="9">
        <v>0</v>
      </c>
      <c r="I852" s="255">
        <v>0</v>
      </c>
      <c r="J852" s="122" t="b">
        <f>IF(ISBLANK(CertifiedCrop[[#This Row],[1. Identifiant interne d’exploitation agricole*]]),"",IF(ISERROR(MATCH(CertifiedCrop[[#This Row],[1. Identifiant interne d’exploitation agricole*]],GroupMember[1. Identifiant interne d’exploitation agricole*],0)),FALSE,TRUE))</f>
        <v>1</v>
      </c>
      <c r="K852" s="122" t="b">
        <f t="array" ref="K852">IF(ISBLANK(CertifiedCrop[[#This Row],[2. Produit agricole certifié*]]),"",IF(ISERROR(MATCH(1,(#REF!=CertifiedCrop[[#This Row],[2. Produit agricole certifié*]])*(#REF!=CertifiedCrop[[#This Row],[3. Variété**]]),0)),FALSE,TRUE))</f>
        <v>0</v>
      </c>
      <c r="L852" s="20" t="str">
        <f t="shared" si="65"/>
        <v/>
      </c>
      <c r="M852" s="54" t="str">
        <f t="shared" si="66"/>
        <v/>
      </c>
      <c r="N852" s="54" t="str">
        <f t="shared" si="67"/>
        <v/>
      </c>
      <c r="O852" s="55">
        <f t="shared" si="68"/>
        <v>581.86633431998746</v>
      </c>
      <c r="P852" s="55">
        <f t="shared" si="69"/>
        <v>560.05608350210309</v>
      </c>
      <c r="Q852" s="9" t="str">
        <f ca="1">IFERROR((VLOOKUP(A852,GM_Table,8,FALSE)-SUMIFS(D:D,A:A,A852,B:B,B852,C:C,C852)),"")</f>
        <v/>
      </c>
      <c r="R852" s="9" t="str">
        <f ca="1">IFERROR(CONCATENATE(VLOOKUP(A852,GM_Table,12,FALSE)," ",(VLOOKUP(A852,GM_Table,13,FALSE))),"")</f>
        <v/>
      </c>
    </row>
    <row r="853" spans="1:18" ht="15" x14ac:dyDescent="0.2">
      <c r="A853" s="193" t="s">
        <v>2916</v>
      </c>
      <c r="B853" s="9" t="s">
        <v>3290</v>
      </c>
      <c r="C853" s="9" t="s">
        <v>3291</v>
      </c>
      <c r="D853" s="256">
        <v>1.2367999999999999</v>
      </c>
      <c r="E853" s="221">
        <v>722</v>
      </c>
      <c r="F853" s="246">
        <v>725</v>
      </c>
      <c r="G853" s="247">
        <v>0</v>
      </c>
      <c r="H853" s="9">
        <v>0</v>
      </c>
      <c r="I853" s="255">
        <v>0</v>
      </c>
      <c r="J853" s="122" t="b">
        <f>IF(ISBLANK(CertifiedCrop[[#This Row],[1. Identifiant interne d’exploitation agricole*]]),"",IF(ISERROR(MATCH(CertifiedCrop[[#This Row],[1. Identifiant interne d’exploitation agricole*]],GroupMember[1. Identifiant interne d’exploitation agricole*],0)),FALSE,TRUE))</f>
        <v>1</v>
      </c>
      <c r="K853" s="122" t="b">
        <f t="array" ref="K853">IF(ISBLANK(CertifiedCrop[[#This Row],[2. Produit agricole certifié*]]),"",IF(ISERROR(MATCH(1,(#REF!=CertifiedCrop[[#This Row],[2. Produit agricole certifié*]])*(#REF!=CertifiedCrop[[#This Row],[3. Variété**]]),0)),FALSE,TRUE))</f>
        <v>0</v>
      </c>
      <c r="L853" s="20" t="str">
        <f t="shared" si="65"/>
        <v/>
      </c>
      <c r="M853" s="54" t="str">
        <f t="shared" si="66"/>
        <v/>
      </c>
      <c r="N853" s="54" t="str">
        <f t="shared" si="67"/>
        <v/>
      </c>
      <c r="O853" s="55">
        <f t="shared" si="68"/>
        <v>583.76455368693405</v>
      </c>
      <c r="P853" s="55">
        <f t="shared" si="69"/>
        <v>586.19016817593797</v>
      </c>
      <c r="Q853" s="9" t="str">
        <f ca="1">IFERROR((VLOOKUP(A853,GM_Table,8,FALSE)-SUMIFS(D:D,A:A,A853,B:B,B853,C:C,C853)),"")</f>
        <v/>
      </c>
      <c r="R853" s="9" t="str">
        <f ca="1">IFERROR(CONCATENATE(VLOOKUP(A853,GM_Table,12,FALSE)," ",(VLOOKUP(A853,GM_Table,13,FALSE))),"")</f>
        <v/>
      </c>
    </row>
    <row r="854" spans="1:18" ht="15" x14ac:dyDescent="0.2">
      <c r="A854" s="193" t="s">
        <v>2917</v>
      </c>
      <c r="B854" s="9" t="s">
        <v>3290</v>
      </c>
      <c r="C854" s="9" t="s">
        <v>3291</v>
      </c>
      <c r="D854" s="256">
        <v>2.9653999999999998</v>
      </c>
      <c r="E854" s="245">
        <v>1759</v>
      </c>
      <c r="F854" s="246">
        <v>1695</v>
      </c>
      <c r="G854" s="247">
        <v>0</v>
      </c>
      <c r="H854" s="9">
        <v>0</v>
      </c>
      <c r="I854" s="255">
        <v>0</v>
      </c>
      <c r="J854" s="122" t="b">
        <f>IF(ISBLANK(CertifiedCrop[[#This Row],[1. Identifiant interne d’exploitation agricole*]]),"",IF(ISERROR(MATCH(CertifiedCrop[[#This Row],[1. Identifiant interne d’exploitation agricole*]],GroupMember[1. Identifiant interne d’exploitation agricole*],0)),FALSE,TRUE))</f>
        <v>1</v>
      </c>
      <c r="K854" s="122" t="b">
        <f t="array" ref="K854">IF(ISBLANK(CertifiedCrop[[#This Row],[2. Produit agricole certifié*]]),"",IF(ISERROR(MATCH(1,(#REF!=CertifiedCrop[[#This Row],[2. Produit agricole certifié*]])*(#REF!=CertifiedCrop[[#This Row],[3. Variété**]]),0)),FALSE,TRUE))</f>
        <v>0</v>
      </c>
      <c r="L854" s="20" t="str">
        <f t="shared" si="65"/>
        <v/>
      </c>
      <c r="M854" s="54" t="str">
        <f t="shared" si="66"/>
        <v/>
      </c>
      <c r="N854" s="54" t="str">
        <f t="shared" si="67"/>
        <v/>
      </c>
      <c r="O854" s="55">
        <f t="shared" si="68"/>
        <v>593.17461388008371</v>
      </c>
      <c r="P854" s="55">
        <f t="shared" si="69"/>
        <v>571.59236527955761</v>
      </c>
      <c r="Q854" s="9" t="str">
        <f ca="1">IFERROR((VLOOKUP(A854,GM_Table,8,FALSE)-SUMIFS(D:D,A:A,A854,B:B,B854,C:C,C854)),"")</f>
        <v/>
      </c>
      <c r="R854" s="9" t="str">
        <f ca="1">IFERROR(CONCATENATE(VLOOKUP(A854,GM_Table,12,FALSE)," ",(VLOOKUP(A854,GM_Table,13,FALSE))),"")</f>
        <v/>
      </c>
    </row>
    <row r="855" spans="1:18" ht="15" x14ac:dyDescent="0.2">
      <c r="A855" s="193" t="s">
        <v>2920</v>
      </c>
      <c r="B855" s="9" t="s">
        <v>3290</v>
      </c>
      <c r="C855" s="9" t="s">
        <v>3291</v>
      </c>
      <c r="D855" s="256">
        <v>1.6894</v>
      </c>
      <c r="E855" s="221">
        <v>961</v>
      </c>
      <c r="F855" s="246">
        <v>954</v>
      </c>
      <c r="G855" s="247">
        <v>0</v>
      </c>
      <c r="H855" s="9">
        <v>0</v>
      </c>
      <c r="I855" s="255">
        <v>0</v>
      </c>
      <c r="J855" s="122" t="b">
        <f>IF(ISBLANK(CertifiedCrop[[#This Row],[1. Identifiant interne d’exploitation agricole*]]),"",IF(ISERROR(MATCH(CertifiedCrop[[#This Row],[1. Identifiant interne d’exploitation agricole*]],GroupMember[1. Identifiant interne d’exploitation agricole*],0)),FALSE,TRUE))</f>
        <v>1</v>
      </c>
      <c r="K855" s="122" t="b">
        <f t="array" ref="K855">IF(ISBLANK(CertifiedCrop[[#This Row],[2. Produit agricole certifié*]]),"",IF(ISERROR(MATCH(1,(#REF!=CertifiedCrop[[#This Row],[2. Produit agricole certifié*]])*(#REF!=CertifiedCrop[[#This Row],[3. Variété**]]),0)),FALSE,TRUE))</f>
        <v>0</v>
      </c>
      <c r="L855" s="20" t="str">
        <f t="shared" si="65"/>
        <v/>
      </c>
      <c r="M855" s="54" t="str">
        <f t="shared" si="66"/>
        <v/>
      </c>
      <c r="N855" s="54" t="str">
        <f t="shared" si="67"/>
        <v/>
      </c>
      <c r="O855" s="55">
        <f t="shared" si="68"/>
        <v>568.84100864212144</v>
      </c>
      <c r="P855" s="55">
        <f t="shared" si="69"/>
        <v>564.69752574878657</v>
      </c>
      <c r="Q855" s="9" t="str">
        <f ca="1">IFERROR((VLOOKUP(A855,GM_Table,8,FALSE)-SUMIFS(D:D,A:A,A855,B:B,B855,C:C,C855)),"")</f>
        <v/>
      </c>
      <c r="R855" s="9" t="str">
        <f ca="1">IFERROR(CONCATENATE(VLOOKUP(A855,GM_Table,12,FALSE)," ",(VLOOKUP(A855,GM_Table,13,FALSE))),"")</f>
        <v/>
      </c>
    </row>
    <row r="856" spans="1:18" ht="15" x14ac:dyDescent="0.2">
      <c r="A856" s="193" t="s">
        <v>2922</v>
      </c>
      <c r="B856" s="9" t="s">
        <v>3290</v>
      </c>
      <c r="C856" s="9" t="s">
        <v>3291</v>
      </c>
      <c r="D856" s="256">
        <v>2.5756999999999999</v>
      </c>
      <c r="E856" s="245">
        <v>1505</v>
      </c>
      <c r="F856" s="246">
        <v>1478</v>
      </c>
      <c r="G856" s="247">
        <v>0</v>
      </c>
      <c r="H856" s="9">
        <v>0</v>
      </c>
      <c r="I856" s="255">
        <v>0</v>
      </c>
      <c r="J856" s="122" t="b">
        <f>IF(ISBLANK(CertifiedCrop[[#This Row],[1. Identifiant interne d’exploitation agricole*]]),"",IF(ISERROR(MATCH(CertifiedCrop[[#This Row],[1. Identifiant interne d’exploitation agricole*]],GroupMember[1. Identifiant interne d’exploitation agricole*],0)),FALSE,TRUE))</f>
        <v>1</v>
      </c>
      <c r="K856" s="122" t="b">
        <f t="array" ref="K856">IF(ISBLANK(CertifiedCrop[[#This Row],[2. Produit agricole certifié*]]),"",IF(ISERROR(MATCH(1,(#REF!=CertifiedCrop[[#This Row],[2. Produit agricole certifié*]])*(#REF!=CertifiedCrop[[#This Row],[3. Variété**]]),0)),FALSE,TRUE))</f>
        <v>0</v>
      </c>
      <c r="L856" s="20" t="str">
        <f t="shared" si="65"/>
        <v/>
      </c>
      <c r="M856" s="54" t="str">
        <f t="shared" si="66"/>
        <v/>
      </c>
      <c r="N856" s="54" t="str">
        <f t="shared" si="67"/>
        <v/>
      </c>
      <c r="O856" s="55">
        <f t="shared" si="68"/>
        <v>584.30717863105178</v>
      </c>
      <c r="P856" s="55">
        <f t="shared" si="69"/>
        <v>573.82459137321894</v>
      </c>
      <c r="Q856" s="9" t="str">
        <f ca="1">IFERROR((VLOOKUP(A856,GM_Table,8,FALSE)-SUMIFS(D:D,A:A,A856,B:B,B856,C:C,C856)),"")</f>
        <v/>
      </c>
      <c r="R856" s="9" t="str">
        <f ca="1">IFERROR(CONCATENATE(VLOOKUP(A856,GM_Table,12,FALSE)," ",(VLOOKUP(A856,GM_Table,13,FALSE))),"")</f>
        <v/>
      </c>
    </row>
    <row r="857" spans="1:18" ht="15" x14ac:dyDescent="0.2">
      <c r="A857" s="193" t="s">
        <v>2926</v>
      </c>
      <c r="B857" s="9" t="s">
        <v>3290</v>
      </c>
      <c r="C857" s="9" t="s">
        <v>3291</v>
      </c>
      <c r="D857" s="256">
        <v>1.9006000000000001</v>
      </c>
      <c r="E857" s="245">
        <v>1118</v>
      </c>
      <c r="F857" s="246">
        <v>1108</v>
      </c>
      <c r="G857" s="247">
        <v>0</v>
      </c>
      <c r="H857" s="9">
        <v>0</v>
      </c>
      <c r="I857" s="255">
        <v>0</v>
      </c>
      <c r="J857" s="122" t="b">
        <f>IF(ISBLANK(CertifiedCrop[[#This Row],[1. Identifiant interne d’exploitation agricole*]]),"",IF(ISERROR(MATCH(CertifiedCrop[[#This Row],[1. Identifiant interne d’exploitation agricole*]],GroupMember[1. Identifiant interne d’exploitation agricole*],0)),FALSE,TRUE))</f>
        <v>1</v>
      </c>
      <c r="K857" s="122" t="b">
        <f t="array" ref="K857">IF(ISBLANK(CertifiedCrop[[#This Row],[2. Produit agricole certifié*]]),"",IF(ISERROR(MATCH(1,(#REF!=CertifiedCrop[[#This Row],[2. Produit agricole certifié*]])*(#REF!=CertifiedCrop[[#This Row],[3. Variété**]]),0)),FALSE,TRUE))</f>
        <v>0</v>
      </c>
      <c r="L857" s="20" t="str">
        <f t="shared" si="65"/>
        <v/>
      </c>
      <c r="M857" s="54" t="str">
        <f t="shared" si="66"/>
        <v/>
      </c>
      <c r="N857" s="54" t="str">
        <f t="shared" si="67"/>
        <v/>
      </c>
      <c r="O857" s="55">
        <f t="shared" si="68"/>
        <v>588.23529411764707</v>
      </c>
      <c r="P857" s="55">
        <f t="shared" si="69"/>
        <v>582.97379774807951</v>
      </c>
      <c r="Q857" s="9" t="str">
        <f ca="1">IFERROR((VLOOKUP(A857,GM_Table,8,FALSE)-SUMIFS(D:D,A:A,A857,B:B,B857,C:C,C857)),"")</f>
        <v/>
      </c>
      <c r="R857" s="9" t="str">
        <f ca="1">IFERROR(CONCATENATE(VLOOKUP(A857,GM_Table,12,FALSE)," ",(VLOOKUP(A857,GM_Table,13,FALSE))),"")</f>
        <v/>
      </c>
    </row>
    <row r="858" spans="1:18" ht="15" x14ac:dyDescent="0.2">
      <c r="A858" s="193" t="s">
        <v>2930</v>
      </c>
      <c r="B858" s="9" t="s">
        <v>3290</v>
      </c>
      <c r="C858" s="9" t="s">
        <v>3291</v>
      </c>
      <c r="D858" s="256">
        <v>5.46</v>
      </c>
      <c r="E858" s="245">
        <v>3070</v>
      </c>
      <c r="F858" s="246">
        <v>2965</v>
      </c>
      <c r="G858" s="247">
        <v>0</v>
      </c>
      <c r="H858" s="9">
        <v>0</v>
      </c>
      <c r="I858" s="255">
        <v>0</v>
      </c>
      <c r="J858" s="122" t="b">
        <f>IF(ISBLANK(CertifiedCrop[[#This Row],[1. Identifiant interne d’exploitation agricole*]]),"",IF(ISERROR(MATCH(CertifiedCrop[[#This Row],[1. Identifiant interne d’exploitation agricole*]],GroupMember[1. Identifiant interne d’exploitation agricole*],0)),FALSE,TRUE))</f>
        <v>1</v>
      </c>
      <c r="K858" s="122" t="b">
        <f t="array" ref="K858">IF(ISBLANK(CertifiedCrop[[#This Row],[2. Produit agricole certifié*]]),"",IF(ISERROR(MATCH(1,(#REF!=CertifiedCrop[[#This Row],[2. Produit agricole certifié*]])*(#REF!=CertifiedCrop[[#This Row],[3. Variété**]]),0)),FALSE,TRUE))</f>
        <v>0</v>
      </c>
      <c r="L858" s="20" t="str">
        <f t="shared" si="65"/>
        <v/>
      </c>
      <c r="M858" s="54" t="str">
        <f t="shared" si="66"/>
        <v/>
      </c>
      <c r="N858" s="54" t="str">
        <f t="shared" si="67"/>
        <v/>
      </c>
      <c r="O858" s="55">
        <f t="shared" si="68"/>
        <v>562.27106227106231</v>
      </c>
      <c r="P858" s="55">
        <f t="shared" si="69"/>
        <v>543.04029304029302</v>
      </c>
      <c r="Q858" s="9" t="str">
        <f ca="1">IFERROR((VLOOKUP(A858,GM_Table,8,FALSE)-SUMIFS(D:D,A:A,A858,B:B,B858,C:C,C858)),"")</f>
        <v/>
      </c>
      <c r="R858" s="9" t="str">
        <f ca="1">IFERROR(CONCATENATE(VLOOKUP(A858,GM_Table,12,FALSE)," ",(VLOOKUP(A858,GM_Table,13,FALSE))),"")</f>
        <v/>
      </c>
    </row>
    <row r="859" spans="1:18" ht="15" x14ac:dyDescent="0.2">
      <c r="A859" s="193" t="s">
        <v>2934</v>
      </c>
      <c r="B859" s="9" t="s">
        <v>3290</v>
      </c>
      <c r="C859" s="9" t="s">
        <v>3291</v>
      </c>
      <c r="D859" s="256">
        <v>1.89</v>
      </c>
      <c r="E859" s="245">
        <v>1025</v>
      </c>
      <c r="F859" s="246">
        <v>992</v>
      </c>
      <c r="G859" s="247">
        <v>0</v>
      </c>
      <c r="H859" s="9">
        <v>0</v>
      </c>
      <c r="I859" s="255">
        <v>0</v>
      </c>
      <c r="J859" s="122" t="b">
        <f>IF(ISBLANK(CertifiedCrop[[#This Row],[1. Identifiant interne d’exploitation agricole*]]),"",IF(ISERROR(MATCH(CertifiedCrop[[#This Row],[1. Identifiant interne d’exploitation agricole*]],GroupMember[1. Identifiant interne d’exploitation agricole*],0)),FALSE,TRUE))</f>
        <v>1</v>
      </c>
      <c r="K859" s="122" t="b">
        <f t="array" ref="K859">IF(ISBLANK(CertifiedCrop[[#This Row],[2. Produit agricole certifié*]]),"",IF(ISERROR(MATCH(1,(#REF!=CertifiedCrop[[#This Row],[2. Produit agricole certifié*]])*(#REF!=CertifiedCrop[[#This Row],[3. Variété**]]),0)),FALSE,TRUE))</f>
        <v>0</v>
      </c>
      <c r="L859" s="20" t="str">
        <f t="shared" si="65"/>
        <v/>
      </c>
      <c r="M859" s="54" t="str">
        <f t="shared" si="66"/>
        <v/>
      </c>
      <c r="N859" s="54" t="str">
        <f t="shared" si="67"/>
        <v/>
      </c>
      <c r="O859" s="55">
        <f t="shared" si="68"/>
        <v>542.32804232804233</v>
      </c>
      <c r="P859" s="55">
        <f t="shared" si="69"/>
        <v>524.86772486772486</v>
      </c>
      <c r="Q859" s="9" t="str">
        <f ca="1">IFERROR((VLOOKUP(A859,GM_Table,8,FALSE)-SUMIFS(D:D,A:A,A859,B:B,B859,C:C,C859)),"")</f>
        <v/>
      </c>
      <c r="R859" s="9" t="str">
        <f ca="1">IFERROR(CONCATENATE(VLOOKUP(A859,GM_Table,12,FALSE)," ",(VLOOKUP(A859,GM_Table,13,FALSE))),"")</f>
        <v/>
      </c>
    </row>
    <row r="860" spans="1:18" ht="15" x14ac:dyDescent="0.2">
      <c r="A860" s="193" t="s">
        <v>2937</v>
      </c>
      <c r="B860" s="9" t="s">
        <v>3290</v>
      </c>
      <c r="C860" s="9" t="s">
        <v>3291</v>
      </c>
      <c r="D860" s="256">
        <v>4.0599999999999996</v>
      </c>
      <c r="E860" s="245">
        <v>2329</v>
      </c>
      <c r="F860" s="246">
        <v>2287</v>
      </c>
      <c r="G860" s="247">
        <v>0</v>
      </c>
      <c r="H860" s="9">
        <v>0</v>
      </c>
      <c r="I860" s="255">
        <v>0</v>
      </c>
      <c r="J860" s="122" t="b">
        <f>IF(ISBLANK(CertifiedCrop[[#This Row],[1. Identifiant interne d’exploitation agricole*]]),"",IF(ISERROR(MATCH(CertifiedCrop[[#This Row],[1. Identifiant interne d’exploitation agricole*]],GroupMember[1. Identifiant interne d’exploitation agricole*],0)),FALSE,TRUE))</f>
        <v>1</v>
      </c>
      <c r="K860" s="122" t="b">
        <f t="array" ref="K860">IF(ISBLANK(CertifiedCrop[[#This Row],[2. Produit agricole certifié*]]),"",IF(ISERROR(MATCH(1,(#REF!=CertifiedCrop[[#This Row],[2. Produit agricole certifié*]])*(#REF!=CertifiedCrop[[#This Row],[3. Variété**]]),0)),FALSE,TRUE))</f>
        <v>0</v>
      </c>
      <c r="L860" s="20" t="str">
        <f t="shared" si="65"/>
        <v/>
      </c>
      <c r="M860" s="54" t="str">
        <f t="shared" si="66"/>
        <v/>
      </c>
      <c r="N860" s="54" t="str">
        <f t="shared" si="67"/>
        <v/>
      </c>
      <c r="O860" s="55">
        <f t="shared" si="68"/>
        <v>573.64532019704438</v>
      </c>
      <c r="P860" s="55">
        <f t="shared" si="69"/>
        <v>563.30049261083752</v>
      </c>
      <c r="Q860" s="9" t="str">
        <f ca="1">IFERROR((VLOOKUP(A860,GM_Table,8,FALSE)-SUMIFS(D:D,A:A,A860,B:B,B860,C:C,C860)),"")</f>
        <v/>
      </c>
      <c r="R860" s="9" t="str">
        <f ca="1">IFERROR(CONCATENATE(VLOOKUP(A860,GM_Table,12,FALSE)," ",(VLOOKUP(A860,GM_Table,13,FALSE))),"")</f>
        <v/>
      </c>
    </row>
    <row r="861" spans="1:18" ht="15" x14ac:dyDescent="0.2">
      <c r="A861" s="193" t="s">
        <v>2941</v>
      </c>
      <c r="B861" s="9" t="s">
        <v>3290</v>
      </c>
      <c r="C861" s="9" t="s">
        <v>3291</v>
      </c>
      <c r="D861" s="256">
        <v>1.19</v>
      </c>
      <c r="E861" s="221">
        <v>688</v>
      </c>
      <c r="F861" s="246">
        <v>659</v>
      </c>
      <c r="G861" s="247">
        <v>0</v>
      </c>
      <c r="H861" s="9">
        <v>0</v>
      </c>
      <c r="I861" s="255">
        <v>0</v>
      </c>
      <c r="J861" s="122" t="b">
        <f>IF(ISBLANK(CertifiedCrop[[#This Row],[1. Identifiant interne d’exploitation agricole*]]),"",IF(ISERROR(MATCH(CertifiedCrop[[#This Row],[1. Identifiant interne d’exploitation agricole*]],GroupMember[1. Identifiant interne d’exploitation agricole*],0)),FALSE,TRUE))</f>
        <v>1</v>
      </c>
      <c r="K861" s="122" t="b">
        <f t="array" ref="K861">IF(ISBLANK(CertifiedCrop[[#This Row],[2. Produit agricole certifié*]]),"",IF(ISERROR(MATCH(1,(#REF!=CertifiedCrop[[#This Row],[2. Produit agricole certifié*]])*(#REF!=CertifiedCrop[[#This Row],[3. Variété**]]),0)),FALSE,TRUE))</f>
        <v>0</v>
      </c>
      <c r="L861" s="20" t="str">
        <f t="shared" si="65"/>
        <v/>
      </c>
      <c r="M861" s="54" t="str">
        <f t="shared" si="66"/>
        <v/>
      </c>
      <c r="N861" s="54" t="str">
        <f t="shared" si="67"/>
        <v/>
      </c>
      <c r="O861" s="55">
        <f t="shared" si="68"/>
        <v>578.15126050420167</v>
      </c>
      <c r="P861" s="55">
        <f t="shared" si="69"/>
        <v>553.78151260504205</v>
      </c>
      <c r="Q861" s="9" t="str">
        <f ca="1">IFERROR((VLOOKUP(A861,GM_Table,8,FALSE)-SUMIFS(D:D,A:A,A861,B:B,B861,C:C,C861)),"")</f>
        <v/>
      </c>
      <c r="R861" s="9" t="str">
        <f ca="1">IFERROR(CONCATENATE(VLOOKUP(A861,GM_Table,12,FALSE)," ",(VLOOKUP(A861,GM_Table,13,FALSE))),"")</f>
        <v/>
      </c>
    </row>
    <row r="862" spans="1:18" ht="15" x14ac:dyDescent="0.2">
      <c r="A862" s="193" t="s">
        <v>2944</v>
      </c>
      <c r="B862" s="9" t="s">
        <v>3290</v>
      </c>
      <c r="C862" s="9" t="s">
        <v>3291</v>
      </c>
      <c r="D862" s="256">
        <v>3.17</v>
      </c>
      <c r="E862" s="245">
        <v>1708</v>
      </c>
      <c r="F862" s="246">
        <v>1639</v>
      </c>
      <c r="G862" s="247">
        <v>0</v>
      </c>
      <c r="H862" s="9">
        <v>0</v>
      </c>
      <c r="I862" s="255">
        <v>0</v>
      </c>
      <c r="J862" s="122" t="b">
        <f>IF(ISBLANK(CertifiedCrop[[#This Row],[1. Identifiant interne d’exploitation agricole*]]),"",IF(ISERROR(MATCH(CertifiedCrop[[#This Row],[1. Identifiant interne d’exploitation agricole*]],GroupMember[1. Identifiant interne d’exploitation agricole*],0)),FALSE,TRUE))</f>
        <v>1</v>
      </c>
      <c r="K862" s="122" t="b">
        <f t="array" ref="K862">IF(ISBLANK(CertifiedCrop[[#This Row],[2. Produit agricole certifié*]]),"",IF(ISERROR(MATCH(1,(#REF!=CertifiedCrop[[#This Row],[2. Produit agricole certifié*]])*(#REF!=CertifiedCrop[[#This Row],[3. Variété**]]),0)),FALSE,TRUE))</f>
        <v>0</v>
      </c>
      <c r="L862" s="20" t="str">
        <f t="shared" si="65"/>
        <v/>
      </c>
      <c r="M862" s="54" t="str">
        <f t="shared" si="66"/>
        <v/>
      </c>
      <c r="N862" s="54" t="str">
        <f t="shared" si="67"/>
        <v/>
      </c>
      <c r="O862" s="55">
        <f t="shared" si="68"/>
        <v>538.80126182965296</v>
      </c>
      <c r="P862" s="55">
        <f t="shared" si="69"/>
        <v>517.03470031545737</v>
      </c>
      <c r="Q862" s="9" t="str">
        <f ca="1">IFERROR((VLOOKUP(A862,GM_Table,8,FALSE)-SUMIFS(D:D,A:A,A862,B:B,B862,C:C,C862)),"")</f>
        <v/>
      </c>
      <c r="R862" s="9" t="str">
        <f ca="1">IFERROR(CONCATENATE(VLOOKUP(A862,GM_Table,12,FALSE)," ",(VLOOKUP(A862,GM_Table,13,FALSE))),"")</f>
        <v/>
      </c>
    </row>
    <row r="863" spans="1:18" ht="15" x14ac:dyDescent="0.2">
      <c r="A863" s="193" t="s">
        <v>2947</v>
      </c>
      <c r="B863" s="9" t="s">
        <v>3290</v>
      </c>
      <c r="C863" s="9" t="s">
        <v>3291</v>
      </c>
      <c r="D863" s="256">
        <v>1.5</v>
      </c>
      <c r="E863" s="221">
        <v>897</v>
      </c>
      <c r="F863" s="246">
        <v>874</v>
      </c>
      <c r="G863" s="247">
        <v>0</v>
      </c>
      <c r="H863" s="9">
        <v>0</v>
      </c>
      <c r="I863" s="255">
        <v>0</v>
      </c>
      <c r="J863" s="122" t="b">
        <f>IF(ISBLANK(CertifiedCrop[[#This Row],[1. Identifiant interne d’exploitation agricole*]]),"",IF(ISERROR(MATCH(CertifiedCrop[[#This Row],[1. Identifiant interne d’exploitation agricole*]],GroupMember[1. Identifiant interne d’exploitation agricole*],0)),FALSE,TRUE))</f>
        <v>1</v>
      </c>
      <c r="K863" s="122" t="b">
        <f t="array" ref="K863">IF(ISBLANK(CertifiedCrop[[#This Row],[2. Produit agricole certifié*]]),"",IF(ISERROR(MATCH(1,(#REF!=CertifiedCrop[[#This Row],[2. Produit agricole certifié*]])*(#REF!=CertifiedCrop[[#This Row],[3. Variété**]]),0)),FALSE,TRUE))</f>
        <v>0</v>
      </c>
      <c r="L863" s="20" t="str">
        <f t="shared" si="65"/>
        <v/>
      </c>
      <c r="M863" s="54" t="str">
        <f t="shared" si="66"/>
        <v/>
      </c>
      <c r="N863" s="54" t="str">
        <f t="shared" si="67"/>
        <v/>
      </c>
      <c r="O863" s="55">
        <f t="shared" si="68"/>
        <v>598</v>
      </c>
      <c r="P863" s="55">
        <f t="shared" si="69"/>
        <v>582.66666666666663</v>
      </c>
      <c r="Q863" s="9" t="str">
        <f ca="1">IFERROR((VLOOKUP(A863,GM_Table,8,FALSE)-SUMIFS(D:D,A:A,A863,B:B,B863,C:C,C863)),"")</f>
        <v/>
      </c>
      <c r="R863" s="9" t="str">
        <f ca="1">IFERROR(CONCATENATE(VLOOKUP(A863,GM_Table,12,FALSE)," ",(VLOOKUP(A863,GM_Table,13,FALSE))),"")</f>
        <v/>
      </c>
    </row>
    <row r="864" spans="1:18" ht="15" x14ac:dyDescent="0.2">
      <c r="A864" s="193" t="s">
        <v>2950</v>
      </c>
      <c r="B864" s="9" t="s">
        <v>3290</v>
      </c>
      <c r="C864" s="9" t="s">
        <v>3291</v>
      </c>
      <c r="D864" s="256">
        <v>3.66</v>
      </c>
      <c r="E864" s="245">
        <v>2002</v>
      </c>
      <c r="F864" s="246">
        <v>1982</v>
      </c>
      <c r="G864" s="247">
        <v>0</v>
      </c>
      <c r="H864" s="9">
        <v>0</v>
      </c>
      <c r="I864" s="255">
        <v>0</v>
      </c>
      <c r="J864" s="122" t="b">
        <f>IF(ISBLANK(CertifiedCrop[[#This Row],[1. Identifiant interne d’exploitation agricole*]]),"",IF(ISERROR(MATCH(CertifiedCrop[[#This Row],[1. Identifiant interne d’exploitation agricole*]],GroupMember[1. Identifiant interne d’exploitation agricole*],0)),FALSE,TRUE))</f>
        <v>1</v>
      </c>
      <c r="K864" s="122" t="b">
        <f t="array" ref="K864">IF(ISBLANK(CertifiedCrop[[#This Row],[2. Produit agricole certifié*]]),"",IF(ISERROR(MATCH(1,(#REF!=CertifiedCrop[[#This Row],[2. Produit agricole certifié*]])*(#REF!=CertifiedCrop[[#This Row],[3. Variété**]]),0)),FALSE,TRUE))</f>
        <v>0</v>
      </c>
      <c r="L864" s="20" t="str">
        <f t="shared" si="65"/>
        <v/>
      </c>
      <c r="M864" s="54" t="str">
        <f t="shared" si="66"/>
        <v/>
      </c>
      <c r="N864" s="54" t="str">
        <f t="shared" si="67"/>
        <v/>
      </c>
      <c r="O864" s="55">
        <f t="shared" si="68"/>
        <v>546.99453551912563</v>
      </c>
      <c r="P864" s="55">
        <f t="shared" si="69"/>
        <v>541.53005464480873</v>
      </c>
      <c r="Q864" s="9" t="str">
        <f ca="1">IFERROR((VLOOKUP(A864,GM_Table,8,FALSE)-SUMIFS(D:D,A:A,A864,B:B,B864,C:C,C864)),"")</f>
        <v/>
      </c>
      <c r="R864" s="9" t="str">
        <f ca="1">IFERROR(CONCATENATE(VLOOKUP(A864,GM_Table,12,FALSE)," ",(VLOOKUP(A864,GM_Table,13,FALSE))),"")</f>
        <v/>
      </c>
    </row>
    <row r="865" spans="1:18" ht="15" x14ac:dyDescent="0.2">
      <c r="A865" s="193" t="s">
        <v>2953</v>
      </c>
      <c r="B865" s="9" t="s">
        <v>3290</v>
      </c>
      <c r="C865" s="9" t="s">
        <v>3291</v>
      </c>
      <c r="D865" s="256">
        <v>4.5599999999999996</v>
      </c>
      <c r="E865" s="245">
        <v>2538</v>
      </c>
      <c r="F865" s="246">
        <v>2468</v>
      </c>
      <c r="G865" s="247">
        <v>0</v>
      </c>
      <c r="H865" s="9">
        <v>0</v>
      </c>
      <c r="I865" s="255">
        <v>0</v>
      </c>
      <c r="J865" s="122" t="b">
        <f>IF(ISBLANK(CertifiedCrop[[#This Row],[1. Identifiant interne d’exploitation agricole*]]),"",IF(ISERROR(MATCH(CertifiedCrop[[#This Row],[1. Identifiant interne d’exploitation agricole*]],GroupMember[1. Identifiant interne d’exploitation agricole*],0)),FALSE,TRUE))</f>
        <v>1</v>
      </c>
      <c r="K865" s="122" t="b">
        <f t="array" ref="K865">IF(ISBLANK(CertifiedCrop[[#This Row],[2. Produit agricole certifié*]]),"",IF(ISERROR(MATCH(1,(#REF!=CertifiedCrop[[#This Row],[2. Produit agricole certifié*]])*(#REF!=CertifiedCrop[[#This Row],[3. Variété**]]),0)),FALSE,TRUE))</f>
        <v>0</v>
      </c>
      <c r="L865" s="20" t="str">
        <f t="shared" si="65"/>
        <v/>
      </c>
      <c r="M865" s="54" t="str">
        <f t="shared" si="66"/>
        <v/>
      </c>
      <c r="N865" s="54" t="str">
        <f t="shared" si="67"/>
        <v/>
      </c>
      <c r="O865" s="55">
        <f t="shared" si="68"/>
        <v>556.57894736842115</v>
      </c>
      <c r="P865" s="55">
        <f t="shared" si="69"/>
        <v>541.22807017543869</v>
      </c>
      <c r="Q865" s="9" t="str">
        <f ca="1">IFERROR((VLOOKUP(A865,GM_Table,8,FALSE)-SUMIFS(D:D,A:A,A865,B:B,B865,C:C,C865)),"")</f>
        <v/>
      </c>
      <c r="R865" s="9" t="str">
        <f ca="1">IFERROR(CONCATENATE(VLOOKUP(A865,GM_Table,12,FALSE)," ",(VLOOKUP(A865,GM_Table,13,FALSE))),"")</f>
        <v/>
      </c>
    </row>
    <row r="866" spans="1:18" ht="15" x14ac:dyDescent="0.2">
      <c r="A866" s="193" t="s">
        <v>2956</v>
      </c>
      <c r="B866" s="9" t="s">
        <v>3290</v>
      </c>
      <c r="C866" s="9" t="s">
        <v>3291</v>
      </c>
      <c r="D866" s="256">
        <v>4.6900000000000004</v>
      </c>
      <c r="E866" s="245">
        <v>2796</v>
      </c>
      <c r="F866" s="246">
        <v>2697</v>
      </c>
      <c r="G866" s="247">
        <v>0</v>
      </c>
      <c r="H866" s="9">
        <v>0</v>
      </c>
      <c r="I866" s="255">
        <v>0</v>
      </c>
      <c r="J866" s="122" t="b">
        <f>IF(ISBLANK(CertifiedCrop[[#This Row],[1. Identifiant interne d’exploitation agricole*]]),"",IF(ISERROR(MATCH(CertifiedCrop[[#This Row],[1. Identifiant interne d’exploitation agricole*]],GroupMember[1. Identifiant interne d’exploitation agricole*],0)),FALSE,TRUE))</f>
        <v>1</v>
      </c>
      <c r="K866" s="122" t="b">
        <f t="array" ref="K866">IF(ISBLANK(CertifiedCrop[[#This Row],[2. Produit agricole certifié*]]),"",IF(ISERROR(MATCH(1,(#REF!=CertifiedCrop[[#This Row],[2. Produit agricole certifié*]])*(#REF!=CertifiedCrop[[#This Row],[3. Variété**]]),0)),FALSE,TRUE))</f>
        <v>0</v>
      </c>
      <c r="L866" s="20" t="str">
        <f t="shared" si="65"/>
        <v/>
      </c>
      <c r="M866" s="54" t="str">
        <f t="shared" si="66"/>
        <v/>
      </c>
      <c r="N866" s="54" t="str">
        <f t="shared" si="67"/>
        <v/>
      </c>
      <c r="O866" s="55">
        <f t="shared" si="68"/>
        <v>596.16204690831546</v>
      </c>
      <c r="P866" s="55">
        <f t="shared" si="69"/>
        <v>575.05330490405117</v>
      </c>
      <c r="Q866" s="9" t="str">
        <f ca="1">IFERROR((VLOOKUP(A866,GM_Table,8,FALSE)-SUMIFS(D:D,A:A,A866,B:B,B866,C:C,C866)),"")</f>
        <v/>
      </c>
      <c r="R866" s="9" t="str">
        <f ca="1">IFERROR(CONCATENATE(VLOOKUP(A866,GM_Table,12,FALSE)," ",(VLOOKUP(A866,GM_Table,13,FALSE))),"")</f>
        <v/>
      </c>
    </row>
    <row r="867" spans="1:18" ht="15" x14ac:dyDescent="0.2">
      <c r="A867" s="193" t="s">
        <v>2961</v>
      </c>
      <c r="B867" s="9" t="s">
        <v>3290</v>
      </c>
      <c r="C867" s="9" t="s">
        <v>3291</v>
      </c>
      <c r="D867" s="256">
        <v>3.21</v>
      </c>
      <c r="E867" s="245">
        <v>1731</v>
      </c>
      <c r="F867" s="246">
        <v>1682</v>
      </c>
      <c r="G867" s="247">
        <v>0</v>
      </c>
      <c r="H867" s="9">
        <v>0</v>
      </c>
      <c r="I867" s="255">
        <v>0</v>
      </c>
      <c r="J867" s="122" t="b">
        <f>IF(ISBLANK(CertifiedCrop[[#This Row],[1. Identifiant interne d’exploitation agricole*]]),"",IF(ISERROR(MATCH(CertifiedCrop[[#This Row],[1. Identifiant interne d’exploitation agricole*]],GroupMember[1. Identifiant interne d’exploitation agricole*],0)),FALSE,TRUE))</f>
        <v>1</v>
      </c>
      <c r="K867" s="122" t="b">
        <f t="array" ref="K867">IF(ISBLANK(CertifiedCrop[[#This Row],[2. Produit agricole certifié*]]),"",IF(ISERROR(MATCH(1,(#REF!=CertifiedCrop[[#This Row],[2. Produit agricole certifié*]])*(#REF!=CertifiedCrop[[#This Row],[3. Variété**]]),0)),FALSE,TRUE))</f>
        <v>0</v>
      </c>
      <c r="L867" s="20" t="str">
        <f t="shared" si="65"/>
        <v/>
      </c>
      <c r="M867" s="54" t="str">
        <f t="shared" si="66"/>
        <v/>
      </c>
      <c r="N867" s="54" t="str">
        <f t="shared" si="67"/>
        <v/>
      </c>
      <c r="O867" s="55">
        <f t="shared" si="68"/>
        <v>539.25233644859816</v>
      </c>
      <c r="P867" s="55">
        <f t="shared" si="69"/>
        <v>523.98753894080994</v>
      </c>
      <c r="Q867" s="9" t="str">
        <f ca="1">IFERROR((VLOOKUP(A867,GM_Table,8,FALSE)-SUMIFS(D:D,A:A,A867,B:B,B867,C:C,C867)),"")</f>
        <v/>
      </c>
      <c r="R867" s="9" t="str">
        <f ca="1">IFERROR(CONCATENATE(VLOOKUP(A867,GM_Table,12,FALSE)," ",(VLOOKUP(A867,GM_Table,13,FALSE))),"")</f>
        <v/>
      </c>
    </row>
    <row r="868" spans="1:18" ht="15" x14ac:dyDescent="0.2">
      <c r="A868" s="193" t="s">
        <v>2964</v>
      </c>
      <c r="B868" s="9" t="s">
        <v>3290</v>
      </c>
      <c r="C868" s="9" t="s">
        <v>3291</v>
      </c>
      <c r="D868" s="256">
        <v>2.73</v>
      </c>
      <c r="E868" s="245">
        <v>1579</v>
      </c>
      <c r="F868" s="246">
        <v>1478</v>
      </c>
      <c r="G868" s="247">
        <v>0</v>
      </c>
      <c r="H868" s="9">
        <v>0</v>
      </c>
      <c r="I868" s="255">
        <v>0</v>
      </c>
      <c r="J868" s="122" t="b">
        <f>IF(ISBLANK(CertifiedCrop[[#This Row],[1. Identifiant interne d’exploitation agricole*]]),"",IF(ISERROR(MATCH(CertifiedCrop[[#This Row],[1. Identifiant interne d’exploitation agricole*]],GroupMember[1. Identifiant interne d’exploitation agricole*],0)),FALSE,TRUE))</f>
        <v>1</v>
      </c>
      <c r="K868" s="122" t="b">
        <f t="array" ref="K868">IF(ISBLANK(CertifiedCrop[[#This Row],[2. Produit agricole certifié*]]),"",IF(ISERROR(MATCH(1,(#REF!=CertifiedCrop[[#This Row],[2. Produit agricole certifié*]])*(#REF!=CertifiedCrop[[#This Row],[3. Variété**]]),0)),FALSE,TRUE))</f>
        <v>0</v>
      </c>
      <c r="L868" s="20" t="str">
        <f t="shared" si="65"/>
        <v/>
      </c>
      <c r="M868" s="54" t="str">
        <f t="shared" si="66"/>
        <v/>
      </c>
      <c r="N868" s="54" t="str">
        <f t="shared" si="67"/>
        <v/>
      </c>
      <c r="O868" s="55">
        <f t="shared" si="68"/>
        <v>578.38827838827842</v>
      </c>
      <c r="P868" s="55">
        <f t="shared" si="69"/>
        <v>541.39194139194137</v>
      </c>
      <c r="Q868" s="9" t="str">
        <f ca="1">IFERROR((VLOOKUP(A868,GM_Table,8,FALSE)-SUMIFS(D:D,A:A,A868,B:B,B868,C:C,C868)),"")</f>
        <v/>
      </c>
      <c r="R868" s="9" t="str">
        <f ca="1">IFERROR(CONCATENATE(VLOOKUP(A868,GM_Table,12,FALSE)," ",(VLOOKUP(A868,GM_Table,13,FALSE))),"")</f>
        <v/>
      </c>
    </row>
    <row r="869" spans="1:18" ht="15" x14ac:dyDescent="0.2">
      <c r="A869" s="193" t="s">
        <v>2969</v>
      </c>
      <c r="B869" s="9" t="s">
        <v>3290</v>
      </c>
      <c r="C869" s="9" t="s">
        <v>3291</v>
      </c>
      <c r="D869" s="256">
        <v>3.55</v>
      </c>
      <c r="E869" s="245">
        <v>2113</v>
      </c>
      <c r="F869" s="246">
        <v>2105</v>
      </c>
      <c r="G869" s="247">
        <v>0</v>
      </c>
      <c r="H869" s="9">
        <v>0</v>
      </c>
      <c r="I869" s="255">
        <v>0</v>
      </c>
      <c r="J869" s="122" t="b">
        <f>IF(ISBLANK(CertifiedCrop[[#This Row],[1. Identifiant interne d’exploitation agricole*]]),"",IF(ISERROR(MATCH(CertifiedCrop[[#This Row],[1. Identifiant interne d’exploitation agricole*]],GroupMember[1. Identifiant interne d’exploitation agricole*],0)),FALSE,TRUE))</f>
        <v>1</v>
      </c>
      <c r="K869" s="122" t="b">
        <f t="array" ref="K869">IF(ISBLANK(CertifiedCrop[[#This Row],[2. Produit agricole certifié*]]),"",IF(ISERROR(MATCH(1,(#REF!=CertifiedCrop[[#This Row],[2. Produit agricole certifié*]])*(#REF!=CertifiedCrop[[#This Row],[3. Variété**]]),0)),FALSE,TRUE))</f>
        <v>0</v>
      </c>
      <c r="L869" s="20" t="str">
        <f t="shared" si="65"/>
        <v/>
      </c>
      <c r="M869" s="54" t="str">
        <f t="shared" si="66"/>
        <v/>
      </c>
      <c r="N869" s="54" t="str">
        <f t="shared" si="67"/>
        <v/>
      </c>
      <c r="O869" s="55">
        <f t="shared" si="68"/>
        <v>595.21126760563379</v>
      </c>
      <c r="P869" s="55">
        <f t="shared" si="69"/>
        <v>592.95774647887322</v>
      </c>
      <c r="Q869" s="9" t="str">
        <f ca="1">IFERROR((VLOOKUP(A869,GM_Table,8,FALSE)-SUMIFS(D:D,A:A,A869,B:B,B869,C:C,C869)),"")</f>
        <v/>
      </c>
      <c r="R869" s="9" t="str">
        <f ca="1">IFERROR(CONCATENATE(VLOOKUP(A869,GM_Table,12,FALSE)," ",(VLOOKUP(A869,GM_Table,13,FALSE))),"")</f>
        <v/>
      </c>
    </row>
    <row r="870" spans="1:18" ht="15" x14ac:dyDescent="0.2">
      <c r="A870" s="193" t="s">
        <v>2972</v>
      </c>
      <c r="B870" s="9" t="s">
        <v>3290</v>
      </c>
      <c r="C870" s="9" t="s">
        <v>3291</v>
      </c>
      <c r="D870" s="256">
        <v>2.7</v>
      </c>
      <c r="E870" s="245">
        <v>1437</v>
      </c>
      <c r="F870" s="246">
        <v>1362</v>
      </c>
      <c r="G870" s="247">
        <v>0</v>
      </c>
      <c r="H870" s="9">
        <v>0</v>
      </c>
      <c r="I870" s="255">
        <v>0</v>
      </c>
      <c r="J870" s="122" t="b">
        <f>IF(ISBLANK(CertifiedCrop[[#This Row],[1. Identifiant interne d’exploitation agricole*]]),"",IF(ISERROR(MATCH(CertifiedCrop[[#This Row],[1. Identifiant interne d’exploitation agricole*]],GroupMember[1. Identifiant interne d’exploitation agricole*],0)),FALSE,TRUE))</f>
        <v>1</v>
      </c>
      <c r="K870" s="122" t="b">
        <f t="array" ref="K870">IF(ISBLANK(CertifiedCrop[[#This Row],[2. Produit agricole certifié*]]),"",IF(ISERROR(MATCH(1,(#REF!=CertifiedCrop[[#This Row],[2. Produit agricole certifié*]])*(#REF!=CertifiedCrop[[#This Row],[3. Variété**]]),0)),FALSE,TRUE))</f>
        <v>0</v>
      </c>
      <c r="L870" s="20" t="str">
        <f t="shared" si="65"/>
        <v/>
      </c>
      <c r="M870" s="54" t="str">
        <f t="shared" si="66"/>
        <v/>
      </c>
      <c r="N870" s="54" t="str">
        <f t="shared" si="67"/>
        <v/>
      </c>
      <c r="O870" s="55">
        <f t="shared" si="68"/>
        <v>532.22222222222217</v>
      </c>
      <c r="P870" s="55">
        <f t="shared" si="69"/>
        <v>504.4444444444444</v>
      </c>
      <c r="Q870" s="9" t="str">
        <f ca="1">IFERROR((VLOOKUP(A870,GM_Table,8,FALSE)-SUMIFS(D:D,A:A,A870,B:B,B870,C:C,C870)),"")</f>
        <v/>
      </c>
      <c r="R870" s="9" t="str">
        <f ca="1">IFERROR(CONCATENATE(VLOOKUP(A870,GM_Table,12,FALSE)," ",(VLOOKUP(A870,GM_Table,13,FALSE))),"")</f>
        <v/>
      </c>
    </row>
    <row r="871" spans="1:18" ht="15" x14ac:dyDescent="0.2">
      <c r="A871" s="193" t="s">
        <v>2975</v>
      </c>
      <c r="B871" s="9" t="s">
        <v>3290</v>
      </c>
      <c r="C871" s="9" t="s">
        <v>3291</v>
      </c>
      <c r="D871" s="256">
        <v>3.24</v>
      </c>
      <c r="E871" s="245">
        <v>1859</v>
      </c>
      <c r="F871" s="246">
        <v>1748</v>
      </c>
      <c r="G871" s="247">
        <v>0</v>
      </c>
      <c r="H871" s="9">
        <v>0</v>
      </c>
      <c r="I871" s="255">
        <v>0</v>
      </c>
      <c r="J871" s="122" t="b">
        <f>IF(ISBLANK(CertifiedCrop[[#This Row],[1. Identifiant interne d’exploitation agricole*]]),"",IF(ISERROR(MATCH(CertifiedCrop[[#This Row],[1. Identifiant interne d’exploitation agricole*]],GroupMember[1. Identifiant interne d’exploitation agricole*],0)),FALSE,TRUE))</f>
        <v>1</v>
      </c>
      <c r="K871" s="122" t="b">
        <f t="array" ref="K871">IF(ISBLANK(CertifiedCrop[[#This Row],[2. Produit agricole certifié*]]),"",IF(ISERROR(MATCH(1,(#REF!=CertifiedCrop[[#This Row],[2. Produit agricole certifié*]])*(#REF!=CertifiedCrop[[#This Row],[3. Variété**]]),0)),FALSE,TRUE))</f>
        <v>0</v>
      </c>
      <c r="L871" s="20" t="str">
        <f t="shared" si="65"/>
        <v/>
      </c>
      <c r="M871" s="54" t="str">
        <f t="shared" si="66"/>
        <v/>
      </c>
      <c r="N871" s="54" t="str">
        <f t="shared" si="67"/>
        <v/>
      </c>
      <c r="O871" s="55">
        <f t="shared" si="68"/>
        <v>573.76543209876536</v>
      </c>
      <c r="P871" s="55">
        <f t="shared" si="69"/>
        <v>539.50617283950612</v>
      </c>
      <c r="Q871" s="9" t="str">
        <f ca="1">IFERROR((VLOOKUP(A871,GM_Table,8,FALSE)-SUMIFS(D:D,A:A,A871,B:B,B871,C:C,C871)),"")</f>
        <v/>
      </c>
      <c r="R871" s="9" t="str">
        <f ca="1">IFERROR(CONCATENATE(VLOOKUP(A871,GM_Table,12,FALSE)," ",(VLOOKUP(A871,GM_Table,13,FALSE))),"")</f>
        <v/>
      </c>
    </row>
    <row r="872" spans="1:18" ht="15" x14ac:dyDescent="0.2">
      <c r="A872" s="193" t="s">
        <v>2977</v>
      </c>
      <c r="B872" s="9" t="s">
        <v>3290</v>
      </c>
      <c r="C872" s="9" t="s">
        <v>3291</v>
      </c>
      <c r="D872" s="256">
        <v>4.29</v>
      </c>
      <c r="E872" s="245">
        <v>2526</v>
      </c>
      <c r="F872" s="246">
        <v>2469</v>
      </c>
      <c r="G872" s="247">
        <v>0</v>
      </c>
      <c r="H872" s="9">
        <v>0</v>
      </c>
      <c r="I872" s="255">
        <v>0</v>
      </c>
      <c r="J872" s="122" t="b">
        <f>IF(ISBLANK(CertifiedCrop[[#This Row],[1. Identifiant interne d’exploitation agricole*]]),"",IF(ISERROR(MATCH(CertifiedCrop[[#This Row],[1. Identifiant interne d’exploitation agricole*]],GroupMember[1. Identifiant interne d’exploitation agricole*],0)),FALSE,TRUE))</f>
        <v>1</v>
      </c>
      <c r="K872" s="122" t="b">
        <f t="array" ref="K872">IF(ISBLANK(CertifiedCrop[[#This Row],[2. Produit agricole certifié*]]),"",IF(ISERROR(MATCH(1,(#REF!=CertifiedCrop[[#This Row],[2. Produit agricole certifié*]])*(#REF!=CertifiedCrop[[#This Row],[3. Variété**]]),0)),FALSE,TRUE))</f>
        <v>0</v>
      </c>
      <c r="L872" s="20" t="str">
        <f t="shared" si="65"/>
        <v/>
      </c>
      <c r="M872" s="54" t="str">
        <f t="shared" si="66"/>
        <v/>
      </c>
      <c r="N872" s="54" t="str">
        <f t="shared" si="67"/>
        <v/>
      </c>
      <c r="O872" s="55">
        <f t="shared" si="68"/>
        <v>588.8111888111888</v>
      </c>
      <c r="P872" s="55">
        <f t="shared" si="69"/>
        <v>575.52447552447552</v>
      </c>
      <c r="Q872" s="9" t="str">
        <f ca="1">IFERROR((VLOOKUP(A872,GM_Table,8,FALSE)-SUMIFS(D:D,A:A,A872,B:B,B872,C:C,C872)),"")</f>
        <v/>
      </c>
      <c r="R872" s="9" t="str">
        <f ca="1">IFERROR(CONCATENATE(VLOOKUP(A872,GM_Table,12,FALSE)," ",(VLOOKUP(A872,GM_Table,13,FALSE))),"")</f>
        <v/>
      </c>
    </row>
    <row r="873" spans="1:18" ht="15" x14ac:dyDescent="0.2">
      <c r="A873" s="193" t="s">
        <v>2979</v>
      </c>
      <c r="B873" s="9" t="s">
        <v>3290</v>
      </c>
      <c r="C873" s="9" t="s">
        <v>3291</v>
      </c>
      <c r="D873" s="256">
        <v>2.5</v>
      </c>
      <c r="E873" s="245">
        <v>1498</v>
      </c>
      <c r="F873" s="246">
        <v>1399</v>
      </c>
      <c r="G873" s="247">
        <v>0</v>
      </c>
      <c r="H873" s="9">
        <v>0</v>
      </c>
      <c r="I873" s="255">
        <v>0</v>
      </c>
      <c r="J873" s="122" t="b">
        <f>IF(ISBLANK(CertifiedCrop[[#This Row],[1. Identifiant interne d’exploitation agricole*]]),"",IF(ISERROR(MATCH(CertifiedCrop[[#This Row],[1. Identifiant interne d’exploitation agricole*]],GroupMember[1. Identifiant interne d’exploitation agricole*],0)),FALSE,TRUE))</f>
        <v>1</v>
      </c>
      <c r="K873" s="122" t="b">
        <f t="array" ref="K873">IF(ISBLANK(CertifiedCrop[[#This Row],[2. Produit agricole certifié*]]),"",IF(ISERROR(MATCH(1,(#REF!=CertifiedCrop[[#This Row],[2. Produit agricole certifié*]])*(#REF!=CertifiedCrop[[#This Row],[3. Variété**]]),0)),FALSE,TRUE))</f>
        <v>0</v>
      </c>
      <c r="L873" s="20" t="str">
        <f t="shared" si="65"/>
        <v/>
      </c>
      <c r="M873" s="54" t="str">
        <f t="shared" si="66"/>
        <v/>
      </c>
      <c r="N873" s="54" t="str">
        <f t="shared" si="67"/>
        <v/>
      </c>
      <c r="O873" s="55">
        <f t="shared" si="68"/>
        <v>599.20000000000005</v>
      </c>
      <c r="P873" s="55">
        <f t="shared" si="69"/>
        <v>559.6</v>
      </c>
      <c r="Q873" s="9" t="str">
        <f ca="1">IFERROR((VLOOKUP(A873,GM_Table,8,FALSE)-SUMIFS(D:D,A:A,A873,B:B,B873,C:C,C873)),"")</f>
        <v/>
      </c>
      <c r="R873" s="9" t="str">
        <f ca="1">IFERROR(CONCATENATE(VLOOKUP(A873,GM_Table,12,FALSE)," ",(VLOOKUP(A873,GM_Table,13,FALSE))),"")</f>
        <v/>
      </c>
    </row>
    <row r="874" spans="1:18" ht="15" x14ac:dyDescent="0.2">
      <c r="A874" s="193" t="s">
        <v>2981</v>
      </c>
      <c r="B874" s="9" t="s">
        <v>3290</v>
      </c>
      <c r="C874" s="9" t="s">
        <v>3291</v>
      </c>
      <c r="D874" s="256">
        <v>4.67</v>
      </c>
      <c r="E874" s="245">
        <v>2810</v>
      </c>
      <c r="F874" s="246">
        <v>2748</v>
      </c>
      <c r="G874" s="247">
        <v>0</v>
      </c>
      <c r="H874" s="9">
        <v>0</v>
      </c>
      <c r="I874" s="255">
        <v>0</v>
      </c>
      <c r="J874" s="122" t="b">
        <f>IF(ISBLANK(CertifiedCrop[[#This Row],[1. Identifiant interne d’exploitation agricole*]]),"",IF(ISERROR(MATCH(CertifiedCrop[[#This Row],[1. Identifiant interne d’exploitation agricole*]],GroupMember[1. Identifiant interne d’exploitation agricole*],0)),FALSE,TRUE))</f>
        <v>1</v>
      </c>
      <c r="K874" s="122" t="b">
        <f t="array" ref="K874">IF(ISBLANK(CertifiedCrop[[#This Row],[2. Produit agricole certifié*]]),"",IF(ISERROR(MATCH(1,(#REF!=CertifiedCrop[[#This Row],[2. Produit agricole certifié*]])*(#REF!=CertifiedCrop[[#This Row],[3. Variété**]]),0)),FALSE,TRUE))</f>
        <v>0</v>
      </c>
      <c r="L874" s="20" t="str">
        <f t="shared" si="65"/>
        <v/>
      </c>
      <c r="M874" s="54" t="str">
        <f t="shared" si="66"/>
        <v/>
      </c>
      <c r="N874" s="54" t="str">
        <f t="shared" si="67"/>
        <v/>
      </c>
      <c r="O874" s="55">
        <f t="shared" si="68"/>
        <v>601.71306209850104</v>
      </c>
      <c r="P874" s="55">
        <f t="shared" si="69"/>
        <v>588.4368308351178</v>
      </c>
      <c r="Q874" s="9" t="str">
        <f ca="1">IFERROR((VLOOKUP(A874,GM_Table,8,FALSE)-SUMIFS(D:D,A:A,A874,B:B,B874,C:C,C874)),"")</f>
        <v/>
      </c>
      <c r="R874" s="9" t="str">
        <f ca="1">IFERROR(CONCATENATE(VLOOKUP(A874,GM_Table,12,FALSE)," ",(VLOOKUP(A874,GM_Table,13,FALSE))),"")</f>
        <v/>
      </c>
    </row>
    <row r="875" spans="1:18" ht="15" x14ac:dyDescent="0.2">
      <c r="A875" s="193" t="s">
        <v>2985</v>
      </c>
      <c r="B875" s="9" t="s">
        <v>3290</v>
      </c>
      <c r="C875" s="9" t="s">
        <v>3291</v>
      </c>
      <c r="D875" s="256">
        <v>2.92</v>
      </c>
      <c r="E875" s="245">
        <v>1597</v>
      </c>
      <c r="F875" s="246">
        <v>1562</v>
      </c>
      <c r="G875" s="247">
        <v>0</v>
      </c>
      <c r="H875" s="9">
        <v>0</v>
      </c>
      <c r="I875" s="255">
        <v>0</v>
      </c>
      <c r="J875" s="122" t="b">
        <f>IF(ISBLANK(CertifiedCrop[[#This Row],[1. Identifiant interne d’exploitation agricole*]]),"",IF(ISERROR(MATCH(CertifiedCrop[[#This Row],[1. Identifiant interne d’exploitation agricole*]],GroupMember[1. Identifiant interne d’exploitation agricole*],0)),FALSE,TRUE))</f>
        <v>1</v>
      </c>
      <c r="K875" s="122" t="b">
        <f t="array" ref="K875">IF(ISBLANK(CertifiedCrop[[#This Row],[2. Produit agricole certifié*]]),"",IF(ISERROR(MATCH(1,(#REF!=CertifiedCrop[[#This Row],[2. Produit agricole certifié*]])*(#REF!=CertifiedCrop[[#This Row],[3. Variété**]]),0)),FALSE,TRUE))</f>
        <v>0</v>
      </c>
      <c r="L875" s="20" t="str">
        <f t="shared" si="65"/>
        <v/>
      </c>
      <c r="M875" s="54" t="str">
        <f t="shared" si="66"/>
        <v/>
      </c>
      <c r="N875" s="54" t="str">
        <f t="shared" si="67"/>
        <v/>
      </c>
      <c r="O875" s="55">
        <f t="shared" si="68"/>
        <v>546.91780821917814</v>
      </c>
      <c r="P875" s="55">
        <f t="shared" si="69"/>
        <v>534.93150684931504</v>
      </c>
      <c r="Q875" s="9" t="str">
        <f ca="1">IFERROR((VLOOKUP(A875,GM_Table,8,FALSE)-SUMIFS(D:D,A:A,A875,B:B,B875,C:C,C875)),"")</f>
        <v/>
      </c>
      <c r="R875" s="9" t="str">
        <f ca="1">IFERROR(CONCATENATE(VLOOKUP(A875,GM_Table,12,FALSE)," ",(VLOOKUP(A875,GM_Table,13,FALSE))),"")</f>
        <v/>
      </c>
    </row>
    <row r="876" spans="1:18" ht="15" x14ac:dyDescent="0.2">
      <c r="A876" s="193" t="s">
        <v>2988</v>
      </c>
      <c r="B876" s="9" t="s">
        <v>3290</v>
      </c>
      <c r="C876" s="9" t="s">
        <v>3291</v>
      </c>
      <c r="D876" s="256">
        <v>6.25</v>
      </c>
      <c r="E876" s="245">
        <v>3659</v>
      </c>
      <c r="F876" s="246">
        <v>3526</v>
      </c>
      <c r="G876" s="247">
        <v>0</v>
      </c>
      <c r="H876" s="9">
        <v>0</v>
      </c>
      <c r="I876" s="255">
        <v>0</v>
      </c>
      <c r="J876" s="122" t="b">
        <f>IF(ISBLANK(CertifiedCrop[[#This Row],[1. Identifiant interne d’exploitation agricole*]]),"",IF(ISERROR(MATCH(CertifiedCrop[[#This Row],[1. Identifiant interne d’exploitation agricole*]],GroupMember[1. Identifiant interne d’exploitation agricole*],0)),FALSE,TRUE))</f>
        <v>1</v>
      </c>
      <c r="K876" s="122" t="b">
        <f t="array" ref="K876">IF(ISBLANK(CertifiedCrop[[#This Row],[2. Produit agricole certifié*]]),"",IF(ISERROR(MATCH(1,(#REF!=CertifiedCrop[[#This Row],[2. Produit agricole certifié*]])*(#REF!=CertifiedCrop[[#This Row],[3. Variété**]]),0)),FALSE,TRUE))</f>
        <v>0</v>
      </c>
      <c r="L876" s="20" t="str">
        <f t="shared" si="65"/>
        <v/>
      </c>
      <c r="M876" s="54" t="str">
        <f t="shared" si="66"/>
        <v/>
      </c>
      <c r="N876" s="54" t="str">
        <f t="shared" si="67"/>
        <v/>
      </c>
      <c r="O876" s="55">
        <f t="shared" si="68"/>
        <v>585.44000000000005</v>
      </c>
      <c r="P876" s="55">
        <f t="shared" si="69"/>
        <v>564.16</v>
      </c>
      <c r="Q876" s="9" t="str">
        <f ca="1">IFERROR((VLOOKUP(A876,GM_Table,8,FALSE)-SUMIFS(D:D,A:A,A876,B:B,B876,C:C,C876)),"")</f>
        <v/>
      </c>
      <c r="R876" s="9" t="str">
        <f ca="1">IFERROR(CONCATENATE(VLOOKUP(A876,GM_Table,12,FALSE)," ",(VLOOKUP(A876,GM_Table,13,FALSE))),"")</f>
        <v/>
      </c>
    </row>
    <row r="877" spans="1:18" ht="15" x14ac:dyDescent="0.2">
      <c r="A877" s="193" t="s">
        <v>2992</v>
      </c>
      <c r="B877" s="9" t="s">
        <v>3290</v>
      </c>
      <c r="C877" s="9" t="s">
        <v>3291</v>
      </c>
      <c r="D877" s="256">
        <v>6.83</v>
      </c>
      <c r="E877" s="245">
        <v>3655</v>
      </c>
      <c r="F877" s="246">
        <v>3555</v>
      </c>
      <c r="G877" s="247">
        <v>0</v>
      </c>
      <c r="H877" s="9">
        <v>0</v>
      </c>
      <c r="I877" s="255">
        <v>0</v>
      </c>
      <c r="J877" s="122" t="b">
        <f>IF(ISBLANK(CertifiedCrop[[#This Row],[1. Identifiant interne d’exploitation agricole*]]),"",IF(ISERROR(MATCH(CertifiedCrop[[#This Row],[1. Identifiant interne d’exploitation agricole*]],GroupMember[1. Identifiant interne d’exploitation agricole*],0)),FALSE,TRUE))</f>
        <v>1</v>
      </c>
      <c r="K877" s="122" t="b">
        <f t="array" ref="K877">IF(ISBLANK(CertifiedCrop[[#This Row],[2. Produit agricole certifié*]]),"",IF(ISERROR(MATCH(1,(#REF!=CertifiedCrop[[#This Row],[2. Produit agricole certifié*]])*(#REF!=CertifiedCrop[[#This Row],[3. Variété**]]),0)),FALSE,TRUE))</f>
        <v>0</v>
      </c>
      <c r="L877" s="20" t="str">
        <f t="shared" si="65"/>
        <v/>
      </c>
      <c r="M877" s="54" t="str">
        <f t="shared" si="66"/>
        <v/>
      </c>
      <c r="N877" s="54" t="str">
        <f t="shared" si="67"/>
        <v/>
      </c>
      <c r="O877" s="55">
        <f t="shared" si="68"/>
        <v>535.13909224011718</v>
      </c>
      <c r="P877" s="55">
        <f t="shared" si="69"/>
        <v>520.49780380673496</v>
      </c>
      <c r="Q877" s="9" t="str">
        <f ca="1">IFERROR((VLOOKUP(A877,GM_Table,8,FALSE)-SUMIFS(D:D,A:A,A877,B:B,B877,C:C,C877)),"")</f>
        <v/>
      </c>
      <c r="R877" s="9" t="str">
        <f ca="1">IFERROR(CONCATENATE(VLOOKUP(A877,GM_Table,12,FALSE)," ",(VLOOKUP(A877,GM_Table,13,FALSE))),"")</f>
        <v/>
      </c>
    </row>
    <row r="878" spans="1:18" ht="15" x14ac:dyDescent="0.2">
      <c r="A878" s="193" t="s">
        <v>2995</v>
      </c>
      <c r="B878" s="9" t="s">
        <v>3290</v>
      </c>
      <c r="C878" s="9" t="s">
        <v>3291</v>
      </c>
      <c r="D878" s="256">
        <v>7.93</v>
      </c>
      <c r="E878" s="245">
        <v>4277</v>
      </c>
      <c r="F878" s="246">
        <v>4096</v>
      </c>
      <c r="G878" s="247">
        <v>0</v>
      </c>
      <c r="H878" s="9">
        <v>0</v>
      </c>
      <c r="I878" s="255">
        <v>0</v>
      </c>
      <c r="J878" s="122" t="b">
        <f>IF(ISBLANK(CertifiedCrop[[#This Row],[1. Identifiant interne d’exploitation agricole*]]),"",IF(ISERROR(MATCH(CertifiedCrop[[#This Row],[1. Identifiant interne d’exploitation agricole*]],GroupMember[1. Identifiant interne d’exploitation agricole*],0)),FALSE,TRUE))</f>
        <v>1</v>
      </c>
      <c r="K878" s="122" t="b">
        <f t="array" ref="K878">IF(ISBLANK(CertifiedCrop[[#This Row],[2. Produit agricole certifié*]]),"",IF(ISERROR(MATCH(1,(#REF!=CertifiedCrop[[#This Row],[2. Produit agricole certifié*]])*(#REF!=CertifiedCrop[[#This Row],[3. Variété**]]),0)),FALSE,TRUE))</f>
        <v>0</v>
      </c>
      <c r="L878" s="20" t="str">
        <f t="shared" si="65"/>
        <v/>
      </c>
      <c r="M878" s="54" t="str">
        <f t="shared" si="66"/>
        <v/>
      </c>
      <c r="N878" s="54" t="str">
        <f t="shared" si="67"/>
        <v/>
      </c>
      <c r="O878" s="55">
        <f t="shared" si="68"/>
        <v>539.34426229508199</v>
      </c>
      <c r="P878" s="55">
        <f t="shared" si="69"/>
        <v>516.51954602774276</v>
      </c>
      <c r="Q878" s="9" t="str">
        <f ca="1">IFERROR((VLOOKUP(A878,GM_Table,8,FALSE)-SUMIFS(D:D,A:A,A878,B:B,B878,C:C,C878)),"")</f>
        <v/>
      </c>
      <c r="R878" s="9" t="str">
        <f ca="1">IFERROR(CONCATENATE(VLOOKUP(A878,GM_Table,12,FALSE)," ",(VLOOKUP(A878,GM_Table,13,FALSE))),"")</f>
        <v/>
      </c>
    </row>
    <row r="879" spans="1:18" ht="15" x14ac:dyDescent="0.2">
      <c r="A879" s="193" t="s">
        <v>2999</v>
      </c>
      <c r="B879" s="9" t="s">
        <v>3290</v>
      </c>
      <c r="C879" s="9" t="s">
        <v>3291</v>
      </c>
      <c r="D879" s="256">
        <v>2.14</v>
      </c>
      <c r="E879" s="245">
        <v>1267</v>
      </c>
      <c r="F879" s="246">
        <v>1207</v>
      </c>
      <c r="G879" s="247">
        <v>0</v>
      </c>
      <c r="H879" s="9">
        <v>0</v>
      </c>
      <c r="I879" s="255">
        <v>0</v>
      </c>
      <c r="J879" s="122" t="b">
        <f>IF(ISBLANK(CertifiedCrop[[#This Row],[1. Identifiant interne d’exploitation agricole*]]),"",IF(ISERROR(MATCH(CertifiedCrop[[#This Row],[1. Identifiant interne d’exploitation agricole*]],GroupMember[1. Identifiant interne d’exploitation agricole*],0)),FALSE,TRUE))</f>
        <v>1</v>
      </c>
      <c r="K879" s="122" t="b">
        <f t="array" ref="K879">IF(ISBLANK(CertifiedCrop[[#This Row],[2. Produit agricole certifié*]]),"",IF(ISERROR(MATCH(1,(#REF!=CertifiedCrop[[#This Row],[2. Produit agricole certifié*]])*(#REF!=CertifiedCrop[[#This Row],[3. Variété**]]),0)),FALSE,TRUE))</f>
        <v>0</v>
      </c>
      <c r="L879" s="20" t="str">
        <f t="shared" si="65"/>
        <v/>
      </c>
      <c r="M879" s="54" t="str">
        <f t="shared" si="66"/>
        <v/>
      </c>
      <c r="N879" s="54" t="str">
        <f t="shared" si="67"/>
        <v/>
      </c>
      <c r="O879" s="55">
        <f t="shared" si="68"/>
        <v>592.0560747663551</v>
      </c>
      <c r="P879" s="55">
        <f t="shared" si="69"/>
        <v>564.01869158878503</v>
      </c>
      <c r="Q879" s="9" t="str">
        <f ca="1">IFERROR((VLOOKUP(A879,GM_Table,8,FALSE)-SUMIFS(D:D,A:A,A879,B:B,B879,C:C,C879)),"")</f>
        <v/>
      </c>
      <c r="R879" s="9" t="str">
        <f ca="1">IFERROR(CONCATENATE(VLOOKUP(A879,GM_Table,12,FALSE)," ",(VLOOKUP(A879,GM_Table,13,FALSE))),"")</f>
        <v/>
      </c>
    </row>
    <row r="880" spans="1:18" ht="15" x14ac:dyDescent="0.2">
      <c r="A880" s="193" t="s">
        <v>3002</v>
      </c>
      <c r="B880" s="9" t="s">
        <v>3290</v>
      </c>
      <c r="C880" s="9" t="s">
        <v>3291</v>
      </c>
      <c r="D880" s="256">
        <v>4.7</v>
      </c>
      <c r="E880" s="245">
        <v>2783</v>
      </c>
      <c r="F880" s="246">
        <v>2626</v>
      </c>
      <c r="G880" s="247">
        <v>0</v>
      </c>
      <c r="H880" s="9">
        <v>0</v>
      </c>
      <c r="I880" s="255">
        <v>0</v>
      </c>
      <c r="J880" s="122" t="b">
        <f>IF(ISBLANK(CertifiedCrop[[#This Row],[1. Identifiant interne d’exploitation agricole*]]),"",IF(ISERROR(MATCH(CertifiedCrop[[#This Row],[1. Identifiant interne d’exploitation agricole*]],GroupMember[1. Identifiant interne d’exploitation agricole*],0)),FALSE,TRUE))</f>
        <v>1</v>
      </c>
      <c r="K880" s="122" t="b">
        <f t="array" ref="K880">IF(ISBLANK(CertifiedCrop[[#This Row],[2. Produit agricole certifié*]]),"",IF(ISERROR(MATCH(1,(#REF!=CertifiedCrop[[#This Row],[2. Produit agricole certifié*]])*(#REF!=CertifiedCrop[[#This Row],[3. Variété**]]),0)),FALSE,TRUE))</f>
        <v>0</v>
      </c>
      <c r="L880" s="20" t="str">
        <f t="shared" si="65"/>
        <v/>
      </c>
      <c r="M880" s="54" t="str">
        <f t="shared" si="66"/>
        <v/>
      </c>
      <c r="N880" s="54" t="str">
        <f t="shared" si="67"/>
        <v/>
      </c>
      <c r="O880" s="55">
        <f t="shared" si="68"/>
        <v>592.12765957446811</v>
      </c>
      <c r="P880" s="55">
        <f t="shared" si="69"/>
        <v>558.72340425531911</v>
      </c>
      <c r="Q880" s="9" t="str">
        <f ca="1">IFERROR((VLOOKUP(A880,GM_Table,8,FALSE)-SUMIFS(D:D,A:A,A880,B:B,B880,C:C,C880)),"")</f>
        <v/>
      </c>
      <c r="R880" s="9" t="str">
        <f ca="1">IFERROR(CONCATENATE(VLOOKUP(A880,GM_Table,12,FALSE)," ",(VLOOKUP(A880,GM_Table,13,FALSE))),"")</f>
        <v/>
      </c>
    </row>
    <row r="881" spans="1:18" ht="15" x14ac:dyDescent="0.2">
      <c r="A881" s="193" t="s">
        <v>3004</v>
      </c>
      <c r="B881" s="9" t="s">
        <v>3290</v>
      </c>
      <c r="C881" s="9" t="s">
        <v>3291</v>
      </c>
      <c r="D881" s="256">
        <v>5.83</v>
      </c>
      <c r="E881" s="245">
        <v>3439</v>
      </c>
      <c r="F881" s="246">
        <v>3364</v>
      </c>
      <c r="G881" s="247">
        <v>0</v>
      </c>
      <c r="H881" s="9">
        <v>0</v>
      </c>
      <c r="I881" s="255">
        <v>0</v>
      </c>
      <c r="J881" s="122" t="b">
        <f>IF(ISBLANK(CertifiedCrop[[#This Row],[1. Identifiant interne d’exploitation agricole*]]),"",IF(ISERROR(MATCH(CertifiedCrop[[#This Row],[1. Identifiant interne d’exploitation agricole*]],GroupMember[1. Identifiant interne d’exploitation agricole*],0)),FALSE,TRUE))</f>
        <v>1</v>
      </c>
      <c r="K881" s="122" t="b">
        <f t="array" ref="K881">IF(ISBLANK(CertifiedCrop[[#This Row],[2. Produit agricole certifié*]]),"",IF(ISERROR(MATCH(1,(#REF!=CertifiedCrop[[#This Row],[2. Produit agricole certifié*]])*(#REF!=CertifiedCrop[[#This Row],[3. Variété**]]),0)),FALSE,TRUE))</f>
        <v>0</v>
      </c>
      <c r="L881" s="20" t="str">
        <f t="shared" si="65"/>
        <v/>
      </c>
      <c r="M881" s="54" t="str">
        <f t="shared" si="66"/>
        <v/>
      </c>
      <c r="N881" s="54" t="str">
        <f t="shared" si="67"/>
        <v/>
      </c>
      <c r="O881" s="55">
        <f t="shared" si="68"/>
        <v>589.87993138936531</v>
      </c>
      <c r="P881" s="55">
        <f t="shared" si="69"/>
        <v>577.01543739279589</v>
      </c>
      <c r="Q881" s="9" t="str">
        <f ca="1">IFERROR((VLOOKUP(A881,GM_Table,8,FALSE)-SUMIFS(D:D,A:A,A881,B:B,B881,C:C,C881)),"")</f>
        <v/>
      </c>
      <c r="R881" s="9" t="str">
        <f ca="1">IFERROR(CONCATENATE(VLOOKUP(A881,GM_Table,12,FALSE)," ",(VLOOKUP(A881,GM_Table,13,FALSE))),"")</f>
        <v/>
      </c>
    </row>
    <row r="882" spans="1:18" ht="15" x14ac:dyDescent="0.2">
      <c r="A882" s="193" t="s">
        <v>3007</v>
      </c>
      <c r="B882" s="9" t="s">
        <v>3290</v>
      </c>
      <c r="C882" s="9" t="s">
        <v>3291</v>
      </c>
      <c r="D882" s="256">
        <v>3.78</v>
      </c>
      <c r="E882" s="245">
        <v>2235</v>
      </c>
      <c r="F882" s="246">
        <v>2247</v>
      </c>
      <c r="G882" s="247">
        <v>0</v>
      </c>
      <c r="H882" s="9">
        <v>0</v>
      </c>
      <c r="I882" s="255">
        <v>0</v>
      </c>
      <c r="J882" s="122" t="b">
        <f>IF(ISBLANK(CertifiedCrop[[#This Row],[1. Identifiant interne d’exploitation agricole*]]),"",IF(ISERROR(MATCH(CertifiedCrop[[#This Row],[1. Identifiant interne d’exploitation agricole*]],GroupMember[1. Identifiant interne d’exploitation agricole*],0)),FALSE,TRUE))</f>
        <v>1</v>
      </c>
      <c r="K882" s="122" t="b">
        <f t="array" ref="K882">IF(ISBLANK(CertifiedCrop[[#This Row],[2. Produit agricole certifié*]]),"",IF(ISERROR(MATCH(1,(#REF!=CertifiedCrop[[#This Row],[2. Produit agricole certifié*]])*(#REF!=CertifiedCrop[[#This Row],[3. Variété**]]),0)),FALSE,TRUE))</f>
        <v>0</v>
      </c>
      <c r="L882" s="20" t="str">
        <f t="shared" si="65"/>
        <v/>
      </c>
      <c r="M882" s="54" t="str">
        <f t="shared" si="66"/>
        <v/>
      </c>
      <c r="N882" s="54" t="str">
        <f t="shared" si="67"/>
        <v/>
      </c>
      <c r="O882" s="55">
        <f t="shared" si="68"/>
        <v>591.26984126984132</v>
      </c>
      <c r="P882" s="55">
        <f t="shared" si="69"/>
        <v>594.44444444444446</v>
      </c>
      <c r="Q882" s="9" t="str">
        <f ca="1">IFERROR((VLOOKUP(A882,GM_Table,8,FALSE)-SUMIFS(D:D,A:A,A882,B:B,B882,C:C,C882)),"")</f>
        <v/>
      </c>
      <c r="R882" s="9" t="str">
        <f ca="1">IFERROR(CONCATENATE(VLOOKUP(A882,GM_Table,12,FALSE)," ",(VLOOKUP(A882,GM_Table,13,FALSE))),"")</f>
        <v/>
      </c>
    </row>
    <row r="883" spans="1:18" ht="15" x14ac:dyDescent="0.2">
      <c r="A883" s="193" t="s">
        <v>3010</v>
      </c>
      <c r="B883" s="9" t="s">
        <v>3290</v>
      </c>
      <c r="C883" s="9" t="s">
        <v>3291</v>
      </c>
      <c r="D883" s="256">
        <v>2.17</v>
      </c>
      <c r="E883" s="245">
        <v>1161</v>
      </c>
      <c r="F883" s="246">
        <v>1085</v>
      </c>
      <c r="G883" s="247">
        <v>0</v>
      </c>
      <c r="H883" s="9">
        <v>0</v>
      </c>
      <c r="I883" s="255">
        <v>0</v>
      </c>
      <c r="J883" s="122" t="b">
        <f>IF(ISBLANK(CertifiedCrop[[#This Row],[1. Identifiant interne d’exploitation agricole*]]),"",IF(ISERROR(MATCH(CertifiedCrop[[#This Row],[1. Identifiant interne d’exploitation agricole*]],GroupMember[1. Identifiant interne d’exploitation agricole*],0)),FALSE,TRUE))</f>
        <v>1</v>
      </c>
      <c r="K883" s="122" t="b">
        <f t="array" ref="K883">IF(ISBLANK(CertifiedCrop[[#This Row],[2. Produit agricole certifié*]]),"",IF(ISERROR(MATCH(1,(#REF!=CertifiedCrop[[#This Row],[2. Produit agricole certifié*]])*(#REF!=CertifiedCrop[[#This Row],[3. Variété**]]),0)),FALSE,TRUE))</f>
        <v>0</v>
      </c>
      <c r="L883" s="20" t="str">
        <f t="shared" ref="L883:L946" si="70">IF((F883-G883)&lt;0,"!","")</f>
        <v/>
      </c>
      <c r="M883" s="54" t="str">
        <f t="shared" ref="M883:M946" si="71">IFERROR(IF((F883-G883)/G883&gt;25%,"!",IF((F883-G883)/G883&lt;-25%,"!","")),"")</f>
        <v/>
      </c>
      <c r="N883" s="54" t="str">
        <f t="shared" ref="N883:N946" si="72">IFERROR(IF((G883-H883)/H883&gt;25%,"!",IF((G883-H883)/H883&lt;-25%,"!","")),"")</f>
        <v/>
      </c>
      <c r="O883" s="55">
        <f t="shared" ref="O883:O946" si="73">IFERROR(E883/D883,"")</f>
        <v>535.02304147465441</v>
      </c>
      <c r="P883" s="55">
        <f t="shared" ref="P883:P946" si="74">IFERROR(F883/D883,"")</f>
        <v>500</v>
      </c>
      <c r="Q883" s="9" t="str">
        <f ca="1">IFERROR((VLOOKUP(A883,GM_Table,8,FALSE)-SUMIFS(D:D,A:A,A883,B:B,B883,C:C,C883)),"")</f>
        <v/>
      </c>
      <c r="R883" s="9" t="str">
        <f ca="1">IFERROR(CONCATENATE(VLOOKUP(A883,GM_Table,12,FALSE)," ",(VLOOKUP(A883,GM_Table,13,FALSE))),"")</f>
        <v/>
      </c>
    </row>
    <row r="884" spans="1:18" ht="15" x14ac:dyDescent="0.2">
      <c r="A884" s="193" t="s">
        <v>3014</v>
      </c>
      <c r="B884" s="9" t="s">
        <v>3290</v>
      </c>
      <c r="C884" s="9" t="s">
        <v>3291</v>
      </c>
      <c r="D884" s="256">
        <v>1.1499999999999999</v>
      </c>
      <c r="E884" s="221">
        <v>685</v>
      </c>
      <c r="F884" s="246">
        <v>659</v>
      </c>
      <c r="G884" s="247">
        <v>0</v>
      </c>
      <c r="H884" s="9">
        <v>0</v>
      </c>
      <c r="I884" s="255">
        <v>0</v>
      </c>
      <c r="J884" s="122" t="b">
        <f>IF(ISBLANK(CertifiedCrop[[#This Row],[1. Identifiant interne d’exploitation agricole*]]),"",IF(ISERROR(MATCH(CertifiedCrop[[#This Row],[1. Identifiant interne d’exploitation agricole*]],GroupMember[1. Identifiant interne d’exploitation agricole*],0)),FALSE,TRUE))</f>
        <v>1</v>
      </c>
      <c r="K884" s="122" t="b">
        <f t="array" ref="K884">IF(ISBLANK(CertifiedCrop[[#This Row],[2. Produit agricole certifié*]]),"",IF(ISERROR(MATCH(1,(#REF!=CertifiedCrop[[#This Row],[2. Produit agricole certifié*]])*(#REF!=CertifiedCrop[[#This Row],[3. Variété**]]),0)),FALSE,TRUE))</f>
        <v>0</v>
      </c>
      <c r="L884" s="20" t="str">
        <f t="shared" si="70"/>
        <v/>
      </c>
      <c r="M884" s="54" t="str">
        <f t="shared" si="71"/>
        <v/>
      </c>
      <c r="N884" s="54" t="str">
        <f t="shared" si="72"/>
        <v/>
      </c>
      <c r="O884" s="55">
        <f t="shared" si="73"/>
        <v>595.6521739130435</v>
      </c>
      <c r="P884" s="55">
        <f t="shared" si="74"/>
        <v>573.04347826086962</v>
      </c>
      <c r="Q884" s="9" t="str">
        <f ca="1">IFERROR((VLOOKUP(A884,GM_Table,8,FALSE)-SUMIFS(D:D,A:A,A884,B:B,B884,C:C,C884)),"")</f>
        <v/>
      </c>
      <c r="R884" s="9" t="str">
        <f ca="1">IFERROR(CONCATENATE(VLOOKUP(A884,GM_Table,12,FALSE)," ",(VLOOKUP(A884,GM_Table,13,FALSE))),"")</f>
        <v/>
      </c>
    </row>
    <row r="885" spans="1:18" ht="15" x14ac:dyDescent="0.2">
      <c r="A885" s="193" t="s">
        <v>3016</v>
      </c>
      <c r="B885" s="9" t="s">
        <v>3290</v>
      </c>
      <c r="C885" s="9" t="s">
        <v>3291</v>
      </c>
      <c r="D885" s="256">
        <v>2.57</v>
      </c>
      <c r="E885" s="245">
        <v>1447</v>
      </c>
      <c r="F885" s="246">
        <v>1387</v>
      </c>
      <c r="G885" s="247">
        <v>0</v>
      </c>
      <c r="H885" s="9">
        <v>0</v>
      </c>
      <c r="I885" s="255">
        <v>0</v>
      </c>
      <c r="J885" s="122" t="b">
        <f>IF(ISBLANK(CertifiedCrop[[#This Row],[1. Identifiant interne d’exploitation agricole*]]),"",IF(ISERROR(MATCH(CertifiedCrop[[#This Row],[1. Identifiant interne d’exploitation agricole*]],GroupMember[1. Identifiant interne d’exploitation agricole*],0)),FALSE,TRUE))</f>
        <v>1</v>
      </c>
      <c r="K885" s="122" t="b">
        <f t="array" ref="K885">IF(ISBLANK(CertifiedCrop[[#This Row],[2. Produit agricole certifié*]]),"",IF(ISERROR(MATCH(1,(#REF!=CertifiedCrop[[#This Row],[2. Produit agricole certifié*]])*(#REF!=CertifiedCrop[[#This Row],[3. Variété**]]),0)),FALSE,TRUE))</f>
        <v>0</v>
      </c>
      <c r="L885" s="20" t="str">
        <f t="shared" si="70"/>
        <v/>
      </c>
      <c r="M885" s="54" t="str">
        <f t="shared" si="71"/>
        <v/>
      </c>
      <c r="N885" s="54" t="str">
        <f t="shared" si="72"/>
        <v/>
      </c>
      <c r="O885" s="55">
        <f t="shared" si="73"/>
        <v>563.03501945525295</v>
      </c>
      <c r="P885" s="55">
        <f t="shared" si="74"/>
        <v>539.68871595330745</v>
      </c>
      <c r="Q885" s="9" t="str">
        <f ca="1">IFERROR((VLOOKUP(A885,GM_Table,8,FALSE)-SUMIFS(D:D,A:A,A885,B:B,B885,C:C,C885)),"")</f>
        <v/>
      </c>
      <c r="R885" s="9" t="str">
        <f ca="1">IFERROR(CONCATENATE(VLOOKUP(A885,GM_Table,12,FALSE)," ",(VLOOKUP(A885,GM_Table,13,FALSE))),"")</f>
        <v/>
      </c>
    </row>
    <row r="886" spans="1:18" ht="15" x14ac:dyDescent="0.2">
      <c r="A886" s="193" t="s">
        <v>3018</v>
      </c>
      <c r="B886" s="9" t="s">
        <v>3290</v>
      </c>
      <c r="C886" s="9" t="s">
        <v>3291</v>
      </c>
      <c r="D886" s="256">
        <v>3</v>
      </c>
      <c r="E886" s="245">
        <v>1606</v>
      </c>
      <c r="F886" s="246">
        <v>1546</v>
      </c>
      <c r="G886" s="247">
        <v>0</v>
      </c>
      <c r="H886" s="9">
        <v>0</v>
      </c>
      <c r="I886" s="255">
        <v>0</v>
      </c>
      <c r="J886" s="122" t="b">
        <f>IF(ISBLANK(CertifiedCrop[[#This Row],[1. Identifiant interne d’exploitation agricole*]]),"",IF(ISERROR(MATCH(CertifiedCrop[[#This Row],[1. Identifiant interne d’exploitation agricole*]],GroupMember[1. Identifiant interne d’exploitation agricole*],0)),FALSE,TRUE))</f>
        <v>1</v>
      </c>
      <c r="K886" s="122" t="b">
        <f t="array" ref="K886">IF(ISBLANK(CertifiedCrop[[#This Row],[2. Produit agricole certifié*]]),"",IF(ISERROR(MATCH(1,(#REF!=CertifiedCrop[[#This Row],[2. Produit agricole certifié*]])*(#REF!=CertifiedCrop[[#This Row],[3. Variété**]]),0)),FALSE,TRUE))</f>
        <v>0</v>
      </c>
      <c r="L886" s="20" t="str">
        <f t="shared" si="70"/>
        <v/>
      </c>
      <c r="M886" s="54" t="str">
        <f t="shared" si="71"/>
        <v/>
      </c>
      <c r="N886" s="54" t="str">
        <f t="shared" si="72"/>
        <v/>
      </c>
      <c r="O886" s="55">
        <f t="shared" si="73"/>
        <v>535.33333333333337</v>
      </c>
      <c r="P886" s="55">
        <f t="shared" si="74"/>
        <v>515.33333333333337</v>
      </c>
      <c r="Q886" s="9" t="str">
        <f ca="1">IFERROR((VLOOKUP(A886,GM_Table,8,FALSE)-SUMIFS(D:D,A:A,A886,B:B,B886,C:C,C886)),"")</f>
        <v/>
      </c>
      <c r="R886" s="9" t="str">
        <f ca="1">IFERROR(CONCATENATE(VLOOKUP(A886,GM_Table,12,FALSE)," ",(VLOOKUP(A886,GM_Table,13,FALSE))),"")</f>
        <v/>
      </c>
    </row>
    <row r="887" spans="1:18" ht="15" x14ac:dyDescent="0.2">
      <c r="A887" s="193" t="s">
        <v>3020</v>
      </c>
      <c r="B887" s="9" t="s">
        <v>3290</v>
      </c>
      <c r="C887" s="9" t="s">
        <v>3291</v>
      </c>
      <c r="D887" s="256">
        <v>3.29</v>
      </c>
      <c r="E887" s="245">
        <v>1885</v>
      </c>
      <c r="F887" s="246">
        <v>1784</v>
      </c>
      <c r="G887" s="247">
        <v>0</v>
      </c>
      <c r="H887" s="9">
        <v>0</v>
      </c>
      <c r="I887" s="255">
        <v>0</v>
      </c>
      <c r="J887" s="122" t="b">
        <f>IF(ISBLANK(CertifiedCrop[[#This Row],[1. Identifiant interne d’exploitation agricole*]]),"",IF(ISERROR(MATCH(CertifiedCrop[[#This Row],[1. Identifiant interne d’exploitation agricole*]],GroupMember[1. Identifiant interne d’exploitation agricole*],0)),FALSE,TRUE))</f>
        <v>1</v>
      </c>
      <c r="K887" s="122" t="b">
        <f t="array" ref="K887">IF(ISBLANK(CertifiedCrop[[#This Row],[2. Produit agricole certifié*]]),"",IF(ISERROR(MATCH(1,(#REF!=CertifiedCrop[[#This Row],[2. Produit agricole certifié*]])*(#REF!=CertifiedCrop[[#This Row],[3. Variété**]]),0)),FALSE,TRUE))</f>
        <v>0</v>
      </c>
      <c r="L887" s="20" t="str">
        <f t="shared" si="70"/>
        <v/>
      </c>
      <c r="M887" s="54" t="str">
        <f t="shared" si="71"/>
        <v/>
      </c>
      <c r="N887" s="54" t="str">
        <f t="shared" si="72"/>
        <v/>
      </c>
      <c r="O887" s="55">
        <f t="shared" si="73"/>
        <v>572.94832826747722</v>
      </c>
      <c r="P887" s="55">
        <f t="shared" si="74"/>
        <v>542.24924012158056</v>
      </c>
      <c r="Q887" s="9" t="str">
        <f ca="1">IFERROR((VLOOKUP(A887,GM_Table,8,FALSE)-SUMIFS(D:D,A:A,A887,B:B,B887,C:C,C887)),"")</f>
        <v/>
      </c>
      <c r="R887" s="9" t="str">
        <f ca="1">IFERROR(CONCATENATE(VLOOKUP(A887,GM_Table,12,FALSE)," ",(VLOOKUP(A887,GM_Table,13,FALSE))),"")</f>
        <v/>
      </c>
    </row>
    <row r="888" spans="1:18" ht="15" x14ac:dyDescent="0.2">
      <c r="A888" s="193" t="s">
        <v>3024</v>
      </c>
      <c r="B888" s="9" t="s">
        <v>3290</v>
      </c>
      <c r="C888" s="9" t="s">
        <v>3291</v>
      </c>
      <c r="D888" s="256">
        <v>4.09</v>
      </c>
      <c r="E888" s="245">
        <v>2375</v>
      </c>
      <c r="F888" s="246">
        <v>2269</v>
      </c>
      <c r="G888" s="247">
        <v>0</v>
      </c>
      <c r="H888" s="9">
        <v>0</v>
      </c>
      <c r="I888" s="255">
        <v>0</v>
      </c>
      <c r="J888" s="122" t="b">
        <f>IF(ISBLANK(CertifiedCrop[[#This Row],[1. Identifiant interne d’exploitation agricole*]]),"",IF(ISERROR(MATCH(CertifiedCrop[[#This Row],[1. Identifiant interne d’exploitation agricole*]],GroupMember[1. Identifiant interne d’exploitation agricole*],0)),FALSE,TRUE))</f>
        <v>1</v>
      </c>
      <c r="K888" s="122" t="b">
        <f t="array" ref="K888">IF(ISBLANK(CertifiedCrop[[#This Row],[2. Produit agricole certifié*]]),"",IF(ISERROR(MATCH(1,(#REF!=CertifiedCrop[[#This Row],[2. Produit agricole certifié*]])*(#REF!=CertifiedCrop[[#This Row],[3. Variété**]]),0)),FALSE,TRUE))</f>
        <v>0</v>
      </c>
      <c r="L888" s="20" t="str">
        <f t="shared" si="70"/>
        <v/>
      </c>
      <c r="M888" s="54" t="str">
        <f t="shared" si="71"/>
        <v/>
      </c>
      <c r="N888" s="54" t="str">
        <f t="shared" si="72"/>
        <v/>
      </c>
      <c r="O888" s="55">
        <f t="shared" si="73"/>
        <v>580.68459657701715</v>
      </c>
      <c r="P888" s="55">
        <f t="shared" si="74"/>
        <v>554.76772616136918</v>
      </c>
      <c r="Q888" s="9" t="str">
        <f ca="1">IFERROR((VLOOKUP(A888,GM_Table,8,FALSE)-SUMIFS(D:D,A:A,A888,B:B,B888,C:C,C888)),"")</f>
        <v/>
      </c>
      <c r="R888" s="9" t="str">
        <f ca="1">IFERROR(CONCATENATE(VLOOKUP(A888,GM_Table,12,FALSE)," ",(VLOOKUP(A888,GM_Table,13,FALSE))),"")</f>
        <v/>
      </c>
    </row>
    <row r="889" spans="1:18" ht="15" x14ac:dyDescent="0.2">
      <c r="A889" s="193" t="s">
        <v>3028</v>
      </c>
      <c r="B889" s="9" t="s">
        <v>3290</v>
      </c>
      <c r="C889" s="9" t="s">
        <v>3291</v>
      </c>
      <c r="D889" s="256">
        <v>2.63</v>
      </c>
      <c r="E889" s="245">
        <v>1550</v>
      </c>
      <c r="F889" s="246">
        <v>1478</v>
      </c>
      <c r="G889" s="247">
        <v>0</v>
      </c>
      <c r="H889" s="9">
        <v>0</v>
      </c>
      <c r="I889" s="255">
        <v>0</v>
      </c>
      <c r="J889" s="122" t="b">
        <f>IF(ISBLANK(CertifiedCrop[[#This Row],[1. Identifiant interne d’exploitation agricole*]]),"",IF(ISERROR(MATCH(CertifiedCrop[[#This Row],[1. Identifiant interne d’exploitation agricole*]],GroupMember[1. Identifiant interne d’exploitation agricole*],0)),FALSE,TRUE))</f>
        <v>1</v>
      </c>
      <c r="K889" s="122" t="b">
        <f t="array" ref="K889">IF(ISBLANK(CertifiedCrop[[#This Row],[2. Produit agricole certifié*]]),"",IF(ISERROR(MATCH(1,(#REF!=CertifiedCrop[[#This Row],[2. Produit agricole certifié*]])*(#REF!=CertifiedCrop[[#This Row],[3. Variété**]]),0)),FALSE,TRUE))</f>
        <v>0</v>
      </c>
      <c r="L889" s="20" t="str">
        <f t="shared" si="70"/>
        <v/>
      </c>
      <c r="M889" s="54" t="str">
        <f t="shared" si="71"/>
        <v/>
      </c>
      <c r="N889" s="54" t="str">
        <f t="shared" si="72"/>
        <v/>
      </c>
      <c r="O889" s="55">
        <f t="shared" si="73"/>
        <v>589.35361216730041</v>
      </c>
      <c r="P889" s="55">
        <f t="shared" si="74"/>
        <v>561.97718631178714</v>
      </c>
      <c r="Q889" s="9" t="str">
        <f ca="1">IFERROR((VLOOKUP(A889,GM_Table,8,FALSE)-SUMIFS(D:D,A:A,A889,B:B,B889,C:C,C889)),"")</f>
        <v/>
      </c>
      <c r="R889" s="9" t="str">
        <f ca="1">IFERROR(CONCATENATE(VLOOKUP(A889,GM_Table,12,FALSE)," ",(VLOOKUP(A889,GM_Table,13,FALSE))),"")</f>
        <v/>
      </c>
    </row>
    <row r="890" spans="1:18" ht="15" x14ac:dyDescent="0.2">
      <c r="A890" s="193" t="s">
        <v>3032</v>
      </c>
      <c r="B890" s="9" t="s">
        <v>3290</v>
      </c>
      <c r="C890" s="9" t="s">
        <v>3291</v>
      </c>
      <c r="D890" s="256">
        <v>2.7</v>
      </c>
      <c r="E890" s="245">
        <v>1468</v>
      </c>
      <c r="F890" s="246">
        <v>1453</v>
      </c>
      <c r="G890" s="247">
        <v>0</v>
      </c>
      <c r="H890" s="9">
        <v>0</v>
      </c>
      <c r="I890" s="255">
        <v>0</v>
      </c>
      <c r="J890" s="122" t="b">
        <f>IF(ISBLANK(CertifiedCrop[[#This Row],[1. Identifiant interne d’exploitation agricole*]]),"",IF(ISERROR(MATCH(CertifiedCrop[[#This Row],[1. Identifiant interne d’exploitation agricole*]],GroupMember[1. Identifiant interne d’exploitation agricole*],0)),FALSE,TRUE))</f>
        <v>1</v>
      </c>
      <c r="K890" s="122" t="b">
        <f t="array" ref="K890">IF(ISBLANK(CertifiedCrop[[#This Row],[2. Produit agricole certifié*]]),"",IF(ISERROR(MATCH(1,(#REF!=CertifiedCrop[[#This Row],[2. Produit agricole certifié*]])*(#REF!=CertifiedCrop[[#This Row],[3. Variété**]]),0)),FALSE,TRUE))</f>
        <v>0</v>
      </c>
      <c r="L890" s="20" t="str">
        <f t="shared" si="70"/>
        <v/>
      </c>
      <c r="M890" s="54" t="str">
        <f t="shared" si="71"/>
        <v/>
      </c>
      <c r="N890" s="54" t="str">
        <f t="shared" si="72"/>
        <v/>
      </c>
      <c r="O890" s="55">
        <f t="shared" si="73"/>
        <v>543.7037037037037</v>
      </c>
      <c r="P890" s="55">
        <f t="shared" si="74"/>
        <v>538.14814814814815</v>
      </c>
      <c r="Q890" s="9" t="str">
        <f ca="1">IFERROR((VLOOKUP(A890,GM_Table,8,FALSE)-SUMIFS(D:D,A:A,A890,B:B,B890,C:C,C890)),"")</f>
        <v/>
      </c>
      <c r="R890" s="9" t="str">
        <f ca="1">IFERROR(CONCATENATE(VLOOKUP(A890,GM_Table,12,FALSE)," ",(VLOOKUP(A890,GM_Table,13,FALSE))),"")</f>
        <v/>
      </c>
    </row>
    <row r="891" spans="1:18" ht="15" x14ac:dyDescent="0.2">
      <c r="A891" s="193" t="s">
        <v>3036</v>
      </c>
      <c r="B891" s="9" t="s">
        <v>3290</v>
      </c>
      <c r="C891" s="9" t="s">
        <v>3291</v>
      </c>
      <c r="D891" s="256">
        <v>6.21</v>
      </c>
      <c r="E891" s="245">
        <v>3686</v>
      </c>
      <c r="F891" s="246">
        <v>3562</v>
      </c>
      <c r="G891" s="247">
        <v>0</v>
      </c>
      <c r="H891" s="9">
        <v>0</v>
      </c>
      <c r="I891" s="255">
        <v>0</v>
      </c>
      <c r="J891" s="122" t="b">
        <f>IF(ISBLANK(CertifiedCrop[[#This Row],[1. Identifiant interne d’exploitation agricole*]]),"",IF(ISERROR(MATCH(CertifiedCrop[[#This Row],[1. Identifiant interne d’exploitation agricole*]],GroupMember[1. Identifiant interne d’exploitation agricole*],0)),FALSE,TRUE))</f>
        <v>1</v>
      </c>
      <c r="K891" s="122" t="b">
        <f t="array" ref="K891">IF(ISBLANK(CertifiedCrop[[#This Row],[2. Produit agricole certifié*]]),"",IF(ISERROR(MATCH(1,(#REF!=CertifiedCrop[[#This Row],[2. Produit agricole certifié*]])*(#REF!=CertifiedCrop[[#This Row],[3. Variété**]]),0)),FALSE,TRUE))</f>
        <v>0</v>
      </c>
      <c r="L891" s="20" t="str">
        <f t="shared" si="70"/>
        <v/>
      </c>
      <c r="M891" s="54" t="str">
        <f t="shared" si="71"/>
        <v/>
      </c>
      <c r="N891" s="54" t="str">
        <f t="shared" si="72"/>
        <v/>
      </c>
      <c r="O891" s="55">
        <f t="shared" si="73"/>
        <v>593.55877616747182</v>
      </c>
      <c r="P891" s="55">
        <f t="shared" si="74"/>
        <v>573.59098228663447</v>
      </c>
      <c r="Q891" s="9" t="str">
        <f ca="1">IFERROR((VLOOKUP(A891,GM_Table,8,FALSE)-SUMIFS(D:D,A:A,A891,B:B,B891,C:C,C891)),"")</f>
        <v/>
      </c>
      <c r="R891" s="9" t="str">
        <f ca="1">IFERROR(CONCATENATE(VLOOKUP(A891,GM_Table,12,FALSE)," ",(VLOOKUP(A891,GM_Table,13,FALSE))),"")</f>
        <v/>
      </c>
    </row>
    <row r="892" spans="1:18" ht="15" x14ac:dyDescent="0.2">
      <c r="A892" s="193" t="s">
        <v>3038</v>
      </c>
      <c r="B892" s="9" t="s">
        <v>3290</v>
      </c>
      <c r="C892" s="9" t="s">
        <v>3291</v>
      </c>
      <c r="D892" s="256">
        <v>2.27</v>
      </c>
      <c r="E892" s="245">
        <v>1214</v>
      </c>
      <c r="F892" s="246">
        <v>1182</v>
      </c>
      <c r="G892" s="247">
        <v>0</v>
      </c>
      <c r="H892" s="9">
        <v>0</v>
      </c>
      <c r="I892" s="255">
        <v>0</v>
      </c>
      <c r="J892" s="122" t="b">
        <f>IF(ISBLANK(CertifiedCrop[[#This Row],[1. Identifiant interne d’exploitation agricole*]]),"",IF(ISERROR(MATCH(CertifiedCrop[[#This Row],[1. Identifiant interne d’exploitation agricole*]],GroupMember[1. Identifiant interne d’exploitation agricole*],0)),FALSE,TRUE))</f>
        <v>1</v>
      </c>
      <c r="K892" s="122" t="b">
        <f t="array" ref="K892">IF(ISBLANK(CertifiedCrop[[#This Row],[2. Produit agricole certifié*]]),"",IF(ISERROR(MATCH(1,(#REF!=CertifiedCrop[[#This Row],[2. Produit agricole certifié*]])*(#REF!=CertifiedCrop[[#This Row],[3. Variété**]]),0)),FALSE,TRUE))</f>
        <v>0</v>
      </c>
      <c r="L892" s="20" t="str">
        <f t="shared" si="70"/>
        <v/>
      </c>
      <c r="M892" s="54" t="str">
        <f t="shared" si="71"/>
        <v/>
      </c>
      <c r="N892" s="54" t="str">
        <f t="shared" si="72"/>
        <v/>
      </c>
      <c r="O892" s="55">
        <f t="shared" si="73"/>
        <v>534.8017621145375</v>
      </c>
      <c r="P892" s="55">
        <f t="shared" si="74"/>
        <v>520.70484581497794</v>
      </c>
      <c r="Q892" s="9" t="str">
        <f ca="1">IFERROR((VLOOKUP(A892,GM_Table,8,FALSE)-SUMIFS(D:D,A:A,A892,B:B,B892,C:C,C892)),"")</f>
        <v/>
      </c>
      <c r="R892" s="9" t="str">
        <f ca="1">IFERROR(CONCATENATE(VLOOKUP(A892,GM_Table,12,FALSE)," ",(VLOOKUP(A892,GM_Table,13,FALSE))),"")</f>
        <v/>
      </c>
    </row>
    <row r="893" spans="1:18" ht="15" x14ac:dyDescent="0.2">
      <c r="A893" s="193" t="s">
        <v>3040</v>
      </c>
      <c r="B893" s="9" t="s">
        <v>3290</v>
      </c>
      <c r="C893" s="9" t="s">
        <v>3291</v>
      </c>
      <c r="D893" s="256">
        <v>3.0478999999999998</v>
      </c>
      <c r="E893" s="245">
        <v>1821</v>
      </c>
      <c r="F893" s="246">
        <v>1746</v>
      </c>
      <c r="G893" s="247">
        <v>0</v>
      </c>
      <c r="H893" s="9">
        <v>0</v>
      </c>
      <c r="I893" s="255">
        <v>0</v>
      </c>
      <c r="J893" s="122" t="b">
        <f>IF(ISBLANK(CertifiedCrop[[#This Row],[1. Identifiant interne d’exploitation agricole*]]),"",IF(ISERROR(MATCH(CertifiedCrop[[#This Row],[1. Identifiant interne d’exploitation agricole*]],GroupMember[1. Identifiant interne d’exploitation agricole*],0)),FALSE,TRUE))</f>
        <v>1</v>
      </c>
      <c r="K893" s="122" t="b">
        <f t="array" ref="K893">IF(ISBLANK(CertifiedCrop[[#This Row],[2. Produit agricole certifié*]]),"",IF(ISERROR(MATCH(1,(#REF!=CertifiedCrop[[#This Row],[2. Produit agricole certifié*]])*(#REF!=CertifiedCrop[[#This Row],[3. Variété**]]),0)),FALSE,TRUE))</f>
        <v>0</v>
      </c>
      <c r="L893" s="20" t="str">
        <f t="shared" si="70"/>
        <v/>
      </c>
      <c r="M893" s="54" t="str">
        <f t="shared" si="71"/>
        <v/>
      </c>
      <c r="N893" s="54" t="str">
        <f t="shared" si="72"/>
        <v/>
      </c>
      <c r="O893" s="55">
        <f t="shared" si="73"/>
        <v>597.4605466058598</v>
      </c>
      <c r="P893" s="55">
        <f t="shared" si="74"/>
        <v>572.85344007349329</v>
      </c>
      <c r="Q893" s="9" t="str">
        <f ca="1">IFERROR((VLOOKUP(A893,GM_Table,8,FALSE)-SUMIFS(D:D,A:A,A893,B:B,B893,C:C,C893)),"")</f>
        <v/>
      </c>
      <c r="R893" s="9" t="str">
        <f ca="1">IFERROR(CONCATENATE(VLOOKUP(A893,GM_Table,12,FALSE)," ",(VLOOKUP(A893,GM_Table,13,FALSE))),"")</f>
        <v/>
      </c>
    </row>
    <row r="894" spans="1:18" ht="15" x14ac:dyDescent="0.2">
      <c r="A894" s="193" t="s">
        <v>3042</v>
      </c>
      <c r="B894" s="9" t="s">
        <v>3290</v>
      </c>
      <c r="C894" s="9" t="s">
        <v>3291</v>
      </c>
      <c r="D894" s="256">
        <v>1.79</v>
      </c>
      <c r="E894" s="245">
        <v>1016</v>
      </c>
      <c r="F894" s="246">
        <v>969</v>
      </c>
      <c r="G894" s="247">
        <v>0</v>
      </c>
      <c r="H894" s="9">
        <v>0</v>
      </c>
      <c r="I894" s="255">
        <v>0</v>
      </c>
      <c r="J894" s="122" t="b">
        <f>IF(ISBLANK(CertifiedCrop[[#This Row],[1. Identifiant interne d’exploitation agricole*]]),"",IF(ISERROR(MATCH(CertifiedCrop[[#This Row],[1. Identifiant interne d’exploitation agricole*]],GroupMember[1. Identifiant interne d’exploitation agricole*],0)),FALSE,TRUE))</f>
        <v>1</v>
      </c>
      <c r="K894" s="122" t="b">
        <f t="array" ref="K894">IF(ISBLANK(CertifiedCrop[[#This Row],[2. Produit agricole certifié*]]),"",IF(ISERROR(MATCH(1,(#REF!=CertifiedCrop[[#This Row],[2. Produit agricole certifié*]])*(#REF!=CertifiedCrop[[#This Row],[3. Variété**]]),0)),FALSE,TRUE))</f>
        <v>0</v>
      </c>
      <c r="L894" s="20" t="str">
        <f t="shared" si="70"/>
        <v/>
      </c>
      <c r="M894" s="54" t="str">
        <f t="shared" si="71"/>
        <v/>
      </c>
      <c r="N894" s="54" t="str">
        <f t="shared" si="72"/>
        <v/>
      </c>
      <c r="O894" s="55">
        <f t="shared" si="73"/>
        <v>567.59776536312847</v>
      </c>
      <c r="P894" s="55">
        <f t="shared" si="74"/>
        <v>541.34078212290501</v>
      </c>
      <c r="Q894" s="9" t="str">
        <f ca="1">IFERROR((VLOOKUP(A894,GM_Table,8,FALSE)-SUMIFS(D:D,A:A,A894,B:B,B894,C:C,C894)),"")</f>
        <v/>
      </c>
      <c r="R894" s="9" t="str">
        <f ca="1">IFERROR(CONCATENATE(VLOOKUP(A894,GM_Table,12,FALSE)," ",(VLOOKUP(A894,GM_Table,13,FALSE))),"")</f>
        <v/>
      </c>
    </row>
    <row r="895" spans="1:18" ht="15" x14ac:dyDescent="0.2">
      <c r="A895" s="193" t="s">
        <v>3044</v>
      </c>
      <c r="B895" s="9" t="s">
        <v>3290</v>
      </c>
      <c r="C895" s="9" t="s">
        <v>3291</v>
      </c>
      <c r="D895" s="256">
        <v>3.2</v>
      </c>
      <c r="E895" s="245">
        <v>1884</v>
      </c>
      <c r="F895" s="246">
        <v>1795</v>
      </c>
      <c r="G895" s="247">
        <v>0</v>
      </c>
      <c r="H895" s="9">
        <v>0</v>
      </c>
      <c r="I895" s="255">
        <v>0</v>
      </c>
      <c r="J895" s="122" t="b">
        <f>IF(ISBLANK(CertifiedCrop[[#This Row],[1. Identifiant interne d’exploitation agricole*]]),"",IF(ISERROR(MATCH(CertifiedCrop[[#This Row],[1. Identifiant interne d’exploitation agricole*]],GroupMember[1. Identifiant interne d’exploitation agricole*],0)),FALSE,TRUE))</f>
        <v>1</v>
      </c>
      <c r="K895" s="122" t="b">
        <f t="array" ref="K895">IF(ISBLANK(CertifiedCrop[[#This Row],[2. Produit agricole certifié*]]),"",IF(ISERROR(MATCH(1,(#REF!=CertifiedCrop[[#This Row],[2. Produit agricole certifié*]])*(#REF!=CertifiedCrop[[#This Row],[3. Variété**]]),0)),FALSE,TRUE))</f>
        <v>0</v>
      </c>
      <c r="L895" s="20" t="str">
        <f t="shared" si="70"/>
        <v/>
      </c>
      <c r="M895" s="54" t="str">
        <f t="shared" si="71"/>
        <v/>
      </c>
      <c r="N895" s="54" t="str">
        <f t="shared" si="72"/>
        <v/>
      </c>
      <c r="O895" s="55">
        <f t="shared" si="73"/>
        <v>588.75</v>
      </c>
      <c r="P895" s="55">
        <f t="shared" si="74"/>
        <v>560.9375</v>
      </c>
      <c r="Q895" s="9" t="str">
        <f ca="1">IFERROR((VLOOKUP(A895,GM_Table,8,FALSE)-SUMIFS(D:D,A:A,A895,B:B,B895,C:C,C895)),"")</f>
        <v/>
      </c>
      <c r="R895" s="9" t="str">
        <f ca="1">IFERROR(CONCATENATE(VLOOKUP(A895,GM_Table,12,FALSE)," ",(VLOOKUP(A895,GM_Table,13,FALSE))),"")</f>
        <v/>
      </c>
    </row>
    <row r="896" spans="1:18" ht="15" x14ac:dyDescent="0.2">
      <c r="A896" s="193" t="s">
        <v>3049</v>
      </c>
      <c r="B896" s="9" t="s">
        <v>3290</v>
      </c>
      <c r="C896" s="9" t="s">
        <v>3291</v>
      </c>
      <c r="D896" s="256">
        <v>4.29</v>
      </c>
      <c r="E896" s="245">
        <v>2328</v>
      </c>
      <c r="F896" s="246">
        <v>2296</v>
      </c>
      <c r="G896" s="247">
        <v>0</v>
      </c>
      <c r="H896" s="9">
        <v>0</v>
      </c>
      <c r="I896" s="255">
        <v>0</v>
      </c>
      <c r="J896" s="122" t="b">
        <f>IF(ISBLANK(CertifiedCrop[[#This Row],[1. Identifiant interne d’exploitation agricole*]]),"",IF(ISERROR(MATCH(CertifiedCrop[[#This Row],[1. Identifiant interne d’exploitation agricole*]],GroupMember[1. Identifiant interne d’exploitation agricole*],0)),FALSE,TRUE))</f>
        <v>1</v>
      </c>
      <c r="K896" s="122" t="b">
        <f t="array" ref="K896">IF(ISBLANK(CertifiedCrop[[#This Row],[2. Produit agricole certifié*]]),"",IF(ISERROR(MATCH(1,(#REF!=CertifiedCrop[[#This Row],[2. Produit agricole certifié*]])*(#REF!=CertifiedCrop[[#This Row],[3. Variété**]]),0)),FALSE,TRUE))</f>
        <v>0</v>
      </c>
      <c r="L896" s="20" t="str">
        <f t="shared" si="70"/>
        <v/>
      </c>
      <c r="M896" s="54" t="str">
        <f t="shared" si="71"/>
        <v/>
      </c>
      <c r="N896" s="54" t="str">
        <f t="shared" si="72"/>
        <v/>
      </c>
      <c r="O896" s="55">
        <f t="shared" si="73"/>
        <v>542.65734265734261</v>
      </c>
      <c r="P896" s="55">
        <f t="shared" si="74"/>
        <v>535.19813519813522</v>
      </c>
      <c r="Q896" s="9" t="str">
        <f ca="1">IFERROR((VLOOKUP(A896,GM_Table,8,FALSE)-SUMIFS(D:D,A:A,A896,B:B,B896,C:C,C896)),"")</f>
        <v/>
      </c>
      <c r="R896" s="9" t="str">
        <f ca="1">IFERROR(CONCATENATE(VLOOKUP(A896,GM_Table,12,FALSE)," ",(VLOOKUP(A896,GM_Table,13,FALSE))),"")</f>
        <v/>
      </c>
    </row>
    <row r="897" spans="1:18" ht="15" x14ac:dyDescent="0.2">
      <c r="A897" s="193" t="s">
        <v>3052</v>
      </c>
      <c r="B897" s="9" t="s">
        <v>3290</v>
      </c>
      <c r="C897" s="9" t="s">
        <v>3291</v>
      </c>
      <c r="D897" s="256">
        <v>4.88</v>
      </c>
      <c r="E897" s="245">
        <v>2606</v>
      </c>
      <c r="F897" s="246">
        <v>2569</v>
      </c>
      <c r="G897" s="247">
        <v>0</v>
      </c>
      <c r="H897" s="9">
        <v>0</v>
      </c>
      <c r="I897" s="255">
        <v>0</v>
      </c>
      <c r="J897" s="122" t="b">
        <f>IF(ISBLANK(CertifiedCrop[[#This Row],[1. Identifiant interne d’exploitation agricole*]]),"",IF(ISERROR(MATCH(CertifiedCrop[[#This Row],[1. Identifiant interne d’exploitation agricole*]],GroupMember[1. Identifiant interne d’exploitation agricole*],0)),FALSE,TRUE))</f>
        <v>1</v>
      </c>
      <c r="K897" s="122" t="b">
        <f t="array" ref="K897">IF(ISBLANK(CertifiedCrop[[#This Row],[2. Produit agricole certifié*]]),"",IF(ISERROR(MATCH(1,(#REF!=CertifiedCrop[[#This Row],[2. Produit agricole certifié*]])*(#REF!=CertifiedCrop[[#This Row],[3. Variété**]]),0)),FALSE,TRUE))</f>
        <v>0</v>
      </c>
      <c r="L897" s="20" t="str">
        <f t="shared" si="70"/>
        <v/>
      </c>
      <c r="M897" s="54" t="str">
        <f t="shared" si="71"/>
        <v/>
      </c>
      <c r="N897" s="54" t="str">
        <f t="shared" si="72"/>
        <v/>
      </c>
      <c r="O897" s="55">
        <f t="shared" si="73"/>
        <v>534.01639344262298</v>
      </c>
      <c r="P897" s="55">
        <f t="shared" si="74"/>
        <v>526.43442622950818</v>
      </c>
      <c r="Q897" s="9" t="str">
        <f ca="1">IFERROR((VLOOKUP(A897,GM_Table,8,FALSE)-SUMIFS(D:D,A:A,A897,B:B,B897,C:C,C897)),"")</f>
        <v/>
      </c>
      <c r="R897" s="9" t="str">
        <f ca="1">IFERROR(CONCATENATE(VLOOKUP(A897,GM_Table,12,FALSE)," ",(VLOOKUP(A897,GM_Table,13,FALSE))),"")</f>
        <v/>
      </c>
    </row>
    <row r="898" spans="1:18" ht="15" x14ac:dyDescent="0.2">
      <c r="A898" s="193" t="s">
        <v>3055</v>
      </c>
      <c r="B898" s="9" t="s">
        <v>3290</v>
      </c>
      <c r="C898" s="9" t="s">
        <v>3291</v>
      </c>
      <c r="D898" s="256">
        <v>2.2000000000000002</v>
      </c>
      <c r="E898" s="245">
        <v>1274</v>
      </c>
      <c r="F898" s="246">
        <v>1205</v>
      </c>
      <c r="G898" s="247">
        <v>0</v>
      </c>
      <c r="H898" s="9">
        <v>0</v>
      </c>
      <c r="I898" s="255">
        <v>0</v>
      </c>
      <c r="J898" s="122" t="b">
        <f>IF(ISBLANK(CertifiedCrop[[#This Row],[1. Identifiant interne d’exploitation agricole*]]),"",IF(ISERROR(MATCH(CertifiedCrop[[#This Row],[1. Identifiant interne d’exploitation agricole*]],GroupMember[1. Identifiant interne d’exploitation agricole*],0)),FALSE,TRUE))</f>
        <v>1</v>
      </c>
      <c r="K898" s="122" t="b">
        <f t="array" ref="K898">IF(ISBLANK(CertifiedCrop[[#This Row],[2. Produit agricole certifié*]]),"",IF(ISERROR(MATCH(1,(#REF!=CertifiedCrop[[#This Row],[2. Produit agricole certifié*]])*(#REF!=CertifiedCrop[[#This Row],[3. Variété**]]),0)),FALSE,TRUE))</f>
        <v>0</v>
      </c>
      <c r="L898" s="20" t="str">
        <f t="shared" si="70"/>
        <v/>
      </c>
      <c r="M898" s="54" t="str">
        <f t="shared" si="71"/>
        <v/>
      </c>
      <c r="N898" s="54" t="str">
        <f t="shared" si="72"/>
        <v/>
      </c>
      <c r="O898" s="55">
        <f t="shared" si="73"/>
        <v>579.09090909090901</v>
      </c>
      <c r="P898" s="55">
        <f t="shared" si="74"/>
        <v>547.72727272727263</v>
      </c>
      <c r="Q898" s="9" t="str">
        <f ca="1">IFERROR((VLOOKUP(A898,GM_Table,8,FALSE)-SUMIFS(D:D,A:A,A898,B:B,B898,C:C,C898)),"")</f>
        <v/>
      </c>
      <c r="R898" s="9" t="str">
        <f ca="1">IFERROR(CONCATENATE(VLOOKUP(A898,GM_Table,12,FALSE)," ",(VLOOKUP(A898,GM_Table,13,FALSE))),"")</f>
        <v/>
      </c>
    </row>
    <row r="899" spans="1:18" ht="15" x14ac:dyDescent="0.2">
      <c r="A899" s="193" t="s">
        <v>3058</v>
      </c>
      <c r="B899" s="9" t="s">
        <v>3290</v>
      </c>
      <c r="C899" s="9" t="s">
        <v>3291</v>
      </c>
      <c r="D899" s="256">
        <v>9.4700000000000006</v>
      </c>
      <c r="E899" s="245">
        <v>5631</v>
      </c>
      <c r="F899" s="246">
        <v>5569</v>
      </c>
      <c r="G899" s="247">
        <v>0</v>
      </c>
      <c r="H899" s="9">
        <v>0</v>
      </c>
      <c r="I899" s="255">
        <v>0</v>
      </c>
      <c r="J899" s="122" t="b">
        <f>IF(ISBLANK(CertifiedCrop[[#This Row],[1. Identifiant interne d’exploitation agricole*]]),"",IF(ISERROR(MATCH(CertifiedCrop[[#This Row],[1. Identifiant interne d’exploitation agricole*]],GroupMember[1. Identifiant interne d’exploitation agricole*],0)),FALSE,TRUE))</f>
        <v>1</v>
      </c>
      <c r="K899" s="122" t="b">
        <f t="array" ref="K899">IF(ISBLANK(CertifiedCrop[[#This Row],[2. Produit agricole certifié*]]),"",IF(ISERROR(MATCH(1,(#REF!=CertifiedCrop[[#This Row],[2. Produit agricole certifié*]])*(#REF!=CertifiedCrop[[#This Row],[3. Variété**]]),0)),FALSE,TRUE))</f>
        <v>0</v>
      </c>
      <c r="L899" s="20" t="str">
        <f t="shared" si="70"/>
        <v/>
      </c>
      <c r="M899" s="54" t="str">
        <f t="shared" si="71"/>
        <v/>
      </c>
      <c r="N899" s="54" t="str">
        <f t="shared" si="72"/>
        <v/>
      </c>
      <c r="O899" s="55">
        <f t="shared" si="73"/>
        <v>594.61457233368526</v>
      </c>
      <c r="P899" s="55">
        <f t="shared" si="74"/>
        <v>588.06758183738111</v>
      </c>
      <c r="Q899" s="9" t="str">
        <f ca="1">IFERROR((VLOOKUP(A899,GM_Table,8,FALSE)-SUMIFS(D:D,A:A,A899,B:B,B899,C:C,C899)),"")</f>
        <v/>
      </c>
      <c r="R899" s="9" t="str">
        <f ca="1">IFERROR(CONCATENATE(VLOOKUP(A899,GM_Table,12,FALSE)," ",(VLOOKUP(A899,GM_Table,13,FALSE))),"")</f>
        <v/>
      </c>
    </row>
    <row r="900" spans="1:18" ht="15" x14ac:dyDescent="0.2">
      <c r="A900" s="193" t="s">
        <v>3060</v>
      </c>
      <c r="B900" s="9" t="s">
        <v>3290</v>
      </c>
      <c r="C900" s="9" t="s">
        <v>3291</v>
      </c>
      <c r="D900" s="256">
        <v>3.84</v>
      </c>
      <c r="E900" s="245">
        <v>2099</v>
      </c>
      <c r="F900" s="246">
        <v>1958</v>
      </c>
      <c r="G900" s="247">
        <v>0</v>
      </c>
      <c r="H900" s="9">
        <v>0</v>
      </c>
      <c r="I900" s="255">
        <v>0</v>
      </c>
      <c r="J900" s="122" t="b">
        <f>IF(ISBLANK(CertifiedCrop[[#This Row],[1. Identifiant interne d’exploitation agricole*]]),"",IF(ISERROR(MATCH(CertifiedCrop[[#This Row],[1. Identifiant interne d’exploitation agricole*]],GroupMember[1. Identifiant interne d’exploitation agricole*],0)),FALSE,TRUE))</f>
        <v>1</v>
      </c>
      <c r="K900" s="122" t="b">
        <f t="array" ref="K900">IF(ISBLANK(CertifiedCrop[[#This Row],[2. Produit agricole certifié*]]),"",IF(ISERROR(MATCH(1,(#REF!=CertifiedCrop[[#This Row],[2. Produit agricole certifié*]])*(#REF!=CertifiedCrop[[#This Row],[3. Variété**]]),0)),FALSE,TRUE))</f>
        <v>0</v>
      </c>
      <c r="L900" s="20" t="str">
        <f t="shared" si="70"/>
        <v/>
      </c>
      <c r="M900" s="54" t="str">
        <f t="shared" si="71"/>
        <v/>
      </c>
      <c r="N900" s="54" t="str">
        <f t="shared" si="72"/>
        <v/>
      </c>
      <c r="O900" s="55">
        <f t="shared" si="73"/>
        <v>546.61458333333337</v>
      </c>
      <c r="P900" s="55">
        <f t="shared" si="74"/>
        <v>509.89583333333337</v>
      </c>
      <c r="Q900" s="9" t="str">
        <f ca="1">IFERROR((VLOOKUP(A900,GM_Table,8,FALSE)-SUMIFS(D:D,A:A,A900,B:B,B900,C:C,C900)),"")</f>
        <v/>
      </c>
      <c r="R900" s="9" t="str">
        <f ca="1">IFERROR(CONCATENATE(VLOOKUP(A900,GM_Table,12,FALSE)," ",(VLOOKUP(A900,GM_Table,13,FALSE))),"")</f>
        <v/>
      </c>
    </row>
    <row r="901" spans="1:18" ht="15" x14ac:dyDescent="0.2">
      <c r="A901" s="193" t="s">
        <v>3063</v>
      </c>
      <c r="B901" s="9" t="s">
        <v>3290</v>
      </c>
      <c r="C901" s="9" t="s">
        <v>3291</v>
      </c>
      <c r="D901" s="256">
        <v>4.33</v>
      </c>
      <c r="E901" s="245">
        <v>2349</v>
      </c>
      <c r="F901" s="246">
        <v>2278</v>
      </c>
      <c r="G901" s="247">
        <v>0</v>
      </c>
      <c r="H901" s="9">
        <v>0</v>
      </c>
      <c r="I901" s="255">
        <v>0</v>
      </c>
      <c r="J901" s="122" t="b">
        <f>IF(ISBLANK(CertifiedCrop[[#This Row],[1. Identifiant interne d’exploitation agricole*]]),"",IF(ISERROR(MATCH(CertifiedCrop[[#This Row],[1. Identifiant interne d’exploitation agricole*]],GroupMember[1. Identifiant interne d’exploitation agricole*],0)),FALSE,TRUE))</f>
        <v>1</v>
      </c>
      <c r="K901" s="122" t="b">
        <f t="array" ref="K901">IF(ISBLANK(CertifiedCrop[[#This Row],[2. Produit agricole certifié*]]),"",IF(ISERROR(MATCH(1,(#REF!=CertifiedCrop[[#This Row],[2. Produit agricole certifié*]])*(#REF!=CertifiedCrop[[#This Row],[3. Variété**]]),0)),FALSE,TRUE))</f>
        <v>0</v>
      </c>
      <c r="L901" s="20" t="str">
        <f t="shared" si="70"/>
        <v/>
      </c>
      <c r="M901" s="54" t="str">
        <f t="shared" si="71"/>
        <v/>
      </c>
      <c r="N901" s="54" t="str">
        <f t="shared" si="72"/>
        <v/>
      </c>
      <c r="O901" s="55">
        <f t="shared" si="73"/>
        <v>542.4942263279446</v>
      </c>
      <c r="P901" s="55">
        <f t="shared" si="74"/>
        <v>526.09699769053123</v>
      </c>
      <c r="Q901" s="9" t="str">
        <f ca="1">IFERROR((VLOOKUP(A901,GM_Table,8,FALSE)-SUMIFS(D:D,A:A,A901,B:B,B901,C:C,C901)),"")</f>
        <v/>
      </c>
      <c r="R901" s="9" t="str">
        <f ca="1">IFERROR(CONCATENATE(VLOOKUP(A901,GM_Table,12,FALSE)," ",(VLOOKUP(A901,GM_Table,13,FALSE))),"")</f>
        <v/>
      </c>
    </row>
    <row r="902" spans="1:18" ht="15" x14ac:dyDescent="0.2">
      <c r="A902" s="193" t="s">
        <v>3067</v>
      </c>
      <c r="B902" s="9" t="s">
        <v>3290</v>
      </c>
      <c r="C902" s="9" t="s">
        <v>3291</v>
      </c>
      <c r="D902" s="256">
        <v>1.8</v>
      </c>
      <c r="E902" s="245">
        <v>1073</v>
      </c>
      <c r="F902" s="246">
        <v>989</v>
      </c>
      <c r="G902" s="247">
        <v>0</v>
      </c>
      <c r="H902" s="9">
        <v>0</v>
      </c>
      <c r="I902" s="255">
        <v>0</v>
      </c>
      <c r="J902" s="122" t="b">
        <f>IF(ISBLANK(CertifiedCrop[[#This Row],[1. Identifiant interne d’exploitation agricole*]]),"",IF(ISERROR(MATCH(CertifiedCrop[[#This Row],[1. Identifiant interne d’exploitation agricole*]],GroupMember[1. Identifiant interne d’exploitation agricole*],0)),FALSE,TRUE))</f>
        <v>1</v>
      </c>
      <c r="K902" s="122" t="b">
        <f t="array" ref="K902">IF(ISBLANK(CertifiedCrop[[#This Row],[2. Produit agricole certifié*]]),"",IF(ISERROR(MATCH(1,(#REF!=CertifiedCrop[[#This Row],[2. Produit agricole certifié*]])*(#REF!=CertifiedCrop[[#This Row],[3. Variété**]]),0)),FALSE,TRUE))</f>
        <v>0</v>
      </c>
      <c r="L902" s="20" t="str">
        <f t="shared" si="70"/>
        <v/>
      </c>
      <c r="M902" s="54" t="str">
        <f t="shared" si="71"/>
        <v/>
      </c>
      <c r="N902" s="54" t="str">
        <f t="shared" si="72"/>
        <v/>
      </c>
      <c r="O902" s="55">
        <f t="shared" si="73"/>
        <v>596.11111111111109</v>
      </c>
      <c r="P902" s="55">
        <f t="shared" si="74"/>
        <v>549.44444444444446</v>
      </c>
      <c r="Q902" s="9" t="str">
        <f ca="1">IFERROR((VLOOKUP(A902,GM_Table,8,FALSE)-SUMIFS(D:D,A:A,A902,B:B,B902,C:C,C902)),"")</f>
        <v/>
      </c>
      <c r="R902" s="9" t="str">
        <f ca="1">IFERROR(CONCATENATE(VLOOKUP(A902,GM_Table,12,FALSE)," ",(VLOOKUP(A902,GM_Table,13,FALSE))),"")</f>
        <v/>
      </c>
    </row>
    <row r="903" spans="1:18" ht="15" x14ac:dyDescent="0.2">
      <c r="A903" s="193" t="s">
        <v>3070</v>
      </c>
      <c r="B903" s="9" t="s">
        <v>3290</v>
      </c>
      <c r="C903" s="9" t="s">
        <v>3291</v>
      </c>
      <c r="D903" s="256">
        <v>2.1</v>
      </c>
      <c r="E903" s="245">
        <v>1123</v>
      </c>
      <c r="F903" s="246">
        <v>1083</v>
      </c>
      <c r="G903" s="247">
        <v>0</v>
      </c>
      <c r="H903" s="9">
        <v>0</v>
      </c>
      <c r="I903" s="255">
        <v>0</v>
      </c>
      <c r="J903" s="122" t="b">
        <f>IF(ISBLANK(CertifiedCrop[[#This Row],[1. Identifiant interne d’exploitation agricole*]]),"",IF(ISERROR(MATCH(CertifiedCrop[[#This Row],[1. Identifiant interne d’exploitation agricole*]],GroupMember[1. Identifiant interne d’exploitation agricole*],0)),FALSE,TRUE))</f>
        <v>1</v>
      </c>
      <c r="K903" s="122" t="b">
        <f t="array" ref="K903">IF(ISBLANK(CertifiedCrop[[#This Row],[2. Produit agricole certifié*]]),"",IF(ISERROR(MATCH(1,(#REF!=CertifiedCrop[[#This Row],[2. Produit agricole certifié*]])*(#REF!=CertifiedCrop[[#This Row],[3. Variété**]]),0)),FALSE,TRUE))</f>
        <v>0</v>
      </c>
      <c r="L903" s="20" t="str">
        <f t="shared" si="70"/>
        <v/>
      </c>
      <c r="M903" s="54" t="str">
        <f t="shared" si="71"/>
        <v/>
      </c>
      <c r="N903" s="54" t="str">
        <f t="shared" si="72"/>
        <v/>
      </c>
      <c r="O903" s="55">
        <f t="shared" si="73"/>
        <v>534.7619047619047</v>
      </c>
      <c r="P903" s="55">
        <f t="shared" si="74"/>
        <v>515.71428571428567</v>
      </c>
      <c r="Q903" s="9" t="str">
        <f ca="1">IFERROR((VLOOKUP(A903,GM_Table,8,FALSE)-SUMIFS(D:D,A:A,A903,B:B,B903,C:C,C903)),"")</f>
        <v/>
      </c>
      <c r="R903" s="9" t="str">
        <f ca="1">IFERROR(CONCATENATE(VLOOKUP(A903,GM_Table,12,FALSE)," ",(VLOOKUP(A903,GM_Table,13,FALSE))),"")</f>
        <v/>
      </c>
    </row>
    <row r="904" spans="1:18" ht="15" x14ac:dyDescent="0.2">
      <c r="A904" s="193" t="s">
        <v>3072</v>
      </c>
      <c r="B904" s="9" t="s">
        <v>3290</v>
      </c>
      <c r="C904" s="9" t="s">
        <v>3291</v>
      </c>
      <c r="D904" s="256">
        <v>3.82</v>
      </c>
      <c r="E904" s="245">
        <v>2071</v>
      </c>
      <c r="F904" s="246">
        <v>2008</v>
      </c>
      <c r="G904" s="247">
        <v>0</v>
      </c>
      <c r="H904" s="9">
        <v>0</v>
      </c>
      <c r="I904" s="255">
        <v>0</v>
      </c>
      <c r="J904" s="122" t="b">
        <f>IF(ISBLANK(CertifiedCrop[[#This Row],[1. Identifiant interne d’exploitation agricole*]]),"",IF(ISERROR(MATCH(CertifiedCrop[[#This Row],[1. Identifiant interne d’exploitation agricole*]],GroupMember[1. Identifiant interne d’exploitation agricole*],0)),FALSE,TRUE))</f>
        <v>1</v>
      </c>
      <c r="K904" s="122" t="b">
        <f t="array" ref="K904">IF(ISBLANK(CertifiedCrop[[#This Row],[2. Produit agricole certifié*]]),"",IF(ISERROR(MATCH(1,(#REF!=CertifiedCrop[[#This Row],[2. Produit agricole certifié*]])*(#REF!=CertifiedCrop[[#This Row],[3. Variété**]]),0)),FALSE,TRUE))</f>
        <v>0</v>
      </c>
      <c r="L904" s="20" t="str">
        <f t="shared" si="70"/>
        <v/>
      </c>
      <c r="M904" s="54" t="str">
        <f t="shared" si="71"/>
        <v/>
      </c>
      <c r="N904" s="54" t="str">
        <f t="shared" si="72"/>
        <v/>
      </c>
      <c r="O904" s="55">
        <f t="shared" si="73"/>
        <v>542.14659685863876</v>
      </c>
      <c r="P904" s="55">
        <f t="shared" si="74"/>
        <v>525.65445026178008</v>
      </c>
      <c r="Q904" s="9" t="str">
        <f ca="1">IFERROR((VLOOKUP(A904,GM_Table,8,FALSE)-SUMIFS(D:D,A:A,A904,B:B,B904,C:C,C904)),"")</f>
        <v/>
      </c>
      <c r="R904" s="9" t="str">
        <f ca="1">IFERROR(CONCATENATE(VLOOKUP(A904,GM_Table,12,FALSE)," ",(VLOOKUP(A904,GM_Table,13,FALSE))),"")</f>
        <v/>
      </c>
    </row>
    <row r="905" spans="1:18" ht="15" x14ac:dyDescent="0.2">
      <c r="A905" s="193" t="s">
        <v>3075</v>
      </c>
      <c r="B905" s="9" t="s">
        <v>3290</v>
      </c>
      <c r="C905" s="9" t="s">
        <v>3291</v>
      </c>
      <c r="D905" s="256">
        <v>1.73</v>
      </c>
      <c r="E905" s="221">
        <v>934</v>
      </c>
      <c r="F905" s="246">
        <v>913</v>
      </c>
      <c r="G905" s="247">
        <v>0</v>
      </c>
      <c r="H905" s="9">
        <v>0</v>
      </c>
      <c r="I905" s="255">
        <v>0</v>
      </c>
      <c r="J905" s="122" t="b">
        <f>IF(ISBLANK(CertifiedCrop[[#This Row],[1. Identifiant interne d’exploitation agricole*]]),"",IF(ISERROR(MATCH(CertifiedCrop[[#This Row],[1. Identifiant interne d’exploitation agricole*]],GroupMember[1. Identifiant interne d’exploitation agricole*],0)),FALSE,TRUE))</f>
        <v>1</v>
      </c>
      <c r="K905" s="122" t="b">
        <f t="array" ref="K905">IF(ISBLANK(CertifiedCrop[[#This Row],[2. Produit agricole certifié*]]),"",IF(ISERROR(MATCH(1,(#REF!=CertifiedCrop[[#This Row],[2. Produit agricole certifié*]])*(#REF!=CertifiedCrop[[#This Row],[3. Variété**]]),0)),FALSE,TRUE))</f>
        <v>0</v>
      </c>
      <c r="L905" s="20" t="str">
        <f t="shared" si="70"/>
        <v/>
      </c>
      <c r="M905" s="54" t="str">
        <f t="shared" si="71"/>
        <v/>
      </c>
      <c r="N905" s="54" t="str">
        <f t="shared" si="72"/>
        <v/>
      </c>
      <c r="O905" s="55">
        <f t="shared" si="73"/>
        <v>539.88439306358384</v>
      </c>
      <c r="P905" s="55">
        <f t="shared" si="74"/>
        <v>527.74566473988443</v>
      </c>
      <c r="Q905" s="9" t="str">
        <f ca="1">IFERROR((VLOOKUP(A905,GM_Table,8,FALSE)-SUMIFS(D:D,A:A,A905,B:B,B905,C:C,C905)),"")</f>
        <v/>
      </c>
      <c r="R905" s="9" t="str">
        <f ca="1">IFERROR(CONCATENATE(VLOOKUP(A905,GM_Table,12,FALSE)," ",(VLOOKUP(A905,GM_Table,13,FALSE))),"")</f>
        <v/>
      </c>
    </row>
    <row r="906" spans="1:18" ht="15" x14ac:dyDescent="0.2">
      <c r="A906" s="193" t="s">
        <v>3077</v>
      </c>
      <c r="B906" s="9" t="s">
        <v>3290</v>
      </c>
      <c r="C906" s="9" t="s">
        <v>3291</v>
      </c>
      <c r="D906" s="256">
        <v>2.2200000000000002</v>
      </c>
      <c r="E906" s="245">
        <v>1325</v>
      </c>
      <c r="F906" s="246">
        <v>1285</v>
      </c>
      <c r="G906" s="247">
        <v>0</v>
      </c>
      <c r="H906" s="9">
        <v>0</v>
      </c>
      <c r="I906" s="255">
        <v>0</v>
      </c>
      <c r="J906" s="122" t="b">
        <f>IF(ISBLANK(CertifiedCrop[[#This Row],[1. Identifiant interne d’exploitation agricole*]]),"",IF(ISERROR(MATCH(CertifiedCrop[[#This Row],[1. Identifiant interne d’exploitation agricole*]],GroupMember[1. Identifiant interne d’exploitation agricole*],0)),FALSE,TRUE))</f>
        <v>1</v>
      </c>
      <c r="K906" s="122" t="b">
        <f t="array" ref="K906">IF(ISBLANK(CertifiedCrop[[#This Row],[2. Produit agricole certifié*]]),"",IF(ISERROR(MATCH(1,(#REF!=CertifiedCrop[[#This Row],[2. Produit agricole certifié*]])*(#REF!=CertifiedCrop[[#This Row],[3. Variété**]]),0)),FALSE,TRUE))</f>
        <v>0</v>
      </c>
      <c r="L906" s="20" t="str">
        <f t="shared" si="70"/>
        <v/>
      </c>
      <c r="M906" s="54" t="str">
        <f t="shared" si="71"/>
        <v/>
      </c>
      <c r="N906" s="54" t="str">
        <f t="shared" si="72"/>
        <v/>
      </c>
      <c r="O906" s="55">
        <f t="shared" si="73"/>
        <v>596.8468468468468</v>
      </c>
      <c r="P906" s="55">
        <f t="shared" si="74"/>
        <v>578.82882882882882</v>
      </c>
      <c r="Q906" s="9" t="str">
        <f ca="1">IFERROR((VLOOKUP(A906,GM_Table,8,FALSE)-SUMIFS(D:D,A:A,A906,B:B,B906,C:C,C906)),"")</f>
        <v/>
      </c>
      <c r="R906" s="9" t="str">
        <f ca="1">IFERROR(CONCATENATE(VLOOKUP(A906,GM_Table,12,FALSE)," ",(VLOOKUP(A906,GM_Table,13,FALSE))),"")</f>
        <v/>
      </c>
    </row>
    <row r="907" spans="1:18" ht="15" x14ac:dyDescent="0.2">
      <c r="A907" s="193" t="s">
        <v>3079</v>
      </c>
      <c r="B907" s="9" t="s">
        <v>3290</v>
      </c>
      <c r="C907" s="9" t="s">
        <v>3291</v>
      </c>
      <c r="D907" s="256">
        <v>0.9224</v>
      </c>
      <c r="E907" s="221">
        <v>496</v>
      </c>
      <c r="F907" s="246">
        <v>482</v>
      </c>
      <c r="G907" s="247">
        <v>0</v>
      </c>
      <c r="H907" s="9">
        <v>0</v>
      </c>
      <c r="I907" s="255">
        <v>0</v>
      </c>
      <c r="J907" s="122" t="b">
        <f>IF(ISBLANK(CertifiedCrop[[#This Row],[1. Identifiant interne d’exploitation agricole*]]),"",IF(ISERROR(MATCH(CertifiedCrop[[#This Row],[1. Identifiant interne d’exploitation agricole*]],GroupMember[1. Identifiant interne d’exploitation agricole*],0)),FALSE,TRUE))</f>
        <v>1</v>
      </c>
      <c r="K907" s="122" t="b">
        <f t="array" ref="K907">IF(ISBLANK(CertifiedCrop[[#This Row],[2. Produit agricole certifié*]]),"",IF(ISERROR(MATCH(1,(#REF!=CertifiedCrop[[#This Row],[2. Produit agricole certifié*]])*(#REF!=CertifiedCrop[[#This Row],[3. Variété**]]),0)),FALSE,TRUE))</f>
        <v>0</v>
      </c>
      <c r="L907" s="20" t="str">
        <f t="shared" si="70"/>
        <v/>
      </c>
      <c r="M907" s="54" t="str">
        <f t="shared" si="71"/>
        <v/>
      </c>
      <c r="N907" s="54" t="str">
        <f t="shared" si="72"/>
        <v/>
      </c>
      <c r="O907" s="55">
        <f t="shared" si="73"/>
        <v>537.72766695576752</v>
      </c>
      <c r="P907" s="55">
        <f t="shared" si="74"/>
        <v>522.54986990459668</v>
      </c>
      <c r="Q907" s="9" t="str">
        <f ca="1">IFERROR((VLOOKUP(A907,GM_Table,8,FALSE)-SUMIFS(D:D,A:A,A907,B:B,B907,C:C,C907)),"")</f>
        <v/>
      </c>
      <c r="R907" s="9" t="str">
        <f ca="1">IFERROR(CONCATENATE(VLOOKUP(A907,GM_Table,12,FALSE)," ",(VLOOKUP(A907,GM_Table,13,FALSE))),"")</f>
        <v/>
      </c>
    </row>
    <row r="908" spans="1:18" ht="15" x14ac:dyDescent="0.2">
      <c r="A908" s="193" t="s">
        <v>3080</v>
      </c>
      <c r="B908" s="9" t="s">
        <v>3290</v>
      </c>
      <c r="C908" s="9" t="s">
        <v>3291</v>
      </c>
      <c r="D908" s="256">
        <v>4.6900000000000004</v>
      </c>
      <c r="E908" s="245">
        <v>2617</v>
      </c>
      <c r="F908" s="246">
        <v>2574</v>
      </c>
      <c r="G908" s="247">
        <v>0</v>
      </c>
      <c r="H908" s="9">
        <v>0</v>
      </c>
      <c r="I908" s="255">
        <v>0</v>
      </c>
      <c r="J908" s="122" t="b">
        <f>IF(ISBLANK(CertifiedCrop[[#This Row],[1. Identifiant interne d’exploitation agricole*]]),"",IF(ISERROR(MATCH(CertifiedCrop[[#This Row],[1. Identifiant interne d’exploitation agricole*]],GroupMember[1. Identifiant interne d’exploitation agricole*],0)),FALSE,TRUE))</f>
        <v>1</v>
      </c>
      <c r="K908" s="122" t="b">
        <f t="array" ref="K908">IF(ISBLANK(CertifiedCrop[[#This Row],[2. Produit agricole certifié*]]),"",IF(ISERROR(MATCH(1,(#REF!=CertifiedCrop[[#This Row],[2. Produit agricole certifié*]])*(#REF!=CertifiedCrop[[#This Row],[3. Variété**]]),0)),FALSE,TRUE))</f>
        <v>0</v>
      </c>
      <c r="L908" s="20" t="str">
        <f t="shared" si="70"/>
        <v/>
      </c>
      <c r="M908" s="54" t="str">
        <f t="shared" si="71"/>
        <v/>
      </c>
      <c r="N908" s="54" t="str">
        <f t="shared" si="72"/>
        <v/>
      </c>
      <c r="O908" s="55">
        <f t="shared" si="73"/>
        <v>557.9957356076759</v>
      </c>
      <c r="P908" s="55">
        <f t="shared" si="74"/>
        <v>548.82729211087417</v>
      </c>
      <c r="Q908" s="9" t="str">
        <f ca="1">IFERROR((VLOOKUP(A908,GM_Table,8,FALSE)-SUMIFS(D:D,A:A,A908,B:B,B908,C:C,C908)),"")</f>
        <v/>
      </c>
      <c r="R908" s="9" t="str">
        <f ca="1">IFERROR(CONCATENATE(VLOOKUP(A908,GM_Table,12,FALSE)," ",(VLOOKUP(A908,GM_Table,13,FALSE))),"")</f>
        <v/>
      </c>
    </row>
    <row r="909" spans="1:18" ht="15" x14ac:dyDescent="0.2">
      <c r="A909" s="193" t="s">
        <v>3082</v>
      </c>
      <c r="B909" s="9" t="s">
        <v>3290</v>
      </c>
      <c r="C909" s="9" t="s">
        <v>3291</v>
      </c>
      <c r="D909" s="256">
        <v>2.1800000000000002</v>
      </c>
      <c r="E909" s="245">
        <v>1292</v>
      </c>
      <c r="F909" s="246">
        <v>1206</v>
      </c>
      <c r="G909" s="247">
        <v>0</v>
      </c>
      <c r="H909" s="9">
        <v>0</v>
      </c>
      <c r="I909" s="255">
        <v>0</v>
      </c>
      <c r="J909" s="122" t="b">
        <f>IF(ISBLANK(CertifiedCrop[[#This Row],[1. Identifiant interne d’exploitation agricole*]]),"",IF(ISERROR(MATCH(CertifiedCrop[[#This Row],[1. Identifiant interne d’exploitation agricole*]],GroupMember[1. Identifiant interne d’exploitation agricole*],0)),FALSE,TRUE))</f>
        <v>1</v>
      </c>
      <c r="K909" s="122" t="b">
        <f t="array" ref="K909">IF(ISBLANK(CertifiedCrop[[#This Row],[2. Produit agricole certifié*]]),"",IF(ISERROR(MATCH(1,(#REF!=CertifiedCrop[[#This Row],[2. Produit agricole certifié*]])*(#REF!=CertifiedCrop[[#This Row],[3. Variété**]]),0)),FALSE,TRUE))</f>
        <v>0</v>
      </c>
      <c r="L909" s="20" t="str">
        <f t="shared" si="70"/>
        <v/>
      </c>
      <c r="M909" s="54" t="str">
        <f t="shared" si="71"/>
        <v/>
      </c>
      <c r="N909" s="54" t="str">
        <f t="shared" si="72"/>
        <v/>
      </c>
      <c r="O909" s="55">
        <f t="shared" si="73"/>
        <v>592.66055045871553</v>
      </c>
      <c r="P909" s="55">
        <f t="shared" si="74"/>
        <v>553.21100917431193</v>
      </c>
      <c r="Q909" s="9" t="str">
        <f ca="1">IFERROR((VLOOKUP(A909,GM_Table,8,FALSE)-SUMIFS(D:D,A:A,A909,B:B,B909,C:C,C909)),"")</f>
        <v/>
      </c>
      <c r="R909" s="9" t="str">
        <f ca="1">IFERROR(CONCATENATE(VLOOKUP(A909,GM_Table,12,FALSE)," ",(VLOOKUP(A909,GM_Table,13,FALSE))),"")</f>
        <v/>
      </c>
    </row>
    <row r="910" spans="1:18" ht="15" x14ac:dyDescent="0.2">
      <c r="A910" s="193" t="s">
        <v>3084</v>
      </c>
      <c r="B910" s="9" t="s">
        <v>3290</v>
      </c>
      <c r="C910" s="9" t="s">
        <v>3291</v>
      </c>
      <c r="D910" s="256">
        <v>2.09</v>
      </c>
      <c r="E910" s="245">
        <v>1131</v>
      </c>
      <c r="F910" s="246">
        <v>1069</v>
      </c>
      <c r="G910" s="247">
        <v>0</v>
      </c>
      <c r="H910" s="9">
        <v>0</v>
      </c>
      <c r="I910" s="255">
        <v>0</v>
      </c>
      <c r="J910" s="122" t="b">
        <f>IF(ISBLANK(CertifiedCrop[[#This Row],[1. Identifiant interne d’exploitation agricole*]]),"",IF(ISERROR(MATCH(CertifiedCrop[[#This Row],[1. Identifiant interne d’exploitation agricole*]],GroupMember[1. Identifiant interne d’exploitation agricole*],0)),FALSE,TRUE))</f>
        <v>1</v>
      </c>
      <c r="K910" s="122" t="b">
        <f t="array" ref="K910">IF(ISBLANK(CertifiedCrop[[#This Row],[2. Produit agricole certifié*]]),"",IF(ISERROR(MATCH(1,(#REF!=CertifiedCrop[[#This Row],[2. Produit agricole certifié*]])*(#REF!=CertifiedCrop[[#This Row],[3. Variété**]]),0)),FALSE,TRUE))</f>
        <v>0</v>
      </c>
      <c r="L910" s="20" t="str">
        <f t="shared" si="70"/>
        <v/>
      </c>
      <c r="M910" s="54" t="str">
        <f t="shared" si="71"/>
        <v/>
      </c>
      <c r="N910" s="54" t="str">
        <f t="shared" si="72"/>
        <v/>
      </c>
      <c r="O910" s="55">
        <f t="shared" si="73"/>
        <v>541.14832535885171</v>
      </c>
      <c r="P910" s="55">
        <f t="shared" si="74"/>
        <v>511.48325358851679</v>
      </c>
      <c r="Q910" s="9" t="str">
        <f ca="1">IFERROR((VLOOKUP(A910,GM_Table,8,FALSE)-SUMIFS(D:D,A:A,A910,B:B,B910,C:C,C910)),"")</f>
        <v/>
      </c>
      <c r="R910" s="9" t="str">
        <f ca="1">IFERROR(CONCATENATE(VLOOKUP(A910,GM_Table,12,FALSE)," ",(VLOOKUP(A910,GM_Table,13,FALSE))),"")</f>
        <v/>
      </c>
    </row>
    <row r="911" spans="1:18" ht="15" x14ac:dyDescent="0.2">
      <c r="A911" s="193" t="s">
        <v>3086</v>
      </c>
      <c r="B911" s="9" t="s">
        <v>3290</v>
      </c>
      <c r="C911" s="9" t="s">
        <v>3291</v>
      </c>
      <c r="D911" s="256">
        <v>4.29</v>
      </c>
      <c r="E911" s="245">
        <v>2516</v>
      </c>
      <c r="F911" s="246">
        <v>2465</v>
      </c>
      <c r="G911" s="247">
        <v>0</v>
      </c>
      <c r="H911" s="9">
        <v>0</v>
      </c>
      <c r="I911" s="255">
        <v>0</v>
      </c>
      <c r="J911" s="122" t="b">
        <f>IF(ISBLANK(CertifiedCrop[[#This Row],[1. Identifiant interne d’exploitation agricole*]]),"",IF(ISERROR(MATCH(CertifiedCrop[[#This Row],[1. Identifiant interne d’exploitation agricole*]],GroupMember[1. Identifiant interne d’exploitation agricole*],0)),FALSE,TRUE))</f>
        <v>1</v>
      </c>
      <c r="K911" s="122" t="b">
        <f t="array" ref="K911">IF(ISBLANK(CertifiedCrop[[#This Row],[2. Produit agricole certifié*]]),"",IF(ISERROR(MATCH(1,(#REF!=CertifiedCrop[[#This Row],[2. Produit agricole certifié*]])*(#REF!=CertifiedCrop[[#This Row],[3. Variété**]]),0)),FALSE,TRUE))</f>
        <v>0</v>
      </c>
      <c r="L911" s="20" t="str">
        <f t="shared" si="70"/>
        <v/>
      </c>
      <c r="M911" s="54" t="str">
        <f t="shared" si="71"/>
        <v/>
      </c>
      <c r="N911" s="54" t="str">
        <f t="shared" si="72"/>
        <v/>
      </c>
      <c r="O911" s="55">
        <f t="shared" si="73"/>
        <v>586.48018648018649</v>
      </c>
      <c r="P911" s="55">
        <f t="shared" si="74"/>
        <v>574.5920745920746</v>
      </c>
      <c r="Q911" s="9" t="str">
        <f ca="1">IFERROR((VLOOKUP(A911,GM_Table,8,FALSE)-SUMIFS(D:D,A:A,A911,B:B,B911,C:C,C911)),"")</f>
        <v/>
      </c>
      <c r="R911" s="9" t="str">
        <f ca="1">IFERROR(CONCATENATE(VLOOKUP(A911,GM_Table,12,FALSE)," ",(VLOOKUP(A911,GM_Table,13,FALSE))),"")</f>
        <v/>
      </c>
    </row>
    <row r="912" spans="1:18" ht="15" x14ac:dyDescent="0.2">
      <c r="A912" s="193" t="s">
        <v>3089</v>
      </c>
      <c r="B912" s="9" t="s">
        <v>3290</v>
      </c>
      <c r="C912" s="9" t="s">
        <v>3291</v>
      </c>
      <c r="D912" s="256">
        <v>2.19</v>
      </c>
      <c r="E912" s="245">
        <v>1182</v>
      </c>
      <c r="F912" s="246">
        <v>1107</v>
      </c>
      <c r="G912" s="247">
        <v>0</v>
      </c>
      <c r="H912" s="9">
        <v>0</v>
      </c>
      <c r="I912" s="255">
        <v>0</v>
      </c>
      <c r="J912" s="122" t="b">
        <f>IF(ISBLANK(CertifiedCrop[[#This Row],[1. Identifiant interne d’exploitation agricole*]]),"",IF(ISERROR(MATCH(CertifiedCrop[[#This Row],[1. Identifiant interne d’exploitation agricole*]],GroupMember[1. Identifiant interne d’exploitation agricole*],0)),FALSE,TRUE))</f>
        <v>1</v>
      </c>
      <c r="K912" s="122" t="b">
        <f t="array" ref="K912">IF(ISBLANK(CertifiedCrop[[#This Row],[2. Produit agricole certifié*]]),"",IF(ISERROR(MATCH(1,(#REF!=CertifiedCrop[[#This Row],[2. Produit agricole certifié*]])*(#REF!=CertifiedCrop[[#This Row],[3. Variété**]]),0)),FALSE,TRUE))</f>
        <v>0</v>
      </c>
      <c r="L912" s="20" t="str">
        <f t="shared" si="70"/>
        <v/>
      </c>
      <c r="M912" s="54" t="str">
        <f t="shared" si="71"/>
        <v/>
      </c>
      <c r="N912" s="54" t="str">
        <f t="shared" si="72"/>
        <v/>
      </c>
      <c r="O912" s="55">
        <f t="shared" si="73"/>
        <v>539.72602739726028</v>
      </c>
      <c r="P912" s="55">
        <f t="shared" si="74"/>
        <v>505.47945205479454</v>
      </c>
      <c r="Q912" s="9" t="str">
        <f ca="1">IFERROR((VLOOKUP(A912,GM_Table,8,FALSE)-SUMIFS(D:D,A:A,A912,B:B,B912,C:C,C912)),"")</f>
        <v/>
      </c>
      <c r="R912" s="9" t="str">
        <f ca="1">IFERROR(CONCATENATE(VLOOKUP(A912,GM_Table,12,FALSE)," ",(VLOOKUP(A912,GM_Table,13,FALSE))),"")</f>
        <v/>
      </c>
    </row>
    <row r="913" spans="1:18" ht="15" x14ac:dyDescent="0.2">
      <c r="A913" s="193" t="s">
        <v>3091</v>
      </c>
      <c r="B913" s="9" t="s">
        <v>3290</v>
      </c>
      <c r="C913" s="9" t="s">
        <v>3291</v>
      </c>
      <c r="D913" s="256">
        <v>2.3199999999999998</v>
      </c>
      <c r="E913" s="245">
        <v>1353</v>
      </c>
      <c r="F913" s="246">
        <v>1258</v>
      </c>
      <c r="G913" s="247">
        <v>0</v>
      </c>
      <c r="H913" s="9">
        <v>0</v>
      </c>
      <c r="I913" s="255">
        <v>0</v>
      </c>
      <c r="J913" s="122" t="b">
        <f>IF(ISBLANK(CertifiedCrop[[#This Row],[1. Identifiant interne d’exploitation agricole*]]),"",IF(ISERROR(MATCH(CertifiedCrop[[#This Row],[1. Identifiant interne d’exploitation agricole*]],GroupMember[1. Identifiant interne d’exploitation agricole*],0)),FALSE,TRUE))</f>
        <v>1</v>
      </c>
      <c r="K913" s="122" t="b">
        <f t="array" ref="K913">IF(ISBLANK(CertifiedCrop[[#This Row],[2. Produit agricole certifié*]]),"",IF(ISERROR(MATCH(1,(#REF!=CertifiedCrop[[#This Row],[2. Produit agricole certifié*]])*(#REF!=CertifiedCrop[[#This Row],[3. Variété**]]),0)),FALSE,TRUE))</f>
        <v>0</v>
      </c>
      <c r="L913" s="20" t="str">
        <f t="shared" si="70"/>
        <v/>
      </c>
      <c r="M913" s="54" t="str">
        <f t="shared" si="71"/>
        <v/>
      </c>
      <c r="N913" s="54" t="str">
        <f t="shared" si="72"/>
        <v/>
      </c>
      <c r="O913" s="55">
        <f t="shared" si="73"/>
        <v>583.18965517241384</v>
      </c>
      <c r="P913" s="55">
        <f t="shared" si="74"/>
        <v>542.24137931034488</v>
      </c>
      <c r="Q913" s="9" t="str">
        <f ca="1">IFERROR((VLOOKUP(A913,GM_Table,8,FALSE)-SUMIFS(D:D,A:A,A913,B:B,B913,C:C,C913)),"")</f>
        <v/>
      </c>
      <c r="R913" s="9" t="str">
        <f ca="1">IFERROR(CONCATENATE(VLOOKUP(A913,GM_Table,12,FALSE)," ",(VLOOKUP(A913,GM_Table,13,FALSE))),"")</f>
        <v/>
      </c>
    </row>
    <row r="914" spans="1:18" ht="15" x14ac:dyDescent="0.2">
      <c r="A914" s="193" t="s">
        <v>3092</v>
      </c>
      <c r="B914" s="9" t="s">
        <v>3290</v>
      </c>
      <c r="C914" s="9" t="s">
        <v>3291</v>
      </c>
      <c r="D914" s="256">
        <v>5.84</v>
      </c>
      <c r="E914" s="245">
        <v>3274</v>
      </c>
      <c r="F914" s="246">
        <v>3109</v>
      </c>
      <c r="G914" s="247">
        <v>0</v>
      </c>
      <c r="H914" s="9">
        <v>0</v>
      </c>
      <c r="I914" s="255">
        <v>0</v>
      </c>
      <c r="J914" s="122" t="b">
        <f>IF(ISBLANK(CertifiedCrop[[#This Row],[1. Identifiant interne d’exploitation agricole*]]),"",IF(ISERROR(MATCH(CertifiedCrop[[#This Row],[1. Identifiant interne d’exploitation agricole*]],GroupMember[1. Identifiant interne d’exploitation agricole*],0)),FALSE,TRUE))</f>
        <v>1</v>
      </c>
      <c r="K914" s="122" t="b">
        <f t="array" ref="K914">IF(ISBLANK(CertifiedCrop[[#This Row],[2. Produit agricole certifié*]]),"",IF(ISERROR(MATCH(1,(#REF!=CertifiedCrop[[#This Row],[2. Produit agricole certifié*]])*(#REF!=CertifiedCrop[[#This Row],[3. Variété**]]),0)),FALSE,TRUE))</f>
        <v>0</v>
      </c>
      <c r="L914" s="20" t="str">
        <f t="shared" si="70"/>
        <v/>
      </c>
      <c r="M914" s="54" t="str">
        <f t="shared" si="71"/>
        <v/>
      </c>
      <c r="N914" s="54" t="str">
        <f t="shared" si="72"/>
        <v/>
      </c>
      <c r="O914" s="55">
        <f t="shared" si="73"/>
        <v>560.61643835616439</v>
      </c>
      <c r="P914" s="55">
        <f t="shared" si="74"/>
        <v>532.3630136986302</v>
      </c>
      <c r="Q914" s="9" t="str">
        <f ca="1">IFERROR((VLOOKUP(A914,GM_Table,8,FALSE)-SUMIFS(D:D,A:A,A914,B:B,B914,C:C,C914)),"")</f>
        <v/>
      </c>
      <c r="R914" s="9" t="str">
        <f ca="1">IFERROR(CONCATENATE(VLOOKUP(A914,GM_Table,12,FALSE)," ",(VLOOKUP(A914,GM_Table,13,FALSE))),"")</f>
        <v/>
      </c>
    </row>
    <row r="915" spans="1:18" ht="15" x14ac:dyDescent="0.2">
      <c r="A915" s="193" t="s">
        <v>3094</v>
      </c>
      <c r="B915" s="9" t="s">
        <v>3290</v>
      </c>
      <c r="C915" s="9" t="s">
        <v>3291</v>
      </c>
      <c r="D915" s="256">
        <v>2.9</v>
      </c>
      <c r="E915" s="245">
        <v>1676</v>
      </c>
      <c r="F915" s="246">
        <v>1578</v>
      </c>
      <c r="G915" s="247">
        <v>0</v>
      </c>
      <c r="H915" s="9">
        <v>0</v>
      </c>
      <c r="I915" s="255">
        <v>0</v>
      </c>
      <c r="J915" s="122" t="b">
        <f>IF(ISBLANK(CertifiedCrop[[#This Row],[1. Identifiant interne d’exploitation agricole*]]),"",IF(ISERROR(MATCH(CertifiedCrop[[#This Row],[1. Identifiant interne d’exploitation agricole*]],GroupMember[1. Identifiant interne d’exploitation agricole*],0)),FALSE,TRUE))</f>
        <v>1</v>
      </c>
      <c r="K915" s="122" t="b">
        <f t="array" ref="K915">IF(ISBLANK(CertifiedCrop[[#This Row],[2. Produit agricole certifié*]]),"",IF(ISERROR(MATCH(1,(#REF!=CertifiedCrop[[#This Row],[2. Produit agricole certifié*]])*(#REF!=CertifiedCrop[[#This Row],[3. Variété**]]),0)),FALSE,TRUE))</f>
        <v>0</v>
      </c>
      <c r="L915" s="20" t="str">
        <f t="shared" si="70"/>
        <v/>
      </c>
      <c r="M915" s="54" t="str">
        <f t="shared" si="71"/>
        <v/>
      </c>
      <c r="N915" s="54" t="str">
        <f t="shared" si="72"/>
        <v/>
      </c>
      <c r="O915" s="55">
        <f t="shared" si="73"/>
        <v>577.93103448275861</v>
      </c>
      <c r="P915" s="55">
        <f t="shared" si="74"/>
        <v>544.13793103448279</v>
      </c>
      <c r="Q915" s="9" t="str">
        <f ca="1">IFERROR((VLOOKUP(A915,GM_Table,8,FALSE)-SUMIFS(D:D,A:A,A915,B:B,B915,C:C,C915)),"")</f>
        <v/>
      </c>
      <c r="R915" s="9" t="str">
        <f ca="1">IFERROR(CONCATENATE(VLOOKUP(A915,GM_Table,12,FALSE)," ",(VLOOKUP(A915,GM_Table,13,FALSE))),"")</f>
        <v/>
      </c>
    </row>
    <row r="916" spans="1:18" ht="15" x14ac:dyDescent="0.2">
      <c r="A916" s="193" t="s">
        <v>3099</v>
      </c>
      <c r="B916" s="9" t="s">
        <v>3290</v>
      </c>
      <c r="C916" s="9" t="s">
        <v>3291</v>
      </c>
      <c r="D916" s="256">
        <v>4.0199999999999996</v>
      </c>
      <c r="E916" s="245">
        <v>2309</v>
      </c>
      <c r="F916" s="246">
        <v>2296</v>
      </c>
      <c r="G916" s="247">
        <v>0</v>
      </c>
      <c r="H916" s="9">
        <v>0</v>
      </c>
      <c r="I916" s="255">
        <v>0</v>
      </c>
      <c r="J916" s="122" t="b">
        <f>IF(ISBLANK(CertifiedCrop[[#This Row],[1. Identifiant interne d’exploitation agricole*]]),"",IF(ISERROR(MATCH(CertifiedCrop[[#This Row],[1. Identifiant interne d’exploitation agricole*]],GroupMember[1. Identifiant interne d’exploitation agricole*],0)),FALSE,TRUE))</f>
        <v>1</v>
      </c>
      <c r="K916" s="122" t="b">
        <f t="array" ref="K916">IF(ISBLANK(CertifiedCrop[[#This Row],[2. Produit agricole certifié*]]),"",IF(ISERROR(MATCH(1,(#REF!=CertifiedCrop[[#This Row],[2. Produit agricole certifié*]])*(#REF!=CertifiedCrop[[#This Row],[3. Variété**]]),0)),FALSE,TRUE))</f>
        <v>0</v>
      </c>
      <c r="L916" s="20" t="str">
        <f t="shared" si="70"/>
        <v/>
      </c>
      <c r="M916" s="54" t="str">
        <f t="shared" si="71"/>
        <v/>
      </c>
      <c r="N916" s="54" t="str">
        <f t="shared" si="72"/>
        <v/>
      </c>
      <c r="O916" s="55">
        <f t="shared" si="73"/>
        <v>574.37810945273634</v>
      </c>
      <c r="P916" s="55">
        <f t="shared" si="74"/>
        <v>571.14427860696526</v>
      </c>
      <c r="Q916" s="9" t="str">
        <f ca="1">IFERROR((VLOOKUP(A916,GM_Table,8,FALSE)-SUMIFS(D:D,A:A,A916,B:B,B916,C:C,C916)),"")</f>
        <v/>
      </c>
      <c r="R916" s="9" t="str">
        <f ca="1">IFERROR(CONCATENATE(VLOOKUP(A916,GM_Table,12,FALSE)," ",(VLOOKUP(A916,GM_Table,13,FALSE))),"")</f>
        <v/>
      </c>
    </row>
    <row r="917" spans="1:18" ht="15" x14ac:dyDescent="0.2">
      <c r="A917" s="193" t="s">
        <v>3103</v>
      </c>
      <c r="B917" s="9" t="s">
        <v>3290</v>
      </c>
      <c r="C917" s="9" t="s">
        <v>3291</v>
      </c>
      <c r="D917" s="256">
        <v>2.11</v>
      </c>
      <c r="E917" s="245">
        <v>1226</v>
      </c>
      <c r="F917" s="246">
        <v>1204</v>
      </c>
      <c r="G917" s="247">
        <v>0</v>
      </c>
      <c r="H917" s="9">
        <v>0</v>
      </c>
      <c r="I917" s="255">
        <v>0</v>
      </c>
      <c r="J917" s="122" t="b">
        <f>IF(ISBLANK(CertifiedCrop[[#This Row],[1. Identifiant interne d’exploitation agricole*]]),"",IF(ISERROR(MATCH(CertifiedCrop[[#This Row],[1. Identifiant interne d’exploitation agricole*]],GroupMember[1. Identifiant interne d’exploitation agricole*],0)),FALSE,TRUE))</f>
        <v>1</v>
      </c>
      <c r="K917" s="122" t="b">
        <f t="array" ref="K917">IF(ISBLANK(CertifiedCrop[[#This Row],[2. Produit agricole certifié*]]),"",IF(ISERROR(MATCH(1,(#REF!=CertifiedCrop[[#This Row],[2. Produit agricole certifié*]])*(#REF!=CertifiedCrop[[#This Row],[3. Variété**]]),0)),FALSE,TRUE))</f>
        <v>0</v>
      </c>
      <c r="L917" s="20" t="str">
        <f t="shared" si="70"/>
        <v/>
      </c>
      <c r="M917" s="54" t="str">
        <f t="shared" si="71"/>
        <v/>
      </c>
      <c r="N917" s="54" t="str">
        <f t="shared" si="72"/>
        <v/>
      </c>
      <c r="O917" s="55">
        <f t="shared" si="73"/>
        <v>581.042654028436</v>
      </c>
      <c r="P917" s="55">
        <f t="shared" si="74"/>
        <v>570.61611374407585</v>
      </c>
      <c r="Q917" s="9" t="str">
        <f ca="1">IFERROR((VLOOKUP(A917,GM_Table,8,FALSE)-SUMIFS(D:D,A:A,A917,B:B,B917,C:C,C917)),"")</f>
        <v/>
      </c>
      <c r="R917" s="9" t="str">
        <f ca="1">IFERROR(CONCATENATE(VLOOKUP(A917,GM_Table,12,FALSE)," ",(VLOOKUP(A917,GM_Table,13,FALSE))),"")</f>
        <v/>
      </c>
    </row>
    <row r="918" spans="1:18" ht="15" x14ac:dyDescent="0.2">
      <c r="A918" s="193" t="s">
        <v>3106</v>
      </c>
      <c r="B918" s="9" t="s">
        <v>3290</v>
      </c>
      <c r="C918" s="9" t="s">
        <v>3291</v>
      </c>
      <c r="D918" s="256">
        <v>3.63</v>
      </c>
      <c r="E918" s="245">
        <v>2055</v>
      </c>
      <c r="F918" s="246">
        <v>1958</v>
      </c>
      <c r="G918" s="247">
        <v>0</v>
      </c>
      <c r="H918" s="9">
        <v>0</v>
      </c>
      <c r="I918" s="255">
        <v>0</v>
      </c>
      <c r="J918" s="122" t="b">
        <f>IF(ISBLANK(CertifiedCrop[[#This Row],[1. Identifiant interne d’exploitation agricole*]]),"",IF(ISERROR(MATCH(CertifiedCrop[[#This Row],[1. Identifiant interne d’exploitation agricole*]],GroupMember[1. Identifiant interne d’exploitation agricole*],0)),FALSE,TRUE))</f>
        <v>1</v>
      </c>
      <c r="K918" s="122" t="b">
        <f t="array" ref="K918">IF(ISBLANK(CertifiedCrop[[#This Row],[2. Produit agricole certifié*]]),"",IF(ISERROR(MATCH(1,(#REF!=CertifiedCrop[[#This Row],[2. Produit agricole certifié*]])*(#REF!=CertifiedCrop[[#This Row],[3. Variété**]]),0)),FALSE,TRUE))</f>
        <v>0</v>
      </c>
      <c r="L918" s="20" t="str">
        <f t="shared" si="70"/>
        <v/>
      </c>
      <c r="M918" s="54" t="str">
        <f t="shared" si="71"/>
        <v/>
      </c>
      <c r="N918" s="54" t="str">
        <f t="shared" si="72"/>
        <v/>
      </c>
      <c r="O918" s="55">
        <f t="shared" si="73"/>
        <v>566.11570247933889</v>
      </c>
      <c r="P918" s="55">
        <f t="shared" si="74"/>
        <v>539.39393939393938</v>
      </c>
      <c r="Q918" s="9" t="str">
        <f ca="1">IFERROR((VLOOKUP(A918,GM_Table,8,FALSE)-SUMIFS(D:D,A:A,A918,B:B,B918,C:C,C918)),"")</f>
        <v/>
      </c>
      <c r="R918" s="9" t="str">
        <f ca="1">IFERROR(CONCATENATE(VLOOKUP(A918,GM_Table,12,FALSE)," ",(VLOOKUP(A918,GM_Table,13,FALSE))),"")</f>
        <v/>
      </c>
    </row>
    <row r="919" spans="1:18" ht="15" x14ac:dyDescent="0.2">
      <c r="A919" s="193" t="s">
        <v>3108</v>
      </c>
      <c r="B919" s="9" t="s">
        <v>3290</v>
      </c>
      <c r="C919" s="9" t="s">
        <v>3291</v>
      </c>
      <c r="D919" s="256">
        <v>2.59</v>
      </c>
      <c r="E919" s="245">
        <v>1541</v>
      </c>
      <c r="F919" s="246">
        <v>1472</v>
      </c>
      <c r="G919" s="247">
        <v>0</v>
      </c>
      <c r="H919" s="9">
        <v>0</v>
      </c>
      <c r="I919" s="255">
        <v>0</v>
      </c>
      <c r="J919" s="122" t="b">
        <f>IF(ISBLANK(CertifiedCrop[[#This Row],[1. Identifiant interne d’exploitation agricole*]]),"",IF(ISERROR(MATCH(CertifiedCrop[[#This Row],[1. Identifiant interne d’exploitation agricole*]],GroupMember[1. Identifiant interne d’exploitation agricole*],0)),FALSE,TRUE))</f>
        <v>1</v>
      </c>
      <c r="K919" s="122" t="b">
        <f t="array" ref="K919">IF(ISBLANK(CertifiedCrop[[#This Row],[2. Produit agricole certifié*]]),"",IF(ISERROR(MATCH(1,(#REF!=CertifiedCrop[[#This Row],[2. Produit agricole certifié*]])*(#REF!=CertifiedCrop[[#This Row],[3. Variété**]]),0)),FALSE,TRUE))</f>
        <v>0</v>
      </c>
      <c r="L919" s="20" t="str">
        <f t="shared" si="70"/>
        <v/>
      </c>
      <c r="M919" s="54" t="str">
        <f t="shared" si="71"/>
        <v/>
      </c>
      <c r="N919" s="54" t="str">
        <f t="shared" si="72"/>
        <v/>
      </c>
      <c r="O919" s="55">
        <f t="shared" si="73"/>
        <v>594.98069498069503</v>
      </c>
      <c r="P919" s="55">
        <f t="shared" si="74"/>
        <v>568.3397683397684</v>
      </c>
      <c r="Q919" s="9" t="str">
        <f ca="1">IFERROR((VLOOKUP(A919,GM_Table,8,FALSE)-SUMIFS(D:D,A:A,A919,B:B,B919,C:C,C919)),"")</f>
        <v/>
      </c>
      <c r="R919" s="9" t="str">
        <f ca="1">IFERROR(CONCATENATE(VLOOKUP(A919,GM_Table,12,FALSE)," ",(VLOOKUP(A919,GM_Table,13,FALSE))),"")</f>
        <v/>
      </c>
    </row>
    <row r="920" spans="1:18" ht="15" x14ac:dyDescent="0.2">
      <c r="A920" s="193" t="s">
        <v>3110</v>
      </c>
      <c r="B920" s="9" t="s">
        <v>3290</v>
      </c>
      <c r="C920" s="9" t="s">
        <v>3291</v>
      </c>
      <c r="D920" s="256">
        <v>2.5099999999999998</v>
      </c>
      <c r="E920" s="245">
        <v>1453</v>
      </c>
      <c r="F920" s="246">
        <v>1396</v>
      </c>
      <c r="G920" s="247">
        <v>0</v>
      </c>
      <c r="H920" s="9">
        <v>0</v>
      </c>
      <c r="I920" s="255">
        <v>0</v>
      </c>
      <c r="J920" s="122" t="b">
        <f>IF(ISBLANK(CertifiedCrop[[#This Row],[1. Identifiant interne d’exploitation agricole*]]),"",IF(ISERROR(MATCH(CertifiedCrop[[#This Row],[1. Identifiant interne d’exploitation agricole*]],GroupMember[1. Identifiant interne d’exploitation agricole*],0)),FALSE,TRUE))</f>
        <v>1</v>
      </c>
      <c r="K920" s="122" t="b">
        <f t="array" ref="K920">IF(ISBLANK(CertifiedCrop[[#This Row],[2. Produit agricole certifié*]]),"",IF(ISERROR(MATCH(1,(#REF!=CertifiedCrop[[#This Row],[2. Produit agricole certifié*]])*(#REF!=CertifiedCrop[[#This Row],[3. Variété**]]),0)),FALSE,TRUE))</f>
        <v>0</v>
      </c>
      <c r="L920" s="20" t="str">
        <f t="shared" si="70"/>
        <v/>
      </c>
      <c r="M920" s="54" t="str">
        <f t="shared" si="71"/>
        <v/>
      </c>
      <c r="N920" s="54" t="str">
        <f t="shared" si="72"/>
        <v/>
      </c>
      <c r="O920" s="55">
        <f t="shared" si="73"/>
        <v>578.88446215139447</v>
      </c>
      <c r="P920" s="55">
        <f t="shared" si="74"/>
        <v>556.17529880478094</v>
      </c>
      <c r="Q920" s="9" t="str">
        <f ca="1">IFERROR((VLOOKUP(A920,GM_Table,8,FALSE)-SUMIFS(D:D,A:A,A920,B:B,B920,C:C,C920)),"")</f>
        <v/>
      </c>
      <c r="R920" s="9" t="str">
        <f ca="1">IFERROR(CONCATENATE(VLOOKUP(A920,GM_Table,12,FALSE)," ",(VLOOKUP(A920,GM_Table,13,FALSE))),"")</f>
        <v/>
      </c>
    </row>
    <row r="921" spans="1:18" ht="15" x14ac:dyDescent="0.2">
      <c r="A921" s="193" t="s">
        <v>3113</v>
      </c>
      <c r="B921" s="9" t="s">
        <v>3290</v>
      </c>
      <c r="C921" s="9" t="s">
        <v>3291</v>
      </c>
      <c r="D921" s="256">
        <v>1.77</v>
      </c>
      <c r="E921" s="221">
        <v>998</v>
      </c>
      <c r="F921" s="246">
        <v>952</v>
      </c>
      <c r="G921" s="247">
        <v>0</v>
      </c>
      <c r="H921" s="9">
        <v>0</v>
      </c>
      <c r="I921" s="255">
        <v>0</v>
      </c>
      <c r="J921" s="122" t="b">
        <f>IF(ISBLANK(CertifiedCrop[[#This Row],[1. Identifiant interne d’exploitation agricole*]]),"",IF(ISERROR(MATCH(CertifiedCrop[[#This Row],[1. Identifiant interne d’exploitation agricole*]],GroupMember[1. Identifiant interne d’exploitation agricole*],0)),FALSE,TRUE))</f>
        <v>1</v>
      </c>
      <c r="K921" s="122" t="b">
        <f t="array" ref="K921">IF(ISBLANK(CertifiedCrop[[#This Row],[2. Produit agricole certifié*]]),"",IF(ISERROR(MATCH(1,(#REF!=CertifiedCrop[[#This Row],[2. Produit agricole certifié*]])*(#REF!=CertifiedCrop[[#This Row],[3. Variété**]]),0)),FALSE,TRUE))</f>
        <v>0</v>
      </c>
      <c r="L921" s="20" t="str">
        <f t="shared" si="70"/>
        <v/>
      </c>
      <c r="M921" s="54" t="str">
        <f t="shared" si="71"/>
        <v/>
      </c>
      <c r="N921" s="54" t="str">
        <f t="shared" si="72"/>
        <v/>
      </c>
      <c r="O921" s="55">
        <f t="shared" si="73"/>
        <v>563.84180790960454</v>
      </c>
      <c r="P921" s="55">
        <f t="shared" si="74"/>
        <v>537.8531073446328</v>
      </c>
      <c r="Q921" s="9" t="str">
        <f ca="1">IFERROR((VLOOKUP(A921,GM_Table,8,FALSE)-SUMIFS(D:D,A:A,A921,B:B,B921,C:C,C921)),"")</f>
        <v/>
      </c>
      <c r="R921" s="9" t="str">
        <f ca="1">IFERROR(CONCATENATE(VLOOKUP(A921,GM_Table,12,FALSE)," ",(VLOOKUP(A921,GM_Table,13,FALSE))),"")</f>
        <v/>
      </c>
    </row>
    <row r="922" spans="1:18" ht="15" x14ac:dyDescent="0.2">
      <c r="A922" s="193" t="s">
        <v>3116</v>
      </c>
      <c r="B922" s="9" t="s">
        <v>3290</v>
      </c>
      <c r="C922" s="9" t="s">
        <v>3291</v>
      </c>
      <c r="D922" s="256">
        <v>2.63</v>
      </c>
      <c r="E922" s="245">
        <v>1557</v>
      </c>
      <c r="F922" s="246">
        <v>1484</v>
      </c>
      <c r="G922" s="247">
        <v>0</v>
      </c>
      <c r="H922" s="9">
        <v>0</v>
      </c>
      <c r="I922" s="255">
        <v>0</v>
      </c>
      <c r="J922" s="122" t="b">
        <f>IF(ISBLANK(CertifiedCrop[[#This Row],[1. Identifiant interne d’exploitation agricole*]]),"",IF(ISERROR(MATCH(CertifiedCrop[[#This Row],[1. Identifiant interne d’exploitation agricole*]],GroupMember[1. Identifiant interne d’exploitation agricole*],0)),FALSE,TRUE))</f>
        <v>1</v>
      </c>
      <c r="K922" s="122" t="b">
        <f t="array" ref="K922">IF(ISBLANK(CertifiedCrop[[#This Row],[2. Produit agricole certifié*]]),"",IF(ISERROR(MATCH(1,(#REF!=CertifiedCrop[[#This Row],[2. Produit agricole certifié*]])*(#REF!=CertifiedCrop[[#This Row],[3. Variété**]]),0)),FALSE,TRUE))</f>
        <v>0</v>
      </c>
      <c r="L922" s="20" t="str">
        <f t="shared" si="70"/>
        <v/>
      </c>
      <c r="M922" s="54" t="str">
        <f t="shared" si="71"/>
        <v/>
      </c>
      <c r="N922" s="54" t="str">
        <f t="shared" si="72"/>
        <v/>
      </c>
      <c r="O922" s="55">
        <f t="shared" si="73"/>
        <v>592.01520912547528</v>
      </c>
      <c r="P922" s="55">
        <f t="shared" si="74"/>
        <v>564.25855513307988</v>
      </c>
      <c r="Q922" s="9" t="str">
        <f ca="1">IFERROR((VLOOKUP(A922,GM_Table,8,FALSE)-SUMIFS(D:D,A:A,A922,B:B,B922,C:C,C922)),"")</f>
        <v/>
      </c>
      <c r="R922" s="9" t="str">
        <f ca="1">IFERROR(CONCATENATE(VLOOKUP(A922,GM_Table,12,FALSE)," ",(VLOOKUP(A922,GM_Table,13,FALSE))),"")</f>
        <v/>
      </c>
    </row>
    <row r="923" spans="1:18" ht="15" x14ac:dyDescent="0.2">
      <c r="A923" s="193" t="s">
        <v>3117</v>
      </c>
      <c r="B923" s="9" t="s">
        <v>3290</v>
      </c>
      <c r="C923" s="9" t="s">
        <v>3291</v>
      </c>
      <c r="D923" s="256">
        <v>1.3</v>
      </c>
      <c r="E923" s="221">
        <v>780</v>
      </c>
      <c r="F923" s="246">
        <v>753</v>
      </c>
      <c r="G923" s="247">
        <v>0</v>
      </c>
      <c r="H923" s="9">
        <v>0</v>
      </c>
      <c r="I923" s="255">
        <v>0</v>
      </c>
      <c r="J923" s="122" t="b">
        <f>IF(ISBLANK(CertifiedCrop[[#This Row],[1. Identifiant interne d’exploitation agricole*]]),"",IF(ISERROR(MATCH(CertifiedCrop[[#This Row],[1. Identifiant interne d’exploitation agricole*]],GroupMember[1. Identifiant interne d’exploitation agricole*],0)),FALSE,TRUE))</f>
        <v>1</v>
      </c>
      <c r="K923" s="122" t="b">
        <f t="array" ref="K923">IF(ISBLANK(CertifiedCrop[[#This Row],[2. Produit agricole certifié*]]),"",IF(ISERROR(MATCH(1,(#REF!=CertifiedCrop[[#This Row],[2. Produit agricole certifié*]])*(#REF!=CertifiedCrop[[#This Row],[3. Variété**]]),0)),FALSE,TRUE))</f>
        <v>0</v>
      </c>
      <c r="L923" s="20" t="str">
        <f t="shared" si="70"/>
        <v/>
      </c>
      <c r="M923" s="54" t="str">
        <f t="shared" si="71"/>
        <v/>
      </c>
      <c r="N923" s="54" t="str">
        <f t="shared" si="72"/>
        <v/>
      </c>
      <c r="O923" s="55">
        <f t="shared" si="73"/>
        <v>600</v>
      </c>
      <c r="P923" s="55">
        <f t="shared" si="74"/>
        <v>579.23076923076917</v>
      </c>
      <c r="Q923" s="9" t="str">
        <f ca="1">IFERROR((VLOOKUP(A923,GM_Table,8,FALSE)-SUMIFS(D:D,A:A,A923,B:B,B923,C:C,C923)),"")</f>
        <v/>
      </c>
      <c r="R923" s="9" t="str">
        <f ca="1">IFERROR(CONCATENATE(VLOOKUP(A923,GM_Table,12,FALSE)," ",(VLOOKUP(A923,GM_Table,13,FALSE))),"")</f>
        <v/>
      </c>
    </row>
    <row r="924" spans="1:18" ht="15" x14ac:dyDescent="0.2">
      <c r="A924" s="193" t="s">
        <v>3120</v>
      </c>
      <c r="B924" s="9" t="s">
        <v>3290</v>
      </c>
      <c r="C924" s="9" t="s">
        <v>3291</v>
      </c>
      <c r="D924" s="256">
        <v>1.82</v>
      </c>
      <c r="E924" s="245">
        <v>1031</v>
      </c>
      <c r="F924" s="246">
        <v>965</v>
      </c>
      <c r="G924" s="247">
        <v>0</v>
      </c>
      <c r="H924" s="9">
        <v>0</v>
      </c>
      <c r="I924" s="255">
        <v>0</v>
      </c>
      <c r="J924" s="122" t="b">
        <f>IF(ISBLANK(CertifiedCrop[[#This Row],[1. Identifiant interne d’exploitation agricole*]]),"",IF(ISERROR(MATCH(CertifiedCrop[[#This Row],[1. Identifiant interne d’exploitation agricole*]],GroupMember[1. Identifiant interne d’exploitation agricole*],0)),FALSE,TRUE))</f>
        <v>1</v>
      </c>
      <c r="K924" s="122" t="b">
        <f t="array" ref="K924">IF(ISBLANK(CertifiedCrop[[#This Row],[2. Produit agricole certifié*]]),"",IF(ISERROR(MATCH(1,(#REF!=CertifiedCrop[[#This Row],[2. Produit agricole certifié*]])*(#REF!=CertifiedCrop[[#This Row],[3. Variété**]]),0)),FALSE,TRUE))</f>
        <v>0</v>
      </c>
      <c r="L924" s="20" t="str">
        <f t="shared" si="70"/>
        <v/>
      </c>
      <c r="M924" s="54" t="str">
        <f t="shared" si="71"/>
        <v/>
      </c>
      <c r="N924" s="54" t="str">
        <f t="shared" si="72"/>
        <v/>
      </c>
      <c r="O924" s="55">
        <f t="shared" si="73"/>
        <v>566.4835164835165</v>
      </c>
      <c r="P924" s="55">
        <f t="shared" si="74"/>
        <v>530.2197802197802</v>
      </c>
      <c r="Q924" s="9" t="str">
        <f ca="1">IFERROR((VLOOKUP(A924,GM_Table,8,FALSE)-SUMIFS(D:D,A:A,A924,B:B,B924,C:C,C924)),"")</f>
        <v/>
      </c>
      <c r="R924" s="9" t="str">
        <f ca="1">IFERROR(CONCATENATE(VLOOKUP(A924,GM_Table,12,FALSE)," ",(VLOOKUP(A924,GM_Table,13,FALSE))),"")</f>
        <v/>
      </c>
    </row>
    <row r="925" spans="1:18" ht="15" x14ac:dyDescent="0.2">
      <c r="A925" s="193" t="s">
        <v>3122</v>
      </c>
      <c r="B925" s="9" t="s">
        <v>3290</v>
      </c>
      <c r="C925" s="9" t="s">
        <v>3291</v>
      </c>
      <c r="D925" s="256">
        <v>8.83</v>
      </c>
      <c r="E925" s="245">
        <v>5212</v>
      </c>
      <c r="F925" s="246">
        <v>5125</v>
      </c>
      <c r="G925" s="247">
        <v>0</v>
      </c>
      <c r="H925" s="9">
        <v>0</v>
      </c>
      <c r="I925" s="255">
        <v>0</v>
      </c>
      <c r="J925" s="122" t="b">
        <f>IF(ISBLANK(CertifiedCrop[[#This Row],[1. Identifiant interne d’exploitation agricole*]]),"",IF(ISERROR(MATCH(CertifiedCrop[[#This Row],[1. Identifiant interne d’exploitation agricole*]],GroupMember[1. Identifiant interne d’exploitation agricole*],0)),FALSE,TRUE))</f>
        <v>1</v>
      </c>
      <c r="K925" s="122" t="b">
        <f t="array" ref="K925">IF(ISBLANK(CertifiedCrop[[#This Row],[2. Produit agricole certifié*]]),"",IF(ISERROR(MATCH(1,(#REF!=CertifiedCrop[[#This Row],[2. Produit agricole certifié*]])*(#REF!=CertifiedCrop[[#This Row],[3. Variété**]]),0)),FALSE,TRUE))</f>
        <v>0</v>
      </c>
      <c r="L925" s="20" t="str">
        <f t="shared" si="70"/>
        <v/>
      </c>
      <c r="M925" s="54" t="str">
        <f t="shared" si="71"/>
        <v/>
      </c>
      <c r="N925" s="54" t="str">
        <f t="shared" si="72"/>
        <v/>
      </c>
      <c r="O925" s="55">
        <f t="shared" si="73"/>
        <v>590.26047565118915</v>
      </c>
      <c r="P925" s="55">
        <f t="shared" si="74"/>
        <v>580.4077010192525</v>
      </c>
      <c r="Q925" s="9" t="str">
        <f ca="1">IFERROR((VLOOKUP(A925,GM_Table,8,FALSE)-SUMIFS(D:D,A:A,A925,B:B,B925,C:C,C925)),"")</f>
        <v/>
      </c>
      <c r="R925" s="9" t="str">
        <f ca="1">IFERROR(CONCATENATE(VLOOKUP(A925,GM_Table,12,FALSE)," ",(VLOOKUP(A925,GM_Table,13,FALSE))),"")</f>
        <v/>
      </c>
    </row>
    <row r="926" spans="1:18" ht="15" x14ac:dyDescent="0.2">
      <c r="A926" s="193" t="s">
        <v>3124</v>
      </c>
      <c r="B926" s="9" t="s">
        <v>3290</v>
      </c>
      <c r="C926" s="9" t="s">
        <v>3291</v>
      </c>
      <c r="D926" s="256">
        <v>1.92</v>
      </c>
      <c r="E926" s="245">
        <v>1141</v>
      </c>
      <c r="F926" s="246">
        <v>1095</v>
      </c>
      <c r="G926" s="247">
        <v>0</v>
      </c>
      <c r="H926" s="9">
        <v>0</v>
      </c>
      <c r="I926" s="255">
        <v>0</v>
      </c>
      <c r="J926" s="122" t="b">
        <f>IF(ISBLANK(CertifiedCrop[[#This Row],[1. Identifiant interne d’exploitation agricole*]]),"",IF(ISERROR(MATCH(CertifiedCrop[[#This Row],[1. Identifiant interne d’exploitation agricole*]],GroupMember[1. Identifiant interne d’exploitation agricole*],0)),FALSE,TRUE))</f>
        <v>1</v>
      </c>
      <c r="K926" s="122" t="b">
        <f t="array" ref="K926">IF(ISBLANK(CertifiedCrop[[#This Row],[2. Produit agricole certifié*]]),"",IF(ISERROR(MATCH(1,(#REF!=CertifiedCrop[[#This Row],[2. Produit agricole certifié*]])*(#REF!=CertifiedCrop[[#This Row],[3. Variété**]]),0)),FALSE,TRUE))</f>
        <v>0</v>
      </c>
      <c r="L926" s="20" t="str">
        <f t="shared" si="70"/>
        <v/>
      </c>
      <c r="M926" s="54" t="str">
        <f t="shared" si="71"/>
        <v/>
      </c>
      <c r="N926" s="54" t="str">
        <f t="shared" si="72"/>
        <v/>
      </c>
      <c r="O926" s="55">
        <f t="shared" si="73"/>
        <v>594.27083333333337</v>
      </c>
      <c r="P926" s="55">
        <f t="shared" si="74"/>
        <v>570.3125</v>
      </c>
      <c r="Q926" s="9" t="str">
        <f ca="1">IFERROR((VLOOKUP(A926,GM_Table,8,FALSE)-SUMIFS(D:D,A:A,A926,B:B,B926,C:C,C926)),"")</f>
        <v/>
      </c>
      <c r="R926" s="9" t="str">
        <f ca="1">IFERROR(CONCATENATE(VLOOKUP(A926,GM_Table,12,FALSE)," ",(VLOOKUP(A926,GM_Table,13,FALSE))),"")</f>
        <v/>
      </c>
    </row>
    <row r="927" spans="1:18" ht="15" x14ac:dyDescent="0.2">
      <c r="A927" s="193" t="s">
        <v>3127</v>
      </c>
      <c r="B927" s="9" t="s">
        <v>3290</v>
      </c>
      <c r="C927" s="9" t="s">
        <v>3291</v>
      </c>
      <c r="D927" s="256">
        <v>2.9</v>
      </c>
      <c r="E927" s="245">
        <v>1699</v>
      </c>
      <c r="F927" s="246">
        <v>1587</v>
      </c>
      <c r="G927" s="247">
        <v>0</v>
      </c>
      <c r="H927" s="9">
        <v>0</v>
      </c>
      <c r="I927" s="255">
        <v>0</v>
      </c>
      <c r="J927" s="122" t="b">
        <f>IF(ISBLANK(CertifiedCrop[[#This Row],[1. Identifiant interne d’exploitation agricole*]]),"",IF(ISERROR(MATCH(CertifiedCrop[[#This Row],[1. Identifiant interne d’exploitation agricole*]],GroupMember[1. Identifiant interne d’exploitation agricole*],0)),FALSE,TRUE))</f>
        <v>1</v>
      </c>
      <c r="K927" s="122" t="b">
        <f t="array" ref="K927">IF(ISBLANK(CertifiedCrop[[#This Row],[2. Produit agricole certifié*]]),"",IF(ISERROR(MATCH(1,(#REF!=CertifiedCrop[[#This Row],[2. Produit agricole certifié*]])*(#REF!=CertifiedCrop[[#This Row],[3. Variété**]]),0)),FALSE,TRUE))</f>
        <v>0</v>
      </c>
      <c r="L927" s="20" t="str">
        <f t="shared" si="70"/>
        <v/>
      </c>
      <c r="M927" s="54" t="str">
        <f t="shared" si="71"/>
        <v/>
      </c>
      <c r="N927" s="54" t="str">
        <f t="shared" si="72"/>
        <v/>
      </c>
      <c r="O927" s="55">
        <f t="shared" si="73"/>
        <v>585.86206896551721</v>
      </c>
      <c r="P927" s="55">
        <f t="shared" si="74"/>
        <v>547.24137931034488</v>
      </c>
      <c r="Q927" s="9" t="str">
        <f ca="1">IFERROR((VLOOKUP(A927,GM_Table,8,FALSE)-SUMIFS(D:D,A:A,A927,B:B,B927,C:C,C927)),"")</f>
        <v/>
      </c>
      <c r="R927" s="9" t="str">
        <f ca="1">IFERROR(CONCATENATE(VLOOKUP(A927,GM_Table,12,FALSE)," ",(VLOOKUP(A927,GM_Table,13,FALSE))),"")</f>
        <v/>
      </c>
    </row>
    <row r="928" spans="1:18" ht="15" x14ac:dyDescent="0.2">
      <c r="A928" s="193" t="s">
        <v>3129</v>
      </c>
      <c r="B928" s="9" t="s">
        <v>3290</v>
      </c>
      <c r="C928" s="9" t="s">
        <v>3291</v>
      </c>
      <c r="D928" s="256">
        <v>2.41</v>
      </c>
      <c r="E928" s="245">
        <v>1298</v>
      </c>
      <c r="F928" s="246">
        <v>1208</v>
      </c>
      <c r="G928" s="247">
        <v>0</v>
      </c>
      <c r="H928" s="9">
        <v>0</v>
      </c>
      <c r="I928" s="255">
        <v>0</v>
      </c>
      <c r="J928" s="122" t="b">
        <f>IF(ISBLANK(CertifiedCrop[[#This Row],[1. Identifiant interne d’exploitation agricole*]]),"",IF(ISERROR(MATCH(CertifiedCrop[[#This Row],[1. Identifiant interne d’exploitation agricole*]],GroupMember[1. Identifiant interne d’exploitation agricole*],0)),FALSE,TRUE))</f>
        <v>1</v>
      </c>
      <c r="K928" s="122" t="b">
        <f t="array" ref="K928">IF(ISBLANK(CertifiedCrop[[#This Row],[2. Produit agricole certifié*]]),"",IF(ISERROR(MATCH(1,(#REF!=CertifiedCrop[[#This Row],[2. Produit agricole certifié*]])*(#REF!=CertifiedCrop[[#This Row],[3. Variété**]]),0)),FALSE,TRUE))</f>
        <v>0</v>
      </c>
      <c r="L928" s="20" t="str">
        <f t="shared" si="70"/>
        <v/>
      </c>
      <c r="M928" s="54" t="str">
        <f t="shared" si="71"/>
        <v/>
      </c>
      <c r="N928" s="54" t="str">
        <f t="shared" si="72"/>
        <v/>
      </c>
      <c r="O928" s="55">
        <f t="shared" si="73"/>
        <v>538.5892116182572</v>
      </c>
      <c r="P928" s="55">
        <f t="shared" si="74"/>
        <v>501.24481327800828</v>
      </c>
      <c r="Q928" s="9" t="str">
        <f ca="1">IFERROR((VLOOKUP(A928,GM_Table,8,FALSE)-SUMIFS(D:D,A:A,A928,B:B,B928,C:C,C928)),"")</f>
        <v/>
      </c>
      <c r="R928" s="9" t="str">
        <f ca="1">IFERROR(CONCATENATE(VLOOKUP(A928,GM_Table,12,FALSE)," ",(VLOOKUP(A928,GM_Table,13,FALSE))),"")</f>
        <v/>
      </c>
    </row>
    <row r="929" spans="1:18" ht="15" x14ac:dyDescent="0.2">
      <c r="A929" s="193" t="s">
        <v>3131</v>
      </c>
      <c r="B929" s="9" t="s">
        <v>3290</v>
      </c>
      <c r="C929" s="9" t="s">
        <v>3291</v>
      </c>
      <c r="D929" s="256">
        <v>3.82</v>
      </c>
      <c r="E929" s="245">
        <v>2235</v>
      </c>
      <c r="F929" s="246">
        <v>2178</v>
      </c>
      <c r="G929" s="247">
        <v>0</v>
      </c>
      <c r="H929" s="9">
        <v>0</v>
      </c>
      <c r="I929" s="255">
        <v>0</v>
      </c>
      <c r="J929" s="122" t="b">
        <f>IF(ISBLANK(CertifiedCrop[[#This Row],[1. Identifiant interne d’exploitation agricole*]]),"",IF(ISERROR(MATCH(CertifiedCrop[[#This Row],[1. Identifiant interne d’exploitation agricole*]],GroupMember[1. Identifiant interne d’exploitation agricole*],0)),FALSE,TRUE))</f>
        <v>1</v>
      </c>
      <c r="K929" s="122" t="b">
        <f t="array" ref="K929">IF(ISBLANK(CertifiedCrop[[#This Row],[2. Produit agricole certifié*]]),"",IF(ISERROR(MATCH(1,(#REF!=CertifiedCrop[[#This Row],[2. Produit agricole certifié*]])*(#REF!=CertifiedCrop[[#This Row],[3. Variété**]]),0)),FALSE,TRUE))</f>
        <v>0</v>
      </c>
      <c r="L929" s="20" t="str">
        <f t="shared" si="70"/>
        <v/>
      </c>
      <c r="M929" s="54" t="str">
        <f t="shared" si="71"/>
        <v/>
      </c>
      <c r="N929" s="54" t="str">
        <f t="shared" si="72"/>
        <v/>
      </c>
      <c r="O929" s="55">
        <f t="shared" si="73"/>
        <v>585.0785340314136</v>
      </c>
      <c r="P929" s="55">
        <f t="shared" si="74"/>
        <v>570.15706806282719</v>
      </c>
      <c r="Q929" s="9" t="str">
        <f ca="1">IFERROR((VLOOKUP(A929,GM_Table,8,FALSE)-SUMIFS(D:D,A:A,A929,B:B,B929,C:C,C929)),"")</f>
        <v/>
      </c>
      <c r="R929" s="9" t="str">
        <f ca="1">IFERROR(CONCATENATE(VLOOKUP(A929,GM_Table,12,FALSE)," ",(VLOOKUP(A929,GM_Table,13,FALSE))),"")</f>
        <v/>
      </c>
    </row>
    <row r="930" spans="1:18" ht="15" x14ac:dyDescent="0.2">
      <c r="A930" s="193" t="s">
        <v>3134</v>
      </c>
      <c r="B930" s="9" t="s">
        <v>3290</v>
      </c>
      <c r="C930" s="9" t="s">
        <v>3291</v>
      </c>
      <c r="D930" s="256">
        <v>7.64</v>
      </c>
      <c r="E930" s="245">
        <v>4576</v>
      </c>
      <c r="F930" s="246">
        <v>4469</v>
      </c>
      <c r="G930" s="247">
        <v>0</v>
      </c>
      <c r="H930" s="9">
        <v>0</v>
      </c>
      <c r="I930" s="255">
        <v>0</v>
      </c>
      <c r="J930" s="122" t="b">
        <f>IF(ISBLANK(CertifiedCrop[[#This Row],[1. Identifiant interne d’exploitation agricole*]]),"",IF(ISERROR(MATCH(CertifiedCrop[[#This Row],[1. Identifiant interne d’exploitation agricole*]],GroupMember[1. Identifiant interne d’exploitation agricole*],0)),FALSE,TRUE))</f>
        <v>1</v>
      </c>
      <c r="K930" s="122" t="b">
        <f t="array" ref="K930">IF(ISBLANK(CertifiedCrop[[#This Row],[2. Produit agricole certifié*]]),"",IF(ISERROR(MATCH(1,(#REF!=CertifiedCrop[[#This Row],[2. Produit agricole certifié*]])*(#REF!=CertifiedCrop[[#This Row],[3. Variété**]]),0)),FALSE,TRUE))</f>
        <v>0</v>
      </c>
      <c r="L930" s="20" t="str">
        <f t="shared" si="70"/>
        <v/>
      </c>
      <c r="M930" s="54" t="str">
        <f t="shared" si="71"/>
        <v/>
      </c>
      <c r="N930" s="54" t="str">
        <f t="shared" si="72"/>
        <v/>
      </c>
      <c r="O930" s="55">
        <f t="shared" si="73"/>
        <v>598.95287958115182</v>
      </c>
      <c r="P930" s="55">
        <f t="shared" si="74"/>
        <v>584.9476439790576</v>
      </c>
      <c r="Q930" s="9" t="str">
        <f ca="1">IFERROR((VLOOKUP(A930,GM_Table,8,FALSE)-SUMIFS(D:D,A:A,A930,B:B,B930,C:C,C930)),"")</f>
        <v/>
      </c>
      <c r="R930" s="9" t="str">
        <f ca="1">IFERROR(CONCATENATE(VLOOKUP(A930,GM_Table,12,FALSE)," ",(VLOOKUP(A930,GM_Table,13,FALSE))),"")</f>
        <v/>
      </c>
    </row>
    <row r="931" spans="1:18" ht="15" x14ac:dyDescent="0.2">
      <c r="A931" s="193" t="s">
        <v>3137</v>
      </c>
      <c r="B931" s="9" t="s">
        <v>3290</v>
      </c>
      <c r="C931" s="9" t="s">
        <v>3291</v>
      </c>
      <c r="D931" s="256">
        <v>3.77</v>
      </c>
      <c r="E931" s="245">
        <v>2176</v>
      </c>
      <c r="F931" s="246">
        <v>2086</v>
      </c>
      <c r="G931" s="247">
        <v>0</v>
      </c>
      <c r="H931" s="9">
        <v>0</v>
      </c>
      <c r="I931" s="255">
        <v>0</v>
      </c>
      <c r="J931" s="122" t="b">
        <f>IF(ISBLANK(CertifiedCrop[[#This Row],[1. Identifiant interne d’exploitation agricole*]]),"",IF(ISERROR(MATCH(CertifiedCrop[[#This Row],[1. Identifiant interne d’exploitation agricole*]],GroupMember[1. Identifiant interne d’exploitation agricole*],0)),FALSE,TRUE))</f>
        <v>1</v>
      </c>
      <c r="K931" s="122" t="b">
        <f t="array" ref="K931">IF(ISBLANK(CertifiedCrop[[#This Row],[2. Produit agricole certifié*]]),"",IF(ISERROR(MATCH(1,(#REF!=CertifiedCrop[[#This Row],[2. Produit agricole certifié*]])*(#REF!=CertifiedCrop[[#This Row],[3. Variété**]]),0)),FALSE,TRUE))</f>
        <v>0</v>
      </c>
      <c r="L931" s="20" t="str">
        <f t="shared" si="70"/>
        <v/>
      </c>
      <c r="M931" s="54" t="str">
        <f t="shared" si="71"/>
        <v/>
      </c>
      <c r="N931" s="54" t="str">
        <f t="shared" si="72"/>
        <v/>
      </c>
      <c r="O931" s="55">
        <f t="shared" si="73"/>
        <v>577.18832891246689</v>
      </c>
      <c r="P931" s="55">
        <f t="shared" si="74"/>
        <v>553.31564986737396</v>
      </c>
      <c r="Q931" s="9" t="str">
        <f ca="1">IFERROR((VLOOKUP(A931,GM_Table,8,FALSE)-SUMIFS(D:D,A:A,A931,B:B,B931,C:C,C931)),"")</f>
        <v/>
      </c>
      <c r="R931" s="9" t="str">
        <f ca="1">IFERROR(CONCATENATE(VLOOKUP(A931,GM_Table,12,FALSE)," ",(VLOOKUP(A931,GM_Table,13,FALSE))),"")</f>
        <v/>
      </c>
    </row>
    <row r="932" spans="1:18" ht="15" x14ac:dyDescent="0.2">
      <c r="A932" s="193" t="s">
        <v>3138</v>
      </c>
      <c r="B932" s="9" t="s">
        <v>3290</v>
      </c>
      <c r="C932" s="9" t="s">
        <v>3291</v>
      </c>
      <c r="D932" s="256">
        <v>6.43</v>
      </c>
      <c r="E932" s="245">
        <v>3456</v>
      </c>
      <c r="F932" s="246">
        <v>3365</v>
      </c>
      <c r="G932" s="247">
        <v>0</v>
      </c>
      <c r="H932" s="9">
        <v>0</v>
      </c>
      <c r="I932" s="255">
        <v>0</v>
      </c>
      <c r="J932" s="122" t="b">
        <f>IF(ISBLANK(CertifiedCrop[[#This Row],[1. Identifiant interne d’exploitation agricole*]]),"",IF(ISERROR(MATCH(CertifiedCrop[[#This Row],[1. Identifiant interne d’exploitation agricole*]],GroupMember[1. Identifiant interne d’exploitation agricole*],0)),FALSE,TRUE))</f>
        <v>1</v>
      </c>
      <c r="K932" s="122" t="b">
        <f t="array" ref="K932">IF(ISBLANK(CertifiedCrop[[#This Row],[2. Produit agricole certifié*]]),"",IF(ISERROR(MATCH(1,(#REF!=CertifiedCrop[[#This Row],[2. Produit agricole certifié*]])*(#REF!=CertifiedCrop[[#This Row],[3. Variété**]]),0)),FALSE,TRUE))</f>
        <v>0</v>
      </c>
      <c r="L932" s="20" t="str">
        <f t="shared" si="70"/>
        <v/>
      </c>
      <c r="M932" s="54" t="str">
        <f t="shared" si="71"/>
        <v/>
      </c>
      <c r="N932" s="54" t="str">
        <f t="shared" si="72"/>
        <v/>
      </c>
      <c r="O932" s="55">
        <f t="shared" si="73"/>
        <v>537.48055987558325</v>
      </c>
      <c r="P932" s="55">
        <f t="shared" si="74"/>
        <v>523.32814930015559</v>
      </c>
      <c r="Q932" s="9" t="str">
        <f ca="1">IFERROR((VLOOKUP(A932,GM_Table,8,FALSE)-SUMIFS(D:D,A:A,A932,B:B,B932,C:C,C932)),"")</f>
        <v/>
      </c>
      <c r="R932" s="9" t="str">
        <f ca="1">IFERROR(CONCATENATE(VLOOKUP(A932,GM_Table,12,FALSE)," ",(VLOOKUP(A932,GM_Table,13,FALSE))),"")</f>
        <v/>
      </c>
    </row>
    <row r="933" spans="1:18" ht="15" x14ac:dyDescent="0.2">
      <c r="A933" s="193" t="s">
        <v>3140</v>
      </c>
      <c r="B933" s="9" t="s">
        <v>3290</v>
      </c>
      <c r="C933" s="9" t="s">
        <v>3291</v>
      </c>
      <c r="D933" s="256">
        <v>2.86</v>
      </c>
      <c r="E933" s="245">
        <v>1556</v>
      </c>
      <c r="F933" s="246">
        <v>1478</v>
      </c>
      <c r="G933" s="247">
        <v>0</v>
      </c>
      <c r="H933" s="9">
        <v>0</v>
      </c>
      <c r="I933" s="255">
        <v>0</v>
      </c>
      <c r="J933" s="122" t="b">
        <f>IF(ISBLANK(CertifiedCrop[[#This Row],[1. Identifiant interne d’exploitation agricole*]]),"",IF(ISERROR(MATCH(CertifiedCrop[[#This Row],[1. Identifiant interne d’exploitation agricole*]],GroupMember[1. Identifiant interne d’exploitation agricole*],0)),FALSE,TRUE))</f>
        <v>1</v>
      </c>
      <c r="K933" s="122" t="b">
        <f t="array" ref="K933">IF(ISBLANK(CertifiedCrop[[#This Row],[2. Produit agricole certifié*]]),"",IF(ISERROR(MATCH(1,(#REF!=CertifiedCrop[[#This Row],[2. Produit agricole certifié*]])*(#REF!=CertifiedCrop[[#This Row],[3. Variété**]]),0)),FALSE,TRUE))</f>
        <v>0</v>
      </c>
      <c r="L933" s="20" t="str">
        <f t="shared" si="70"/>
        <v/>
      </c>
      <c r="M933" s="54" t="str">
        <f t="shared" si="71"/>
        <v/>
      </c>
      <c r="N933" s="54" t="str">
        <f t="shared" si="72"/>
        <v/>
      </c>
      <c r="O933" s="55">
        <f t="shared" si="73"/>
        <v>544.05594405594411</v>
      </c>
      <c r="P933" s="55">
        <f t="shared" si="74"/>
        <v>516.78321678321686</v>
      </c>
      <c r="Q933" s="9" t="str">
        <f ca="1">IFERROR((VLOOKUP(A933,GM_Table,8,FALSE)-SUMIFS(D:D,A:A,A933,B:B,B933,C:C,C933)),"")</f>
        <v/>
      </c>
      <c r="R933" s="9" t="str">
        <f ca="1">IFERROR(CONCATENATE(VLOOKUP(A933,GM_Table,12,FALSE)," ",(VLOOKUP(A933,GM_Table,13,FALSE))),"")</f>
        <v/>
      </c>
    </row>
    <row r="934" spans="1:18" ht="15" x14ac:dyDescent="0.2">
      <c r="A934" s="193" t="s">
        <v>3142</v>
      </c>
      <c r="B934" s="9" t="s">
        <v>3290</v>
      </c>
      <c r="C934" s="9" t="s">
        <v>3291</v>
      </c>
      <c r="D934" s="256">
        <v>6.08</v>
      </c>
      <c r="E934" s="245">
        <v>3301</v>
      </c>
      <c r="F934" s="246">
        <v>3269</v>
      </c>
      <c r="G934" s="247">
        <v>0</v>
      </c>
      <c r="H934" s="9">
        <v>0</v>
      </c>
      <c r="I934" s="255">
        <v>0</v>
      </c>
      <c r="J934" s="122" t="b">
        <f>IF(ISBLANK(CertifiedCrop[[#This Row],[1. Identifiant interne d’exploitation agricole*]]),"",IF(ISERROR(MATCH(CertifiedCrop[[#This Row],[1. Identifiant interne d’exploitation agricole*]],GroupMember[1. Identifiant interne d’exploitation agricole*],0)),FALSE,TRUE))</f>
        <v>1</v>
      </c>
      <c r="K934" s="122" t="b">
        <f t="array" ref="K934">IF(ISBLANK(CertifiedCrop[[#This Row],[2. Produit agricole certifié*]]),"",IF(ISERROR(MATCH(1,(#REF!=CertifiedCrop[[#This Row],[2. Produit agricole certifié*]])*(#REF!=CertifiedCrop[[#This Row],[3. Variété**]]),0)),FALSE,TRUE))</f>
        <v>0</v>
      </c>
      <c r="L934" s="20" t="str">
        <f t="shared" si="70"/>
        <v/>
      </c>
      <c r="M934" s="54" t="str">
        <f t="shared" si="71"/>
        <v/>
      </c>
      <c r="N934" s="54" t="str">
        <f t="shared" si="72"/>
        <v/>
      </c>
      <c r="O934" s="55">
        <f t="shared" si="73"/>
        <v>542.9276315789474</v>
      </c>
      <c r="P934" s="55">
        <f t="shared" si="74"/>
        <v>537.66447368421052</v>
      </c>
      <c r="Q934" s="9" t="str">
        <f ca="1">IFERROR((VLOOKUP(A934,GM_Table,8,FALSE)-SUMIFS(D:D,A:A,A934,B:B,B934,C:C,C934)),"")</f>
        <v/>
      </c>
      <c r="R934" s="9" t="str">
        <f ca="1">IFERROR(CONCATENATE(VLOOKUP(A934,GM_Table,12,FALSE)," ",(VLOOKUP(A934,GM_Table,13,FALSE))),"")</f>
        <v/>
      </c>
    </row>
    <row r="935" spans="1:18" ht="15" x14ac:dyDescent="0.2">
      <c r="A935" s="193" t="s">
        <v>3144</v>
      </c>
      <c r="B935" s="9" t="s">
        <v>3290</v>
      </c>
      <c r="C935" s="9" t="s">
        <v>3291</v>
      </c>
      <c r="D935" s="256">
        <v>1.92</v>
      </c>
      <c r="E935" s="245">
        <v>1031</v>
      </c>
      <c r="F935" s="246">
        <v>968</v>
      </c>
      <c r="G935" s="247">
        <v>0</v>
      </c>
      <c r="H935" s="9">
        <v>0</v>
      </c>
      <c r="I935" s="255">
        <v>0</v>
      </c>
      <c r="J935" s="122" t="b">
        <f>IF(ISBLANK(CertifiedCrop[[#This Row],[1. Identifiant interne d’exploitation agricole*]]),"",IF(ISERROR(MATCH(CertifiedCrop[[#This Row],[1. Identifiant interne d’exploitation agricole*]],GroupMember[1. Identifiant interne d’exploitation agricole*],0)),FALSE,TRUE))</f>
        <v>1</v>
      </c>
      <c r="K935" s="122" t="b">
        <f t="array" ref="K935">IF(ISBLANK(CertifiedCrop[[#This Row],[2. Produit agricole certifié*]]),"",IF(ISERROR(MATCH(1,(#REF!=CertifiedCrop[[#This Row],[2. Produit agricole certifié*]])*(#REF!=CertifiedCrop[[#This Row],[3. Variété**]]),0)),FALSE,TRUE))</f>
        <v>0</v>
      </c>
      <c r="L935" s="20" t="str">
        <f t="shared" si="70"/>
        <v/>
      </c>
      <c r="M935" s="54" t="str">
        <f t="shared" si="71"/>
        <v/>
      </c>
      <c r="N935" s="54" t="str">
        <f t="shared" si="72"/>
        <v/>
      </c>
      <c r="O935" s="55">
        <f t="shared" si="73"/>
        <v>536.97916666666674</v>
      </c>
      <c r="P935" s="55">
        <f t="shared" si="74"/>
        <v>504.16666666666669</v>
      </c>
      <c r="Q935" s="9" t="str">
        <f ca="1">IFERROR((VLOOKUP(A935,GM_Table,8,FALSE)-SUMIFS(D:D,A:A,A935,B:B,B935,C:C,C935)),"")</f>
        <v/>
      </c>
      <c r="R935" s="9" t="str">
        <f ca="1">IFERROR(CONCATENATE(VLOOKUP(A935,GM_Table,12,FALSE)," ",(VLOOKUP(A935,GM_Table,13,FALSE))),"")</f>
        <v/>
      </c>
    </row>
    <row r="936" spans="1:18" ht="15" x14ac:dyDescent="0.2">
      <c r="A936" s="193" t="s">
        <v>3147</v>
      </c>
      <c r="B936" s="9" t="s">
        <v>3290</v>
      </c>
      <c r="C936" s="9" t="s">
        <v>3291</v>
      </c>
      <c r="D936" s="256">
        <v>7.87</v>
      </c>
      <c r="E936" s="245">
        <v>4624</v>
      </c>
      <c r="F936" s="246">
        <v>4526</v>
      </c>
      <c r="G936" s="247">
        <v>0</v>
      </c>
      <c r="H936" s="9">
        <v>0</v>
      </c>
      <c r="I936" s="255">
        <v>0</v>
      </c>
      <c r="J936" s="122" t="b">
        <f>IF(ISBLANK(CertifiedCrop[[#This Row],[1. Identifiant interne d’exploitation agricole*]]),"",IF(ISERROR(MATCH(CertifiedCrop[[#This Row],[1. Identifiant interne d’exploitation agricole*]],GroupMember[1. Identifiant interne d’exploitation agricole*],0)),FALSE,TRUE))</f>
        <v>1</v>
      </c>
      <c r="K936" s="122" t="b">
        <f t="array" ref="K936">IF(ISBLANK(CertifiedCrop[[#This Row],[2. Produit agricole certifié*]]),"",IF(ISERROR(MATCH(1,(#REF!=CertifiedCrop[[#This Row],[2. Produit agricole certifié*]])*(#REF!=CertifiedCrop[[#This Row],[3. Variété**]]),0)),FALSE,TRUE))</f>
        <v>0</v>
      </c>
      <c r="L936" s="20" t="str">
        <f t="shared" si="70"/>
        <v/>
      </c>
      <c r="M936" s="54" t="str">
        <f t="shared" si="71"/>
        <v/>
      </c>
      <c r="N936" s="54" t="str">
        <f t="shared" si="72"/>
        <v/>
      </c>
      <c r="O936" s="55">
        <f t="shared" si="73"/>
        <v>587.54764930114357</v>
      </c>
      <c r="P936" s="55">
        <f t="shared" si="74"/>
        <v>575.09529860228713</v>
      </c>
      <c r="Q936" s="9" t="str">
        <f ca="1">IFERROR((VLOOKUP(A936,GM_Table,8,FALSE)-SUMIFS(D:D,A:A,A936,B:B,B936,C:C,C936)),"")</f>
        <v/>
      </c>
      <c r="R936" s="9" t="str">
        <f ca="1">IFERROR(CONCATENATE(VLOOKUP(A936,GM_Table,12,FALSE)," ",(VLOOKUP(A936,GM_Table,13,FALSE))),"")</f>
        <v/>
      </c>
    </row>
    <row r="937" spans="1:18" ht="15" x14ac:dyDescent="0.2">
      <c r="A937" s="193" t="s">
        <v>3148</v>
      </c>
      <c r="B937" s="9" t="s">
        <v>3290</v>
      </c>
      <c r="C937" s="9" t="s">
        <v>3291</v>
      </c>
      <c r="D937" s="256">
        <v>6.77</v>
      </c>
      <c r="E937" s="245">
        <v>4008</v>
      </c>
      <c r="F937" s="246">
        <v>3887</v>
      </c>
      <c r="G937" s="247">
        <v>0</v>
      </c>
      <c r="H937" s="9">
        <v>0</v>
      </c>
      <c r="I937" s="255">
        <v>0</v>
      </c>
      <c r="J937" s="122" t="b">
        <f>IF(ISBLANK(CertifiedCrop[[#This Row],[1. Identifiant interne d’exploitation agricole*]]),"",IF(ISERROR(MATCH(CertifiedCrop[[#This Row],[1. Identifiant interne d’exploitation agricole*]],GroupMember[1. Identifiant interne d’exploitation agricole*],0)),FALSE,TRUE))</f>
        <v>1</v>
      </c>
      <c r="K937" s="122" t="b">
        <f t="array" ref="K937">IF(ISBLANK(CertifiedCrop[[#This Row],[2. Produit agricole certifié*]]),"",IF(ISERROR(MATCH(1,(#REF!=CertifiedCrop[[#This Row],[2. Produit agricole certifié*]])*(#REF!=CertifiedCrop[[#This Row],[3. Variété**]]),0)),FALSE,TRUE))</f>
        <v>0</v>
      </c>
      <c r="L937" s="20" t="str">
        <f t="shared" si="70"/>
        <v/>
      </c>
      <c r="M937" s="54" t="str">
        <f t="shared" si="71"/>
        <v/>
      </c>
      <c r="N937" s="54" t="str">
        <f t="shared" si="72"/>
        <v/>
      </c>
      <c r="O937" s="55">
        <f t="shared" si="73"/>
        <v>592.02363367799114</v>
      </c>
      <c r="P937" s="55">
        <f t="shared" si="74"/>
        <v>574.15066469719352</v>
      </c>
      <c r="Q937" s="9" t="str">
        <f ca="1">IFERROR((VLOOKUP(A937,GM_Table,8,FALSE)-SUMIFS(D:D,A:A,A937,B:B,B937,C:C,C937)),"")</f>
        <v/>
      </c>
      <c r="R937" s="9" t="str">
        <f ca="1">IFERROR(CONCATENATE(VLOOKUP(A937,GM_Table,12,FALSE)," ",(VLOOKUP(A937,GM_Table,13,FALSE))),"")</f>
        <v/>
      </c>
    </row>
    <row r="938" spans="1:18" ht="15" x14ac:dyDescent="0.2">
      <c r="A938" s="193" t="s">
        <v>3151</v>
      </c>
      <c r="B938" s="9" t="s">
        <v>3290</v>
      </c>
      <c r="C938" s="9" t="s">
        <v>3291</v>
      </c>
      <c r="D938" s="256">
        <v>1.49</v>
      </c>
      <c r="E938" s="221">
        <v>875</v>
      </c>
      <c r="F938" s="246">
        <v>858</v>
      </c>
      <c r="G938" s="247">
        <v>0</v>
      </c>
      <c r="H938" s="9">
        <v>0</v>
      </c>
      <c r="I938" s="255">
        <v>0</v>
      </c>
      <c r="J938" s="122" t="b">
        <f>IF(ISBLANK(CertifiedCrop[[#This Row],[1. Identifiant interne d’exploitation agricole*]]),"",IF(ISERROR(MATCH(CertifiedCrop[[#This Row],[1. Identifiant interne d’exploitation agricole*]],GroupMember[1. Identifiant interne d’exploitation agricole*],0)),FALSE,TRUE))</f>
        <v>1</v>
      </c>
      <c r="K938" s="122" t="b">
        <f t="array" ref="K938">IF(ISBLANK(CertifiedCrop[[#This Row],[2. Produit agricole certifié*]]),"",IF(ISERROR(MATCH(1,(#REF!=CertifiedCrop[[#This Row],[2. Produit agricole certifié*]])*(#REF!=CertifiedCrop[[#This Row],[3. Variété**]]),0)),FALSE,TRUE))</f>
        <v>0</v>
      </c>
      <c r="L938" s="20" t="str">
        <f t="shared" si="70"/>
        <v/>
      </c>
      <c r="M938" s="54" t="str">
        <f t="shared" si="71"/>
        <v/>
      </c>
      <c r="N938" s="54" t="str">
        <f t="shared" si="72"/>
        <v/>
      </c>
      <c r="O938" s="55">
        <f t="shared" si="73"/>
        <v>587.24832214765104</v>
      </c>
      <c r="P938" s="55">
        <f t="shared" si="74"/>
        <v>575.83892617449669</v>
      </c>
      <c r="Q938" s="9" t="str">
        <f ca="1">IFERROR((VLOOKUP(A938,GM_Table,8,FALSE)-SUMIFS(D:D,A:A,A938,B:B,B938,C:C,C938)),"")</f>
        <v/>
      </c>
      <c r="R938" s="9" t="str">
        <f ca="1">IFERROR(CONCATENATE(VLOOKUP(A938,GM_Table,12,FALSE)," ",(VLOOKUP(A938,GM_Table,13,FALSE))),"")</f>
        <v/>
      </c>
    </row>
    <row r="939" spans="1:18" ht="15" x14ac:dyDescent="0.2">
      <c r="A939" s="193" t="s">
        <v>3154</v>
      </c>
      <c r="B939" s="9" t="s">
        <v>3290</v>
      </c>
      <c r="C939" s="9" t="s">
        <v>3291</v>
      </c>
      <c r="D939" s="256">
        <v>3.12</v>
      </c>
      <c r="E939" s="245">
        <v>1714</v>
      </c>
      <c r="F939" s="246">
        <v>1685</v>
      </c>
      <c r="G939" s="247">
        <v>0</v>
      </c>
      <c r="H939" s="9">
        <v>0</v>
      </c>
      <c r="I939" s="255">
        <v>0</v>
      </c>
      <c r="J939" s="122" t="b">
        <f>IF(ISBLANK(CertifiedCrop[[#This Row],[1. Identifiant interne d’exploitation agricole*]]),"",IF(ISERROR(MATCH(CertifiedCrop[[#This Row],[1. Identifiant interne d’exploitation agricole*]],GroupMember[1. Identifiant interne d’exploitation agricole*],0)),FALSE,TRUE))</f>
        <v>1</v>
      </c>
      <c r="K939" s="122" t="b">
        <f t="array" ref="K939">IF(ISBLANK(CertifiedCrop[[#This Row],[2. Produit agricole certifié*]]),"",IF(ISERROR(MATCH(1,(#REF!=CertifiedCrop[[#This Row],[2. Produit agricole certifié*]])*(#REF!=CertifiedCrop[[#This Row],[3. Variété**]]),0)),FALSE,TRUE))</f>
        <v>0</v>
      </c>
      <c r="L939" s="20" t="str">
        <f t="shared" si="70"/>
        <v/>
      </c>
      <c r="M939" s="54" t="str">
        <f t="shared" si="71"/>
        <v/>
      </c>
      <c r="N939" s="54" t="str">
        <f t="shared" si="72"/>
        <v/>
      </c>
      <c r="O939" s="55">
        <f t="shared" si="73"/>
        <v>549.35897435897436</v>
      </c>
      <c r="P939" s="55">
        <f t="shared" si="74"/>
        <v>540.06410256410254</v>
      </c>
      <c r="Q939" s="9" t="str">
        <f ca="1">IFERROR((VLOOKUP(A939,GM_Table,8,FALSE)-SUMIFS(D:D,A:A,A939,B:B,B939,C:C,C939)),"")</f>
        <v/>
      </c>
      <c r="R939" s="9" t="str">
        <f ca="1">IFERROR(CONCATENATE(VLOOKUP(A939,GM_Table,12,FALSE)," ",(VLOOKUP(A939,GM_Table,13,FALSE))),"")</f>
        <v/>
      </c>
    </row>
    <row r="940" spans="1:18" ht="15" x14ac:dyDescent="0.2">
      <c r="A940" s="193" t="s">
        <v>3157</v>
      </c>
      <c r="B940" s="9" t="s">
        <v>3290</v>
      </c>
      <c r="C940" s="9" t="s">
        <v>3291</v>
      </c>
      <c r="D940" s="256">
        <v>2.87</v>
      </c>
      <c r="E940" s="245">
        <v>1671</v>
      </c>
      <c r="F940" s="246">
        <v>1547</v>
      </c>
      <c r="G940" s="247">
        <v>0</v>
      </c>
      <c r="H940" s="9">
        <v>0</v>
      </c>
      <c r="I940" s="255">
        <v>0</v>
      </c>
      <c r="J940" s="122" t="b">
        <f>IF(ISBLANK(CertifiedCrop[[#This Row],[1. Identifiant interne d’exploitation agricole*]]),"",IF(ISERROR(MATCH(CertifiedCrop[[#This Row],[1. Identifiant interne d’exploitation agricole*]],GroupMember[1. Identifiant interne d’exploitation agricole*],0)),FALSE,TRUE))</f>
        <v>1</v>
      </c>
      <c r="K940" s="122" t="b">
        <f t="array" ref="K940">IF(ISBLANK(CertifiedCrop[[#This Row],[2. Produit agricole certifié*]]),"",IF(ISERROR(MATCH(1,(#REF!=CertifiedCrop[[#This Row],[2. Produit agricole certifié*]])*(#REF!=CertifiedCrop[[#This Row],[3. Variété**]]),0)),FALSE,TRUE))</f>
        <v>0</v>
      </c>
      <c r="L940" s="20" t="str">
        <f t="shared" si="70"/>
        <v/>
      </c>
      <c r="M940" s="54" t="str">
        <f t="shared" si="71"/>
        <v/>
      </c>
      <c r="N940" s="54" t="str">
        <f t="shared" si="72"/>
        <v/>
      </c>
      <c r="O940" s="55">
        <f t="shared" si="73"/>
        <v>582.22996515679438</v>
      </c>
      <c r="P940" s="55">
        <f t="shared" si="74"/>
        <v>539.02439024390242</v>
      </c>
      <c r="Q940" s="9" t="str">
        <f ca="1">IFERROR((VLOOKUP(A940,GM_Table,8,FALSE)-SUMIFS(D:D,A:A,A940,B:B,B940,C:C,C940)),"")</f>
        <v/>
      </c>
      <c r="R940" s="9" t="str">
        <f ca="1">IFERROR(CONCATENATE(VLOOKUP(A940,GM_Table,12,FALSE)," ",(VLOOKUP(A940,GM_Table,13,FALSE))),"")</f>
        <v/>
      </c>
    </row>
    <row r="941" spans="1:18" ht="15" x14ac:dyDescent="0.2">
      <c r="A941" s="193" t="s">
        <v>3159</v>
      </c>
      <c r="B941" s="9" t="s">
        <v>3290</v>
      </c>
      <c r="C941" s="9" t="s">
        <v>3291</v>
      </c>
      <c r="D941" s="256">
        <v>2.12</v>
      </c>
      <c r="E941" s="245">
        <v>1151</v>
      </c>
      <c r="F941" s="246">
        <v>1102</v>
      </c>
      <c r="G941" s="247">
        <v>0</v>
      </c>
      <c r="H941" s="9">
        <v>0</v>
      </c>
      <c r="I941" s="255">
        <v>0</v>
      </c>
      <c r="J941" s="122" t="b">
        <f>IF(ISBLANK(CertifiedCrop[[#This Row],[1. Identifiant interne d’exploitation agricole*]]),"",IF(ISERROR(MATCH(CertifiedCrop[[#This Row],[1. Identifiant interne d’exploitation agricole*]],GroupMember[1. Identifiant interne d’exploitation agricole*],0)),FALSE,TRUE))</f>
        <v>1</v>
      </c>
      <c r="K941" s="122" t="b">
        <f t="array" ref="K941">IF(ISBLANK(CertifiedCrop[[#This Row],[2. Produit agricole certifié*]]),"",IF(ISERROR(MATCH(1,(#REF!=CertifiedCrop[[#This Row],[2. Produit agricole certifié*]])*(#REF!=CertifiedCrop[[#This Row],[3. Variété**]]),0)),FALSE,TRUE))</f>
        <v>0</v>
      </c>
      <c r="L941" s="20" t="str">
        <f t="shared" si="70"/>
        <v/>
      </c>
      <c r="M941" s="54" t="str">
        <f t="shared" si="71"/>
        <v/>
      </c>
      <c r="N941" s="54" t="str">
        <f t="shared" si="72"/>
        <v/>
      </c>
      <c r="O941" s="55">
        <f t="shared" si="73"/>
        <v>542.92452830188677</v>
      </c>
      <c r="P941" s="55">
        <f t="shared" si="74"/>
        <v>519.81132075471692</v>
      </c>
      <c r="Q941" s="9" t="str">
        <f ca="1">IFERROR((VLOOKUP(A941,GM_Table,8,FALSE)-SUMIFS(D:D,A:A,A941,B:B,B941,C:C,C941)),"")</f>
        <v/>
      </c>
      <c r="R941" s="9" t="str">
        <f ca="1">IFERROR(CONCATENATE(VLOOKUP(A941,GM_Table,12,FALSE)," ",(VLOOKUP(A941,GM_Table,13,FALSE))),"")</f>
        <v/>
      </c>
    </row>
    <row r="942" spans="1:18" ht="15" x14ac:dyDescent="0.2">
      <c r="A942" s="193" t="s">
        <v>3162</v>
      </c>
      <c r="B942" s="9" t="s">
        <v>3290</v>
      </c>
      <c r="C942" s="9" t="s">
        <v>3291</v>
      </c>
      <c r="D942" s="256">
        <v>3.12</v>
      </c>
      <c r="E942" s="245">
        <v>1701</v>
      </c>
      <c r="F942" s="246">
        <v>1608</v>
      </c>
      <c r="G942" s="247">
        <v>0</v>
      </c>
      <c r="H942" s="9">
        <v>0</v>
      </c>
      <c r="I942" s="255">
        <v>0</v>
      </c>
      <c r="J942" s="122" t="b">
        <f>IF(ISBLANK(CertifiedCrop[[#This Row],[1. Identifiant interne d’exploitation agricole*]]),"",IF(ISERROR(MATCH(CertifiedCrop[[#This Row],[1. Identifiant interne d’exploitation agricole*]],GroupMember[1. Identifiant interne d’exploitation agricole*],0)),FALSE,TRUE))</f>
        <v>1</v>
      </c>
      <c r="K942" s="122" t="b">
        <f t="array" ref="K942">IF(ISBLANK(CertifiedCrop[[#This Row],[2. Produit agricole certifié*]]),"",IF(ISERROR(MATCH(1,(#REF!=CertifiedCrop[[#This Row],[2. Produit agricole certifié*]])*(#REF!=CertifiedCrop[[#This Row],[3. Variété**]]),0)),FALSE,TRUE))</f>
        <v>0</v>
      </c>
      <c r="L942" s="20" t="str">
        <f t="shared" si="70"/>
        <v/>
      </c>
      <c r="M942" s="54" t="str">
        <f t="shared" si="71"/>
        <v/>
      </c>
      <c r="N942" s="54" t="str">
        <f t="shared" si="72"/>
        <v/>
      </c>
      <c r="O942" s="55">
        <f t="shared" si="73"/>
        <v>545.19230769230762</v>
      </c>
      <c r="P942" s="55">
        <f t="shared" si="74"/>
        <v>515.38461538461536</v>
      </c>
      <c r="Q942" s="9" t="str">
        <f ca="1">IFERROR((VLOOKUP(A942,GM_Table,8,FALSE)-SUMIFS(D:D,A:A,A942,B:B,B942,C:C,C942)),"")</f>
        <v/>
      </c>
      <c r="R942" s="9" t="str">
        <f ca="1">IFERROR(CONCATENATE(VLOOKUP(A942,GM_Table,12,FALSE)," ",(VLOOKUP(A942,GM_Table,13,FALSE))),"")</f>
        <v/>
      </c>
    </row>
    <row r="943" spans="1:18" ht="15" x14ac:dyDescent="0.2">
      <c r="A943" s="193" t="s">
        <v>3164</v>
      </c>
      <c r="B943" s="9" t="s">
        <v>3290</v>
      </c>
      <c r="C943" s="9" t="s">
        <v>3291</v>
      </c>
      <c r="D943" s="256">
        <v>3.35</v>
      </c>
      <c r="E943" s="245">
        <v>2028</v>
      </c>
      <c r="F943" s="246">
        <v>1895</v>
      </c>
      <c r="G943" s="247">
        <v>0</v>
      </c>
      <c r="H943" s="9">
        <v>0</v>
      </c>
      <c r="I943" s="255">
        <v>0</v>
      </c>
      <c r="J943" s="122" t="b">
        <f>IF(ISBLANK(CertifiedCrop[[#This Row],[1. Identifiant interne d’exploitation agricole*]]),"",IF(ISERROR(MATCH(CertifiedCrop[[#This Row],[1. Identifiant interne d’exploitation agricole*]],GroupMember[1. Identifiant interne d’exploitation agricole*],0)),FALSE,TRUE))</f>
        <v>1</v>
      </c>
      <c r="K943" s="122" t="b">
        <f t="array" ref="K943">IF(ISBLANK(CertifiedCrop[[#This Row],[2. Produit agricole certifié*]]),"",IF(ISERROR(MATCH(1,(#REF!=CertifiedCrop[[#This Row],[2. Produit agricole certifié*]])*(#REF!=CertifiedCrop[[#This Row],[3. Variété**]]),0)),FALSE,TRUE))</f>
        <v>0</v>
      </c>
      <c r="L943" s="20" t="str">
        <f t="shared" si="70"/>
        <v/>
      </c>
      <c r="M943" s="54" t="str">
        <f t="shared" si="71"/>
        <v/>
      </c>
      <c r="N943" s="54" t="str">
        <f t="shared" si="72"/>
        <v/>
      </c>
      <c r="O943" s="55">
        <f t="shared" si="73"/>
        <v>605.37313432835822</v>
      </c>
      <c r="P943" s="55">
        <f t="shared" si="74"/>
        <v>565.67164179104475</v>
      </c>
      <c r="Q943" s="9" t="str">
        <f ca="1">IFERROR((VLOOKUP(A943,GM_Table,8,FALSE)-SUMIFS(D:D,A:A,A943,B:B,B943,C:C,C943)),"")</f>
        <v/>
      </c>
      <c r="R943" s="9" t="str">
        <f ca="1">IFERROR(CONCATENATE(VLOOKUP(A943,GM_Table,12,FALSE)," ",(VLOOKUP(A943,GM_Table,13,FALSE))),"")</f>
        <v/>
      </c>
    </row>
    <row r="944" spans="1:18" ht="15" x14ac:dyDescent="0.2">
      <c r="A944" s="193" t="s">
        <v>3168</v>
      </c>
      <c r="B944" s="9" t="s">
        <v>3290</v>
      </c>
      <c r="C944" s="9" t="s">
        <v>3291</v>
      </c>
      <c r="D944" s="256">
        <v>1.17</v>
      </c>
      <c r="E944" s="221">
        <v>627</v>
      </c>
      <c r="F944" s="246">
        <v>607</v>
      </c>
      <c r="G944" s="247">
        <v>0</v>
      </c>
      <c r="H944" s="9">
        <v>0</v>
      </c>
      <c r="I944" s="255">
        <v>0</v>
      </c>
      <c r="J944" s="122" t="b">
        <f>IF(ISBLANK(CertifiedCrop[[#This Row],[1. Identifiant interne d’exploitation agricole*]]),"",IF(ISERROR(MATCH(CertifiedCrop[[#This Row],[1. Identifiant interne d’exploitation agricole*]],GroupMember[1. Identifiant interne d’exploitation agricole*],0)),FALSE,TRUE))</f>
        <v>1</v>
      </c>
      <c r="K944" s="122" t="b">
        <f t="array" ref="K944">IF(ISBLANK(CertifiedCrop[[#This Row],[2. Produit agricole certifié*]]),"",IF(ISERROR(MATCH(1,(#REF!=CertifiedCrop[[#This Row],[2. Produit agricole certifié*]])*(#REF!=CertifiedCrop[[#This Row],[3. Variété**]]),0)),FALSE,TRUE))</f>
        <v>0</v>
      </c>
      <c r="L944" s="20" t="str">
        <f t="shared" si="70"/>
        <v/>
      </c>
      <c r="M944" s="54" t="str">
        <f t="shared" si="71"/>
        <v/>
      </c>
      <c r="N944" s="54" t="str">
        <f t="shared" si="72"/>
        <v/>
      </c>
      <c r="O944" s="55">
        <f t="shared" si="73"/>
        <v>535.89743589743591</v>
      </c>
      <c r="P944" s="55">
        <f t="shared" si="74"/>
        <v>518.80341880341882</v>
      </c>
      <c r="Q944" s="9" t="str">
        <f ca="1">IFERROR((VLOOKUP(A944,GM_Table,8,FALSE)-SUMIFS(D:D,A:A,A944,B:B,B944,C:C,C944)),"")</f>
        <v/>
      </c>
      <c r="R944" s="9" t="str">
        <f ca="1">IFERROR(CONCATENATE(VLOOKUP(A944,GM_Table,12,FALSE)," ",(VLOOKUP(A944,GM_Table,13,FALSE))),"")</f>
        <v/>
      </c>
    </row>
    <row r="945" spans="1:18" ht="15" x14ac:dyDescent="0.2">
      <c r="A945" s="193" t="s">
        <v>3171</v>
      </c>
      <c r="B945" s="9" t="s">
        <v>3290</v>
      </c>
      <c r="C945" s="9" t="s">
        <v>3291</v>
      </c>
      <c r="D945" s="256">
        <v>1.67</v>
      </c>
      <c r="E945" s="221">
        <v>934</v>
      </c>
      <c r="F945" s="246">
        <v>915</v>
      </c>
      <c r="G945" s="247">
        <v>0</v>
      </c>
      <c r="H945" s="9">
        <v>0</v>
      </c>
      <c r="I945" s="255">
        <v>0</v>
      </c>
      <c r="J945" s="122" t="b">
        <f>IF(ISBLANK(CertifiedCrop[[#This Row],[1. Identifiant interne d’exploitation agricole*]]),"",IF(ISERROR(MATCH(CertifiedCrop[[#This Row],[1. Identifiant interne d’exploitation agricole*]],GroupMember[1. Identifiant interne d’exploitation agricole*],0)),FALSE,TRUE))</f>
        <v>1</v>
      </c>
      <c r="K945" s="122" t="b">
        <f t="array" ref="K945">IF(ISBLANK(CertifiedCrop[[#This Row],[2. Produit agricole certifié*]]),"",IF(ISERROR(MATCH(1,(#REF!=CertifiedCrop[[#This Row],[2. Produit agricole certifié*]])*(#REF!=CertifiedCrop[[#This Row],[3. Variété**]]),0)),FALSE,TRUE))</f>
        <v>0</v>
      </c>
      <c r="L945" s="20" t="str">
        <f t="shared" si="70"/>
        <v/>
      </c>
      <c r="M945" s="54" t="str">
        <f t="shared" si="71"/>
        <v/>
      </c>
      <c r="N945" s="54" t="str">
        <f t="shared" si="72"/>
        <v/>
      </c>
      <c r="O945" s="55">
        <f t="shared" si="73"/>
        <v>559.28143712574854</v>
      </c>
      <c r="P945" s="55">
        <f t="shared" si="74"/>
        <v>547.90419161676652</v>
      </c>
      <c r="Q945" s="9" t="str">
        <f ca="1">IFERROR((VLOOKUP(A945,GM_Table,8,FALSE)-SUMIFS(D:D,A:A,A945,B:B,B945,C:C,C945)),"")</f>
        <v/>
      </c>
      <c r="R945" s="9" t="str">
        <f ca="1">IFERROR(CONCATENATE(VLOOKUP(A945,GM_Table,12,FALSE)," ",(VLOOKUP(A945,GM_Table,13,FALSE))),"")</f>
        <v/>
      </c>
    </row>
    <row r="946" spans="1:18" ht="15" x14ac:dyDescent="0.2">
      <c r="A946" s="193" t="s">
        <v>3174</v>
      </c>
      <c r="B946" s="9" t="s">
        <v>3290</v>
      </c>
      <c r="C946" s="9" t="s">
        <v>3291</v>
      </c>
      <c r="D946" s="256">
        <v>1.61</v>
      </c>
      <c r="E946" s="257">
        <v>929</v>
      </c>
      <c r="F946" s="246">
        <v>920</v>
      </c>
      <c r="G946" s="247">
        <v>0</v>
      </c>
      <c r="H946" s="9">
        <v>0</v>
      </c>
      <c r="I946" s="255">
        <v>0</v>
      </c>
      <c r="J946" s="122" t="b">
        <f>IF(ISBLANK(CertifiedCrop[[#This Row],[1. Identifiant interne d’exploitation agricole*]]),"",IF(ISERROR(MATCH(CertifiedCrop[[#This Row],[1. Identifiant interne d’exploitation agricole*]],GroupMember[1. Identifiant interne d’exploitation agricole*],0)),FALSE,TRUE))</f>
        <v>1</v>
      </c>
      <c r="K946" s="122" t="b">
        <f t="array" ref="K946">IF(ISBLANK(CertifiedCrop[[#This Row],[2. Produit agricole certifié*]]),"",IF(ISERROR(MATCH(1,(#REF!=CertifiedCrop[[#This Row],[2. Produit agricole certifié*]])*(#REF!=CertifiedCrop[[#This Row],[3. Variété**]]),0)),FALSE,TRUE))</f>
        <v>0</v>
      </c>
      <c r="L946" s="20" t="str">
        <f t="shared" si="70"/>
        <v/>
      </c>
      <c r="M946" s="54" t="str">
        <f t="shared" si="71"/>
        <v/>
      </c>
      <c r="N946" s="54" t="str">
        <f t="shared" si="72"/>
        <v/>
      </c>
      <c r="O946" s="55">
        <f t="shared" si="73"/>
        <v>577.01863354037266</v>
      </c>
      <c r="P946" s="55">
        <f t="shared" si="74"/>
        <v>571.42857142857144</v>
      </c>
      <c r="Q946" s="9" t="str">
        <f ca="1">IFERROR((VLOOKUP(A946,GM_Table,8,FALSE)-SUMIFS(D:D,A:A,A946,B:B,B946,C:C,C946)),"")</f>
        <v/>
      </c>
      <c r="R946" s="9" t="str">
        <f ca="1">IFERROR(CONCATENATE(VLOOKUP(A946,GM_Table,12,FALSE)," ",(VLOOKUP(A946,GM_Table,13,FALSE))),"")</f>
        <v/>
      </c>
    </row>
    <row r="947" spans="1:18" ht="15" x14ac:dyDescent="0.2">
      <c r="A947" s="193" t="s">
        <v>3176</v>
      </c>
      <c r="B947" s="9" t="s">
        <v>3290</v>
      </c>
      <c r="C947" s="9" t="s">
        <v>3291</v>
      </c>
      <c r="D947" s="258">
        <v>4.3899999999999997</v>
      </c>
      <c r="E947" s="259">
        <v>2631</v>
      </c>
      <c r="F947" s="175">
        <v>2469</v>
      </c>
      <c r="G947" s="247">
        <v>0</v>
      </c>
      <c r="H947" s="9">
        <v>0</v>
      </c>
      <c r="I947" s="255">
        <v>0</v>
      </c>
      <c r="J947" s="122" t="b">
        <f>IF(ISBLANK(CertifiedCrop[[#This Row],[1. Identifiant interne d’exploitation agricole*]]),"",IF(ISERROR(MATCH(CertifiedCrop[[#This Row],[1. Identifiant interne d’exploitation agricole*]],GroupMember[1. Identifiant interne d’exploitation agricole*],0)),FALSE,TRUE))</f>
        <v>1</v>
      </c>
      <c r="K947" s="122" t="b">
        <f t="array" ref="K947">IF(ISBLANK(CertifiedCrop[[#This Row],[2. Produit agricole certifié*]]),"",IF(ISERROR(MATCH(1,(#REF!=CertifiedCrop[[#This Row],[2. Produit agricole certifié*]])*(#REF!=CertifiedCrop[[#This Row],[3. Variété**]]),0)),FALSE,TRUE))</f>
        <v>0</v>
      </c>
      <c r="L947" s="20" t="str">
        <f t="shared" ref="L947:L1000" si="75">IF((F947-G947)&lt;0,"!","")</f>
        <v/>
      </c>
      <c r="M947" s="54" t="str">
        <f t="shared" ref="M947:M1000" si="76">IFERROR(IF((F947-G947)/G947&gt;25%,"!",IF((F947-G947)/G947&lt;-25%,"!","")),"")</f>
        <v/>
      </c>
      <c r="N947" s="54" t="str">
        <f t="shared" ref="N947:N1000" si="77">IFERROR(IF((G947-H947)/H947&gt;25%,"!",IF((G947-H947)/H947&lt;-25%,"!","")),"")</f>
        <v/>
      </c>
      <c r="O947" s="55">
        <f t="shared" ref="O947:O1000" si="78">IFERROR(E947/D947,"")</f>
        <v>599.3166287015946</v>
      </c>
      <c r="P947" s="55">
        <f t="shared" ref="P947:P1000" si="79">IFERROR(F947/D947,"")</f>
        <v>562.41457858769934</v>
      </c>
      <c r="Q947" s="9" t="str">
        <f ca="1">IFERROR((VLOOKUP(A947,GM_Table,8,FALSE)-SUMIFS(D:D,A:A,A947,B:B,B947,C:C,C947)),"")</f>
        <v/>
      </c>
      <c r="R947" s="9" t="str">
        <f ca="1">IFERROR(CONCATENATE(VLOOKUP(A947,GM_Table,12,FALSE)," ",(VLOOKUP(A947,GM_Table,13,FALSE))),"")</f>
        <v/>
      </c>
    </row>
    <row r="948" spans="1:18" ht="15" x14ac:dyDescent="0.2">
      <c r="A948" s="193" t="s">
        <v>3179</v>
      </c>
      <c r="B948" s="9" t="s">
        <v>3290</v>
      </c>
      <c r="C948" s="9" t="s">
        <v>3291</v>
      </c>
      <c r="D948" s="258">
        <v>2.21</v>
      </c>
      <c r="E948" s="259">
        <v>1295</v>
      </c>
      <c r="F948" s="175">
        <v>1178</v>
      </c>
      <c r="G948" s="247">
        <v>0</v>
      </c>
      <c r="H948" s="9">
        <v>0</v>
      </c>
      <c r="I948" s="255">
        <v>0</v>
      </c>
      <c r="J948" s="122" t="b">
        <f>IF(ISBLANK(CertifiedCrop[[#This Row],[1. Identifiant interne d’exploitation agricole*]]),"",IF(ISERROR(MATCH(CertifiedCrop[[#This Row],[1. Identifiant interne d’exploitation agricole*]],GroupMember[1. Identifiant interne d’exploitation agricole*],0)),FALSE,TRUE))</f>
        <v>1</v>
      </c>
      <c r="K948" s="122" t="b">
        <f t="array" ref="K948">IF(ISBLANK(CertifiedCrop[[#This Row],[2. Produit agricole certifié*]]),"",IF(ISERROR(MATCH(1,(#REF!=CertifiedCrop[[#This Row],[2. Produit agricole certifié*]])*(#REF!=CertifiedCrop[[#This Row],[3. Variété**]]),0)),FALSE,TRUE))</f>
        <v>0</v>
      </c>
      <c r="L948" s="20" t="str">
        <f t="shared" si="75"/>
        <v/>
      </c>
      <c r="M948" s="54" t="str">
        <f t="shared" si="76"/>
        <v/>
      </c>
      <c r="N948" s="54" t="str">
        <f t="shared" si="77"/>
        <v/>
      </c>
      <c r="O948" s="55">
        <f t="shared" si="78"/>
        <v>585.97285067873304</v>
      </c>
      <c r="P948" s="55">
        <f t="shared" si="79"/>
        <v>533.03167420814475</v>
      </c>
      <c r="Q948" s="9" t="str">
        <f ca="1">IFERROR((VLOOKUP(A948,GM_Table,8,FALSE)-SUMIFS(D:D,A:A,A948,B:B,B948,C:C,C948)),"")</f>
        <v/>
      </c>
      <c r="R948" s="9" t="str">
        <f ca="1">IFERROR(CONCATENATE(VLOOKUP(A948,GM_Table,12,FALSE)," ",(VLOOKUP(A948,GM_Table,13,FALSE))),"")</f>
        <v/>
      </c>
    </row>
    <row r="949" spans="1:18" ht="15" x14ac:dyDescent="0.2">
      <c r="A949" s="193" t="s">
        <v>3181</v>
      </c>
      <c r="B949" s="9" t="s">
        <v>3290</v>
      </c>
      <c r="C949" s="9" t="s">
        <v>3291</v>
      </c>
      <c r="D949" s="258">
        <v>1.74</v>
      </c>
      <c r="E949" s="259">
        <v>1044</v>
      </c>
      <c r="F949" s="175">
        <v>989</v>
      </c>
      <c r="G949" s="247">
        <v>0</v>
      </c>
      <c r="H949" s="9">
        <v>0</v>
      </c>
      <c r="I949" s="255">
        <v>0</v>
      </c>
      <c r="J949" s="122" t="b">
        <f>IF(ISBLANK(CertifiedCrop[[#This Row],[1. Identifiant interne d’exploitation agricole*]]),"",IF(ISERROR(MATCH(CertifiedCrop[[#This Row],[1. Identifiant interne d’exploitation agricole*]],GroupMember[1. Identifiant interne d’exploitation agricole*],0)),FALSE,TRUE))</f>
        <v>1</v>
      </c>
      <c r="K949" s="122" t="b">
        <f t="array" ref="K949">IF(ISBLANK(CertifiedCrop[[#This Row],[2. Produit agricole certifié*]]),"",IF(ISERROR(MATCH(1,(#REF!=CertifiedCrop[[#This Row],[2. Produit agricole certifié*]])*(#REF!=CertifiedCrop[[#This Row],[3. Variété**]]),0)),FALSE,TRUE))</f>
        <v>0</v>
      </c>
      <c r="L949" s="20" t="str">
        <f t="shared" si="75"/>
        <v/>
      </c>
      <c r="M949" s="54" t="str">
        <f t="shared" si="76"/>
        <v/>
      </c>
      <c r="N949" s="54" t="str">
        <f t="shared" si="77"/>
        <v/>
      </c>
      <c r="O949" s="55">
        <f t="shared" si="78"/>
        <v>600</v>
      </c>
      <c r="P949" s="55">
        <f t="shared" si="79"/>
        <v>568.39080459770116</v>
      </c>
      <c r="Q949" s="9" t="str">
        <f ca="1">IFERROR((VLOOKUP(A949,GM_Table,8,FALSE)-SUMIFS(D:D,A:A,A949,B:B,B949,C:C,C949)),"")</f>
        <v/>
      </c>
      <c r="R949" s="9" t="str">
        <f ca="1">IFERROR(CONCATENATE(VLOOKUP(A949,GM_Table,12,FALSE)," ",(VLOOKUP(A949,GM_Table,13,FALSE))),"")</f>
        <v/>
      </c>
    </row>
    <row r="950" spans="1:18" ht="15" x14ac:dyDescent="0.2">
      <c r="A950" s="193" t="s">
        <v>3182</v>
      </c>
      <c r="B950" s="9" t="s">
        <v>3290</v>
      </c>
      <c r="C950" s="9" t="s">
        <v>3291</v>
      </c>
      <c r="D950" s="258">
        <v>1.92</v>
      </c>
      <c r="E950" s="259">
        <v>1041</v>
      </c>
      <c r="F950" s="175">
        <v>1005</v>
      </c>
      <c r="G950" s="247">
        <v>0</v>
      </c>
      <c r="H950" s="9">
        <v>0</v>
      </c>
      <c r="I950" s="255">
        <v>0</v>
      </c>
      <c r="J950" s="122" t="b">
        <f>IF(ISBLANK(CertifiedCrop[[#This Row],[1. Identifiant interne d’exploitation agricole*]]),"",IF(ISERROR(MATCH(CertifiedCrop[[#This Row],[1. Identifiant interne d’exploitation agricole*]],GroupMember[1. Identifiant interne d’exploitation agricole*],0)),FALSE,TRUE))</f>
        <v>1</v>
      </c>
      <c r="K950" s="122" t="b">
        <f t="array" ref="K950">IF(ISBLANK(CertifiedCrop[[#This Row],[2. Produit agricole certifié*]]),"",IF(ISERROR(MATCH(1,(#REF!=CertifiedCrop[[#This Row],[2. Produit agricole certifié*]])*(#REF!=CertifiedCrop[[#This Row],[3. Variété**]]),0)),FALSE,TRUE))</f>
        <v>0</v>
      </c>
      <c r="L950" s="20" t="str">
        <f t="shared" si="75"/>
        <v/>
      </c>
      <c r="M950" s="54" t="str">
        <f t="shared" si="76"/>
        <v/>
      </c>
      <c r="N950" s="54" t="str">
        <f t="shared" si="77"/>
        <v/>
      </c>
      <c r="O950" s="55">
        <f t="shared" si="78"/>
        <v>542.1875</v>
      </c>
      <c r="P950" s="55">
        <f t="shared" si="79"/>
        <v>523.4375</v>
      </c>
      <c r="Q950" s="9" t="str">
        <f ca="1">IFERROR((VLOOKUP(A950,GM_Table,8,FALSE)-SUMIFS(D:D,A:A,A950,B:B,B950,C:C,C950)),"")</f>
        <v/>
      </c>
      <c r="R950" s="9" t="str">
        <f ca="1">IFERROR(CONCATENATE(VLOOKUP(A950,GM_Table,12,FALSE)," ",(VLOOKUP(A950,GM_Table,13,FALSE))),"")</f>
        <v/>
      </c>
    </row>
    <row r="951" spans="1:18" ht="15" x14ac:dyDescent="0.2">
      <c r="A951" s="193" t="s">
        <v>3183</v>
      </c>
      <c r="B951" s="9" t="s">
        <v>3290</v>
      </c>
      <c r="C951" s="9" t="s">
        <v>3291</v>
      </c>
      <c r="D951" s="260">
        <v>3</v>
      </c>
      <c r="E951" s="259">
        <v>1633</v>
      </c>
      <c r="F951" s="175">
        <v>1587</v>
      </c>
      <c r="G951" s="247">
        <v>0</v>
      </c>
      <c r="H951" s="9">
        <v>0</v>
      </c>
      <c r="I951" s="255">
        <v>0</v>
      </c>
      <c r="J951" s="122" t="b">
        <f>IF(ISBLANK(CertifiedCrop[[#This Row],[1. Identifiant interne d’exploitation agricole*]]),"",IF(ISERROR(MATCH(CertifiedCrop[[#This Row],[1. Identifiant interne d’exploitation agricole*]],GroupMember[1. Identifiant interne d’exploitation agricole*],0)),FALSE,TRUE))</f>
        <v>1</v>
      </c>
      <c r="K951" s="122" t="b">
        <f t="array" ref="K951">IF(ISBLANK(CertifiedCrop[[#This Row],[2. Produit agricole certifié*]]),"",IF(ISERROR(MATCH(1,(#REF!=CertifiedCrop[[#This Row],[2. Produit agricole certifié*]])*(#REF!=CertifiedCrop[[#This Row],[3. Variété**]]),0)),FALSE,TRUE))</f>
        <v>0</v>
      </c>
      <c r="L951" s="20" t="str">
        <f t="shared" si="75"/>
        <v/>
      </c>
      <c r="M951" s="54" t="str">
        <f t="shared" si="76"/>
        <v/>
      </c>
      <c r="N951" s="54" t="str">
        <f t="shared" si="77"/>
        <v/>
      </c>
      <c r="O951" s="55">
        <f t="shared" si="78"/>
        <v>544.33333333333337</v>
      </c>
      <c r="P951" s="55">
        <f t="shared" si="79"/>
        <v>529</v>
      </c>
      <c r="Q951" s="9" t="str">
        <f ca="1">IFERROR((VLOOKUP(A951,GM_Table,8,FALSE)-SUMIFS(D:D,A:A,A951,B:B,B951,C:C,C951)),"")</f>
        <v/>
      </c>
      <c r="R951" s="9" t="str">
        <f ca="1">IFERROR(CONCATENATE(VLOOKUP(A951,GM_Table,12,FALSE)," ",(VLOOKUP(A951,GM_Table,13,FALSE))),"")</f>
        <v/>
      </c>
    </row>
    <row r="952" spans="1:18" ht="15" x14ac:dyDescent="0.2">
      <c r="A952" s="193" t="s">
        <v>3184</v>
      </c>
      <c r="B952" s="9" t="s">
        <v>3290</v>
      </c>
      <c r="C952" s="9" t="s">
        <v>3291</v>
      </c>
      <c r="D952" s="261">
        <v>1.3</v>
      </c>
      <c r="E952" s="259">
        <v>759</v>
      </c>
      <c r="F952" s="175">
        <v>745</v>
      </c>
      <c r="G952" s="247">
        <v>0</v>
      </c>
      <c r="H952" s="9">
        <v>0</v>
      </c>
      <c r="I952" s="255">
        <v>0</v>
      </c>
      <c r="J952" s="122" t="b">
        <f>IF(ISBLANK(CertifiedCrop[[#This Row],[1. Identifiant interne d’exploitation agricole*]]),"",IF(ISERROR(MATCH(CertifiedCrop[[#This Row],[1. Identifiant interne d’exploitation agricole*]],GroupMember[1. Identifiant interne d’exploitation agricole*],0)),FALSE,TRUE))</f>
        <v>1</v>
      </c>
      <c r="K952" s="122" t="b">
        <f t="array" ref="K952">IF(ISBLANK(CertifiedCrop[[#This Row],[2. Produit agricole certifié*]]),"",IF(ISERROR(MATCH(1,(#REF!=CertifiedCrop[[#This Row],[2. Produit agricole certifié*]])*(#REF!=CertifiedCrop[[#This Row],[3. Variété**]]),0)),FALSE,TRUE))</f>
        <v>0</v>
      </c>
      <c r="L952" s="20" t="str">
        <f t="shared" si="75"/>
        <v/>
      </c>
      <c r="M952" s="54" t="str">
        <f t="shared" si="76"/>
        <v/>
      </c>
      <c r="N952" s="54" t="str">
        <f t="shared" si="77"/>
        <v/>
      </c>
      <c r="O952" s="55">
        <f t="shared" si="78"/>
        <v>583.84615384615381</v>
      </c>
      <c r="P952" s="55">
        <f t="shared" si="79"/>
        <v>573.07692307692309</v>
      </c>
      <c r="Q952" s="9" t="str">
        <f ca="1">IFERROR((VLOOKUP(A952,GM_Table,8,FALSE)-SUMIFS(D:D,A:A,A952,B:B,B952,C:C,C952)),"")</f>
        <v/>
      </c>
      <c r="R952" s="9" t="str">
        <f ca="1">IFERROR(CONCATENATE(VLOOKUP(A952,GM_Table,12,FALSE)," ",(VLOOKUP(A952,GM_Table,13,FALSE))),"")</f>
        <v/>
      </c>
    </row>
    <row r="953" spans="1:18" ht="15" x14ac:dyDescent="0.2">
      <c r="A953" s="193" t="s">
        <v>3188</v>
      </c>
      <c r="B953" s="9" t="s">
        <v>3290</v>
      </c>
      <c r="C953" s="9" t="s">
        <v>3291</v>
      </c>
      <c r="D953" s="258">
        <v>1.091</v>
      </c>
      <c r="E953" s="259">
        <v>606</v>
      </c>
      <c r="F953" s="175">
        <v>601</v>
      </c>
      <c r="G953" s="247">
        <v>0</v>
      </c>
      <c r="H953" s="9">
        <v>0</v>
      </c>
      <c r="I953" s="255">
        <v>0</v>
      </c>
      <c r="J953" s="122" t="b">
        <f>IF(ISBLANK(CertifiedCrop[[#This Row],[1. Identifiant interne d’exploitation agricole*]]),"",IF(ISERROR(MATCH(CertifiedCrop[[#This Row],[1. Identifiant interne d’exploitation agricole*]],GroupMember[1. Identifiant interne d’exploitation agricole*],0)),FALSE,TRUE))</f>
        <v>1</v>
      </c>
      <c r="K953" s="122" t="b">
        <f t="array" ref="K953">IF(ISBLANK(CertifiedCrop[[#This Row],[2. Produit agricole certifié*]]),"",IF(ISERROR(MATCH(1,(#REF!=CertifiedCrop[[#This Row],[2. Produit agricole certifié*]])*(#REF!=CertifiedCrop[[#This Row],[3. Variété**]]),0)),FALSE,TRUE))</f>
        <v>0</v>
      </c>
      <c r="L953" s="20" t="str">
        <f t="shared" si="75"/>
        <v/>
      </c>
      <c r="M953" s="54" t="str">
        <f t="shared" si="76"/>
        <v/>
      </c>
      <c r="N953" s="54" t="str">
        <f t="shared" si="77"/>
        <v/>
      </c>
      <c r="O953" s="55">
        <f t="shared" si="78"/>
        <v>555.45371219065078</v>
      </c>
      <c r="P953" s="55">
        <f t="shared" si="79"/>
        <v>550.87076076993583</v>
      </c>
      <c r="Q953" s="9" t="str">
        <f ca="1">IFERROR((VLOOKUP(A953,GM_Table,8,FALSE)-SUMIFS(D:D,A:A,A953,B:B,B953,C:C,C953)),"")</f>
        <v/>
      </c>
      <c r="R953" s="9" t="str">
        <f ca="1">IFERROR(CONCATENATE(VLOOKUP(A953,GM_Table,12,FALSE)," ",(VLOOKUP(A953,GM_Table,13,FALSE))),"")</f>
        <v/>
      </c>
    </row>
    <row r="954" spans="1:18" ht="15" x14ac:dyDescent="0.2">
      <c r="A954" s="193" t="s">
        <v>3189</v>
      </c>
      <c r="B954" s="9" t="s">
        <v>3290</v>
      </c>
      <c r="C954" s="9" t="s">
        <v>3291</v>
      </c>
      <c r="D954" s="258">
        <v>2.77</v>
      </c>
      <c r="E954" s="259">
        <v>1404</v>
      </c>
      <c r="F954" s="175">
        <v>1369</v>
      </c>
      <c r="G954" s="247">
        <v>0</v>
      </c>
      <c r="H954" s="9">
        <v>0</v>
      </c>
      <c r="I954" s="255">
        <v>0</v>
      </c>
      <c r="J954" s="122" t="b">
        <f>IF(ISBLANK(CertifiedCrop[[#This Row],[1. Identifiant interne d’exploitation agricole*]]),"",IF(ISERROR(MATCH(CertifiedCrop[[#This Row],[1. Identifiant interne d’exploitation agricole*]],GroupMember[1. Identifiant interne d’exploitation agricole*],0)),FALSE,TRUE))</f>
        <v>1</v>
      </c>
      <c r="K954" s="122" t="b">
        <f t="array" ref="K954">IF(ISBLANK(CertifiedCrop[[#This Row],[2. Produit agricole certifié*]]),"",IF(ISERROR(MATCH(1,(#REF!=CertifiedCrop[[#This Row],[2. Produit agricole certifié*]])*(#REF!=CertifiedCrop[[#This Row],[3. Variété**]]),0)),FALSE,TRUE))</f>
        <v>0</v>
      </c>
      <c r="L954" s="20" t="str">
        <f t="shared" si="75"/>
        <v/>
      </c>
      <c r="M954" s="54" t="str">
        <f t="shared" si="76"/>
        <v/>
      </c>
      <c r="N954" s="54" t="str">
        <f t="shared" si="77"/>
        <v/>
      </c>
      <c r="O954" s="55">
        <f t="shared" si="78"/>
        <v>506.85920577617327</v>
      </c>
      <c r="P954" s="55">
        <f t="shared" si="79"/>
        <v>494.22382671480142</v>
      </c>
      <c r="Q954" s="9" t="str">
        <f ca="1">IFERROR((VLOOKUP(A954,GM_Table,8,FALSE)-SUMIFS(D:D,A:A,A954,B:B,B954,C:C,C954)),"")</f>
        <v/>
      </c>
      <c r="R954" s="9" t="str">
        <f ca="1">IFERROR(CONCATENATE(VLOOKUP(A954,GM_Table,12,FALSE)," ",(VLOOKUP(A954,GM_Table,13,FALSE))),"")</f>
        <v/>
      </c>
    </row>
    <row r="955" spans="1:18" ht="15" x14ac:dyDescent="0.2">
      <c r="A955" s="193" t="s">
        <v>3191</v>
      </c>
      <c r="B955" s="9" t="s">
        <v>3290</v>
      </c>
      <c r="C955" s="9" t="s">
        <v>3291</v>
      </c>
      <c r="D955" s="258">
        <v>0.77</v>
      </c>
      <c r="E955" s="259">
        <v>469</v>
      </c>
      <c r="F955" s="175">
        <v>452</v>
      </c>
      <c r="G955" s="247">
        <v>0</v>
      </c>
      <c r="H955" s="9">
        <v>0</v>
      </c>
      <c r="I955" s="255">
        <v>0</v>
      </c>
      <c r="J955" s="122" t="b">
        <f>IF(ISBLANK(CertifiedCrop[[#This Row],[1. Identifiant interne d’exploitation agricole*]]),"",IF(ISERROR(MATCH(CertifiedCrop[[#This Row],[1. Identifiant interne d’exploitation agricole*]],GroupMember[1. Identifiant interne d’exploitation agricole*],0)),FALSE,TRUE))</f>
        <v>1</v>
      </c>
      <c r="K955" s="122" t="b">
        <f t="array" ref="K955">IF(ISBLANK(CertifiedCrop[[#This Row],[2. Produit agricole certifié*]]),"",IF(ISERROR(MATCH(1,(#REF!=CertifiedCrop[[#This Row],[2. Produit agricole certifié*]])*(#REF!=CertifiedCrop[[#This Row],[3. Variété**]]),0)),FALSE,TRUE))</f>
        <v>0</v>
      </c>
      <c r="L955" s="20" t="str">
        <f t="shared" si="75"/>
        <v/>
      </c>
      <c r="M955" s="54" t="str">
        <f t="shared" si="76"/>
        <v/>
      </c>
      <c r="N955" s="54" t="str">
        <f t="shared" si="77"/>
        <v/>
      </c>
      <c r="O955" s="55">
        <f t="shared" si="78"/>
        <v>609.09090909090912</v>
      </c>
      <c r="P955" s="55">
        <f t="shared" si="79"/>
        <v>587.01298701298697</v>
      </c>
      <c r="Q955" s="9" t="str">
        <f ca="1">IFERROR((VLOOKUP(A955,GM_Table,8,FALSE)-SUMIFS(D:D,A:A,A955,B:B,B955,C:C,C955)),"")</f>
        <v/>
      </c>
      <c r="R955" s="9" t="str">
        <f ca="1">IFERROR(CONCATENATE(VLOOKUP(A955,GM_Table,12,FALSE)," ",(VLOOKUP(A955,GM_Table,13,FALSE))),"")</f>
        <v/>
      </c>
    </row>
    <row r="956" spans="1:18" ht="15" x14ac:dyDescent="0.2">
      <c r="A956" s="193" t="s">
        <v>3193</v>
      </c>
      <c r="B956" s="9" t="s">
        <v>3290</v>
      </c>
      <c r="C956" s="9" t="s">
        <v>3291</v>
      </c>
      <c r="D956" s="258">
        <v>2.82</v>
      </c>
      <c r="E956" s="259">
        <v>1704</v>
      </c>
      <c r="F956" s="175">
        <v>1658</v>
      </c>
      <c r="G956" s="247">
        <v>0</v>
      </c>
      <c r="H956" s="9">
        <v>0</v>
      </c>
      <c r="I956" s="255">
        <v>0</v>
      </c>
      <c r="J956" s="122" t="b">
        <f>IF(ISBLANK(CertifiedCrop[[#This Row],[1. Identifiant interne d’exploitation agricole*]]),"",IF(ISERROR(MATCH(CertifiedCrop[[#This Row],[1. Identifiant interne d’exploitation agricole*]],GroupMember[1. Identifiant interne d’exploitation agricole*],0)),FALSE,TRUE))</f>
        <v>1</v>
      </c>
      <c r="K956" s="122" t="b">
        <f t="array" ref="K956">IF(ISBLANK(CertifiedCrop[[#This Row],[2. Produit agricole certifié*]]),"",IF(ISERROR(MATCH(1,(#REF!=CertifiedCrop[[#This Row],[2. Produit agricole certifié*]])*(#REF!=CertifiedCrop[[#This Row],[3. Variété**]]),0)),FALSE,TRUE))</f>
        <v>0</v>
      </c>
      <c r="L956" s="20" t="str">
        <f t="shared" si="75"/>
        <v/>
      </c>
      <c r="M956" s="54" t="str">
        <f t="shared" si="76"/>
        <v/>
      </c>
      <c r="N956" s="54" t="str">
        <f t="shared" si="77"/>
        <v/>
      </c>
      <c r="O956" s="55">
        <f t="shared" si="78"/>
        <v>604.25531914893622</v>
      </c>
      <c r="P956" s="55">
        <f t="shared" si="79"/>
        <v>587.94326241134752</v>
      </c>
      <c r="Q956" s="9" t="str">
        <f ca="1">IFERROR((VLOOKUP(A956,GM_Table,8,FALSE)-SUMIFS(D:D,A:A,A956,B:B,B956,C:C,C956)),"")</f>
        <v/>
      </c>
      <c r="R956" s="9" t="str">
        <f ca="1">IFERROR(CONCATENATE(VLOOKUP(A956,GM_Table,12,FALSE)," ",(VLOOKUP(A956,GM_Table,13,FALSE))),"")</f>
        <v/>
      </c>
    </row>
    <row r="957" spans="1:18" ht="15" x14ac:dyDescent="0.2">
      <c r="A957" s="193" t="s">
        <v>3194</v>
      </c>
      <c r="B957" s="9" t="s">
        <v>3290</v>
      </c>
      <c r="C957" s="9" t="s">
        <v>3291</v>
      </c>
      <c r="D957" s="258">
        <v>2.82</v>
      </c>
      <c r="E957" s="259">
        <v>1567</v>
      </c>
      <c r="F957" s="175">
        <v>1504</v>
      </c>
      <c r="G957" s="247">
        <v>0</v>
      </c>
      <c r="H957" s="9">
        <v>0</v>
      </c>
      <c r="I957" s="255">
        <v>0</v>
      </c>
      <c r="J957" s="122" t="b">
        <f>IF(ISBLANK(CertifiedCrop[[#This Row],[1. Identifiant interne d’exploitation agricole*]]),"",IF(ISERROR(MATCH(CertifiedCrop[[#This Row],[1. Identifiant interne d’exploitation agricole*]],GroupMember[1. Identifiant interne d’exploitation agricole*],0)),FALSE,TRUE))</f>
        <v>1</v>
      </c>
      <c r="K957" s="122" t="b">
        <f t="array" ref="K957">IF(ISBLANK(CertifiedCrop[[#This Row],[2. Produit agricole certifié*]]),"",IF(ISERROR(MATCH(1,(#REF!=CertifiedCrop[[#This Row],[2. Produit agricole certifié*]])*(#REF!=CertifiedCrop[[#This Row],[3. Variété**]]),0)),FALSE,TRUE))</f>
        <v>0</v>
      </c>
      <c r="L957" s="20" t="str">
        <f t="shared" si="75"/>
        <v/>
      </c>
      <c r="M957" s="54" t="str">
        <f t="shared" si="76"/>
        <v/>
      </c>
      <c r="N957" s="54" t="str">
        <f t="shared" si="77"/>
        <v/>
      </c>
      <c r="O957" s="55">
        <f t="shared" si="78"/>
        <v>555.67375886524826</v>
      </c>
      <c r="P957" s="55">
        <f t="shared" si="79"/>
        <v>533.33333333333337</v>
      </c>
      <c r="Q957" s="9" t="str">
        <f ca="1">IFERROR((VLOOKUP(A957,GM_Table,8,FALSE)-SUMIFS(D:D,A:A,A957,B:B,B957,C:C,C957)),"")</f>
        <v/>
      </c>
      <c r="R957" s="9" t="str">
        <f ca="1">IFERROR(CONCATENATE(VLOOKUP(A957,GM_Table,12,FALSE)," ",(VLOOKUP(A957,GM_Table,13,FALSE))),"")</f>
        <v/>
      </c>
    </row>
    <row r="958" spans="1:18" ht="15" x14ac:dyDescent="0.2">
      <c r="A958" s="193" t="s">
        <v>3196</v>
      </c>
      <c r="B958" s="9" t="s">
        <v>3290</v>
      </c>
      <c r="C958" s="9" t="s">
        <v>3291</v>
      </c>
      <c r="D958" s="258">
        <v>3.65</v>
      </c>
      <c r="E958" s="259">
        <v>2215</v>
      </c>
      <c r="F958" s="175">
        <v>2145</v>
      </c>
      <c r="G958" s="247">
        <v>0</v>
      </c>
      <c r="H958" s="9">
        <v>0</v>
      </c>
      <c r="I958" s="255">
        <v>0</v>
      </c>
      <c r="J958" s="122" t="b">
        <f>IF(ISBLANK(CertifiedCrop[[#This Row],[1. Identifiant interne d’exploitation agricole*]]),"",IF(ISERROR(MATCH(CertifiedCrop[[#This Row],[1. Identifiant interne d’exploitation agricole*]],GroupMember[1. Identifiant interne d’exploitation agricole*],0)),FALSE,TRUE))</f>
        <v>1</v>
      </c>
      <c r="K958" s="122" t="b">
        <f t="array" ref="K958">IF(ISBLANK(CertifiedCrop[[#This Row],[2. Produit agricole certifié*]]),"",IF(ISERROR(MATCH(1,(#REF!=CertifiedCrop[[#This Row],[2. Produit agricole certifié*]])*(#REF!=CertifiedCrop[[#This Row],[3. Variété**]]),0)),FALSE,TRUE))</f>
        <v>0</v>
      </c>
      <c r="L958" s="20" t="str">
        <f t="shared" si="75"/>
        <v/>
      </c>
      <c r="M958" s="54" t="str">
        <f t="shared" si="76"/>
        <v/>
      </c>
      <c r="N958" s="54" t="str">
        <f t="shared" si="77"/>
        <v/>
      </c>
      <c r="O958" s="55">
        <f t="shared" si="78"/>
        <v>606.84931506849318</v>
      </c>
      <c r="P958" s="55">
        <f t="shared" si="79"/>
        <v>587.67123287671234</v>
      </c>
      <c r="Q958" s="9" t="str">
        <f ca="1">IFERROR((VLOOKUP(A958,GM_Table,8,FALSE)-SUMIFS(D:D,A:A,A958,B:B,B958,C:C,C958)),"")</f>
        <v/>
      </c>
      <c r="R958" s="9" t="str">
        <f ca="1">IFERROR(CONCATENATE(VLOOKUP(A958,GM_Table,12,FALSE)," ",(VLOOKUP(A958,GM_Table,13,FALSE))),"")</f>
        <v/>
      </c>
    </row>
    <row r="959" spans="1:18" ht="15" x14ac:dyDescent="0.2">
      <c r="A959" s="193" t="s">
        <v>3198</v>
      </c>
      <c r="B959" s="9" t="s">
        <v>3290</v>
      </c>
      <c r="C959" s="9" t="s">
        <v>3291</v>
      </c>
      <c r="D959" s="258">
        <v>2.85</v>
      </c>
      <c r="E959" s="259">
        <v>1670</v>
      </c>
      <c r="F959" s="175">
        <v>1696</v>
      </c>
      <c r="G959" s="247">
        <v>0</v>
      </c>
      <c r="H959" s="9">
        <v>0</v>
      </c>
      <c r="I959" s="255">
        <v>0</v>
      </c>
      <c r="J959" s="122" t="b">
        <f>IF(ISBLANK(CertifiedCrop[[#This Row],[1. Identifiant interne d’exploitation agricole*]]),"",IF(ISERROR(MATCH(CertifiedCrop[[#This Row],[1. Identifiant interne d’exploitation agricole*]],GroupMember[1. Identifiant interne d’exploitation agricole*],0)),FALSE,TRUE))</f>
        <v>1</v>
      </c>
      <c r="K959" s="122" t="b">
        <f t="array" ref="K959">IF(ISBLANK(CertifiedCrop[[#This Row],[2. Produit agricole certifié*]]),"",IF(ISERROR(MATCH(1,(#REF!=CertifiedCrop[[#This Row],[2. Produit agricole certifié*]])*(#REF!=CertifiedCrop[[#This Row],[3. Variété**]]),0)),FALSE,TRUE))</f>
        <v>0</v>
      </c>
      <c r="L959" s="20" t="str">
        <f t="shared" si="75"/>
        <v/>
      </c>
      <c r="M959" s="54" t="str">
        <f t="shared" si="76"/>
        <v/>
      </c>
      <c r="N959" s="54" t="str">
        <f t="shared" si="77"/>
        <v/>
      </c>
      <c r="O959" s="55">
        <f t="shared" si="78"/>
        <v>585.9649122807017</v>
      </c>
      <c r="P959" s="55">
        <f t="shared" si="79"/>
        <v>595.08771929824559</v>
      </c>
      <c r="Q959" s="9" t="str">
        <f ca="1">IFERROR((VLOOKUP(A959,GM_Table,8,FALSE)-SUMIFS(D:D,A:A,A959,B:B,B959,C:C,C959)),"")</f>
        <v/>
      </c>
      <c r="R959" s="9" t="str">
        <f ca="1">IFERROR(CONCATENATE(VLOOKUP(A959,GM_Table,12,FALSE)," ",(VLOOKUP(A959,GM_Table,13,FALSE))),"")</f>
        <v/>
      </c>
    </row>
    <row r="960" spans="1:18" ht="15" x14ac:dyDescent="0.2">
      <c r="A960" s="193" t="s">
        <v>3200</v>
      </c>
      <c r="B960" s="9" t="s">
        <v>3290</v>
      </c>
      <c r="C960" s="9" t="s">
        <v>3291</v>
      </c>
      <c r="D960" s="258">
        <v>1.92</v>
      </c>
      <c r="E960" s="259">
        <v>1124</v>
      </c>
      <c r="F960" s="175">
        <v>1105</v>
      </c>
      <c r="G960" s="247">
        <v>0</v>
      </c>
      <c r="H960" s="9">
        <v>0</v>
      </c>
      <c r="I960" s="255">
        <v>0</v>
      </c>
      <c r="J960" s="122" t="b">
        <f>IF(ISBLANK(CertifiedCrop[[#This Row],[1. Identifiant interne d’exploitation agricole*]]),"",IF(ISERROR(MATCH(CertifiedCrop[[#This Row],[1. Identifiant interne d’exploitation agricole*]],GroupMember[1. Identifiant interne d’exploitation agricole*],0)),FALSE,TRUE))</f>
        <v>1</v>
      </c>
      <c r="K960" s="122" t="b">
        <f t="array" ref="K960">IF(ISBLANK(CertifiedCrop[[#This Row],[2. Produit agricole certifié*]]),"",IF(ISERROR(MATCH(1,(#REF!=CertifiedCrop[[#This Row],[2. Produit agricole certifié*]])*(#REF!=CertifiedCrop[[#This Row],[3. Variété**]]),0)),FALSE,TRUE))</f>
        <v>0</v>
      </c>
      <c r="L960" s="20" t="str">
        <f t="shared" si="75"/>
        <v/>
      </c>
      <c r="M960" s="54" t="str">
        <f t="shared" si="76"/>
        <v/>
      </c>
      <c r="N960" s="54" t="str">
        <f t="shared" si="77"/>
        <v/>
      </c>
      <c r="O960" s="55">
        <f t="shared" si="78"/>
        <v>585.41666666666674</v>
      </c>
      <c r="P960" s="55">
        <f t="shared" si="79"/>
        <v>575.52083333333337</v>
      </c>
      <c r="Q960" s="9" t="str">
        <f ca="1">IFERROR((VLOOKUP(A960,GM_Table,8,FALSE)-SUMIFS(D:D,A:A,A960,B:B,B960,C:C,C960)),"")</f>
        <v/>
      </c>
      <c r="R960" s="9" t="str">
        <f ca="1">IFERROR(CONCATENATE(VLOOKUP(A960,GM_Table,12,FALSE)," ",(VLOOKUP(A960,GM_Table,13,FALSE))),"")</f>
        <v/>
      </c>
    </row>
    <row r="961" spans="1:18" ht="15" x14ac:dyDescent="0.2">
      <c r="A961" s="193" t="s">
        <v>3203</v>
      </c>
      <c r="B961" s="9" t="s">
        <v>3290</v>
      </c>
      <c r="C961" s="9" t="s">
        <v>3291</v>
      </c>
      <c r="D961" s="258">
        <v>2.5</v>
      </c>
      <c r="E961" s="259">
        <v>1478</v>
      </c>
      <c r="F961" s="175">
        <v>1362</v>
      </c>
      <c r="G961" s="247">
        <v>0</v>
      </c>
      <c r="H961" s="9">
        <v>0</v>
      </c>
      <c r="I961" s="255">
        <v>0</v>
      </c>
      <c r="J961" s="122" t="b">
        <f>IF(ISBLANK(CertifiedCrop[[#This Row],[1. Identifiant interne d’exploitation agricole*]]),"",IF(ISERROR(MATCH(CertifiedCrop[[#This Row],[1. Identifiant interne d’exploitation agricole*]],GroupMember[1. Identifiant interne d’exploitation agricole*],0)),FALSE,TRUE))</f>
        <v>1</v>
      </c>
      <c r="K961" s="122" t="b">
        <f t="array" ref="K961">IF(ISBLANK(CertifiedCrop[[#This Row],[2. Produit agricole certifié*]]),"",IF(ISERROR(MATCH(1,(#REF!=CertifiedCrop[[#This Row],[2. Produit agricole certifié*]])*(#REF!=CertifiedCrop[[#This Row],[3. Variété**]]),0)),FALSE,TRUE))</f>
        <v>0</v>
      </c>
      <c r="L961" s="20" t="str">
        <f t="shared" si="75"/>
        <v/>
      </c>
      <c r="M961" s="54" t="str">
        <f t="shared" si="76"/>
        <v/>
      </c>
      <c r="N961" s="54" t="str">
        <f t="shared" si="77"/>
        <v/>
      </c>
      <c r="O961" s="55">
        <f t="shared" si="78"/>
        <v>591.20000000000005</v>
      </c>
      <c r="P961" s="55">
        <f t="shared" si="79"/>
        <v>544.79999999999995</v>
      </c>
      <c r="Q961" s="9" t="str">
        <f ca="1">IFERROR((VLOOKUP(A961,GM_Table,8,FALSE)-SUMIFS(D:D,A:A,A961,B:B,B961,C:C,C961)),"")</f>
        <v/>
      </c>
      <c r="R961" s="9" t="str">
        <f ca="1">IFERROR(CONCATENATE(VLOOKUP(A961,GM_Table,12,FALSE)," ",(VLOOKUP(A961,GM_Table,13,FALSE))),"")</f>
        <v/>
      </c>
    </row>
    <row r="962" spans="1:18" ht="15" x14ac:dyDescent="0.2">
      <c r="A962" s="193" t="s">
        <v>3207</v>
      </c>
      <c r="B962" s="9" t="s">
        <v>3290</v>
      </c>
      <c r="C962" s="9" t="s">
        <v>3291</v>
      </c>
      <c r="D962" s="261">
        <v>5.29</v>
      </c>
      <c r="E962" s="259">
        <v>3152</v>
      </c>
      <c r="F962" s="175">
        <v>3087</v>
      </c>
      <c r="G962" s="247">
        <v>0</v>
      </c>
      <c r="H962" s="9">
        <v>0</v>
      </c>
      <c r="I962" s="255">
        <v>0</v>
      </c>
      <c r="J962" s="122" t="b">
        <f>IF(ISBLANK(CertifiedCrop[[#This Row],[1. Identifiant interne d’exploitation agricole*]]),"",IF(ISERROR(MATCH(CertifiedCrop[[#This Row],[1. Identifiant interne d’exploitation agricole*]],GroupMember[1. Identifiant interne d’exploitation agricole*],0)),FALSE,TRUE))</f>
        <v>1</v>
      </c>
      <c r="K962" s="122" t="b">
        <f t="array" ref="K962">IF(ISBLANK(CertifiedCrop[[#This Row],[2. Produit agricole certifié*]]),"",IF(ISERROR(MATCH(1,(#REF!=CertifiedCrop[[#This Row],[2. Produit agricole certifié*]])*(#REF!=CertifiedCrop[[#This Row],[3. Variété**]]),0)),FALSE,TRUE))</f>
        <v>0</v>
      </c>
      <c r="L962" s="20" t="str">
        <f t="shared" si="75"/>
        <v/>
      </c>
      <c r="M962" s="54" t="str">
        <f t="shared" si="76"/>
        <v/>
      </c>
      <c r="N962" s="54" t="str">
        <f t="shared" si="77"/>
        <v/>
      </c>
      <c r="O962" s="55">
        <f t="shared" si="78"/>
        <v>595.84120982986769</v>
      </c>
      <c r="P962" s="55">
        <f t="shared" si="79"/>
        <v>583.55387523629486</v>
      </c>
      <c r="Q962" s="9" t="str">
        <f ca="1">IFERROR((VLOOKUP(A962,GM_Table,8,FALSE)-SUMIFS(D:D,A:A,A962,B:B,B962,C:C,C962)),"")</f>
        <v/>
      </c>
      <c r="R962" s="9" t="str">
        <f ca="1">IFERROR(CONCATENATE(VLOOKUP(A962,GM_Table,12,FALSE)," ",(VLOOKUP(A962,GM_Table,13,FALSE))),"")</f>
        <v/>
      </c>
    </row>
    <row r="963" spans="1:18" ht="15" x14ac:dyDescent="0.2">
      <c r="A963" s="193" t="s">
        <v>3209</v>
      </c>
      <c r="B963" s="9" t="s">
        <v>3290</v>
      </c>
      <c r="C963" s="9" t="s">
        <v>3291</v>
      </c>
      <c r="D963" s="258">
        <v>2.31</v>
      </c>
      <c r="E963" s="259">
        <v>1360</v>
      </c>
      <c r="F963" s="175">
        <v>1404</v>
      </c>
      <c r="G963" s="247">
        <v>0</v>
      </c>
      <c r="H963" s="9">
        <v>0</v>
      </c>
      <c r="I963" s="255">
        <v>0</v>
      </c>
      <c r="J963" s="122" t="b">
        <f>IF(ISBLANK(CertifiedCrop[[#This Row],[1. Identifiant interne d’exploitation agricole*]]),"",IF(ISERROR(MATCH(CertifiedCrop[[#This Row],[1. Identifiant interne d’exploitation agricole*]],GroupMember[1. Identifiant interne d’exploitation agricole*],0)),FALSE,TRUE))</f>
        <v>1</v>
      </c>
      <c r="K963" s="122" t="b">
        <f t="array" ref="K963">IF(ISBLANK(CertifiedCrop[[#This Row],[2. Produit agricole certifié*]]),"",IF(ISERROR(MATCH(1,(#REF!=CertifiedCrop[[#This Row],[2. Produit agricole certifié*]])*(#REF!=CertifiedCrop[[#This Row],[3. Variété**]]),0)),FALSE,TRUE))</f>
        <v>0</v>
      </c>
      <c r="L963" s="20" t="str">
        <f t="shared" si="75"/>
        <v/>
      </c>
      <c r="M963" s="54" t="str">
        <f t="shared" si="76"/>
        <v/>
      </c>
      <c r="N963" s="54" t="str">
        <f t="shared" si="77"/>
        <v/>
      </c>
      <c r="O963" s="55">
        <f t="shared" si="78"/>
        <v>588.74458874458878</v>
      </c>
      <c r="P963" s="55">
        <f t="shared" si="79"/>
        <v>607.79220779220782</v>
      </c>
      <c r="Q963" s="9" t="str">
        <f ca="1">IFERROR((VLOOKUP(A963,GM_Table,8,FALSE)-SUMIFS(D:D,A:A,A963,B:B,B963,C:C,C963)),"")</f>
        <v/>
      </c>
      <c r="R963" s="9" t="str">
        <f ca="1">IFERROR(CONCATENATE(VLOOKUP(A963,GM_Table,12,FALSE)," ",(VLOOKUP(A963,GM_Table,13,FALSE))),"")</f>
        <v/>
      </c>
    </row>
    <row r="964" spans="1:18" ht="15" x14ac:dyDescent="0.2">
      <c r="A964" s="193" t="s">
        <v>3210</v>
      </c>
      <c r="B964" s="9" t="s">
        <v>3290</v>
      </c>
      <c r="C964" s="9" t="s">
        <v>3291</v>
      </c>
      <c r="D964" s="258">
        <v>1.74</v>
      </c>
      <c r="E964" s="259">
        <v>975</v>
      </c>
      <c r="F964" s="175">
        <v>954</v>
      </c>
      <c r="G964" s="247">
        <v>0</v>
      </c>
      <c r="H964" s="9">
        <v>0</v>
      </c>
      <c r="I964" s="255">
        <v>0</v>
      </c>
      <c r="J964" s="122" t="b">
        <f>IF(ISBLANK(CertifiedCrop[[#This Row],[1. Identifiant interne d’exploitation agricole*]]),"",IF(ISERROR(MATCH(CertifiedCrop[[#This Row],[1. Identifiant interne d’exploitation agricole*]],GroupMember[1. Identifiant interne d’exploitation agricole*],0)),FALSE,TRUE))</f>
        <v>1</v>
      </c>
      <c r="K964" s="122" t="b">
        <f t="array" ref="K964">IF(ISBLANK(CertifiedCrop[[#This Row],[2. Produit agricole certifié*]]),"",IF(ISERROR(MATCH(1,(#REF!=CertifiedCrop[[#This Row],[2. Produit agricole certifié*]])*(#REF!=CertifiedCrop[[#This Row],[3. Variété**]]),0)),FALSE,TRUE))</f>
        <v>0</v>
      </c>
      <c r="L964" s="20" t="str">
        <f t="shared" si="75"/>
        <v/>
      </c>
      <c r="M964" s="54" t="str">
        <f t="shared" si="76"/>
        <v/>
      </c>
      <c r="N964" s="54" t="str">
        <f t="shared" si="77"/>
        <v/>
      </c>
      <c r="O964" s="55">
        <f t="shared" si="78"/>
        <v>560.34482758620686</v>
      </c>
      <c r="P964" s="55">
        <f t="shared" si="79"/>
        <v>548.27586206896547</v>
      </c>
      <c r="Q964" s="9" t="str">
        <f ca="1">IFERROR((VLOOKUP(A964,GM_Table,8,FALSE)-SUMIFS(D:D,A:A,A964,B:B,B964,C:C,C964)),"")</f>
        <v/>
      </c>
      <c r="R964" s="9" t="str">
        <f ca="1">IFERROR(CONCATENATE(VLOOKUP(A964,GM_Table,12,FALSE)," ",(VLOOKUP(A964,GM_Table,13,FALSE))),"")</f>
        <v/>
      </c>
    </row>
    <row r="965" spans="1:18" ht="15" x14ac:dyDescent="0.2">
      <c r="A965" s="193" t="s">
        <v>3211</v>
      </c>
      <c r="B965" s="9" t="s">
        <v>3290</v>
      </c>
      <c r="C965" s="9" t="s">
        <v>3291</v>
      </c>
      <c r="D965" s="258">
        <v>0.78</v>
      </c>
      <c r="E965" s="259">
        <v>450</v>
      </c>
      <c r="F965" s="175">
        <v>436</v>
      </c>
      <c r="G965" s="247">
        <v>0</v>
      </c>
      <c r="H965" s="9">
        <v>0</v>
      </c>
      <c r="I965" s="255">
        <v>0</v>
      </c>
      <c r="J965" s="122" t="b">
        <f>IF(ISBLANK(CertifiedCrop[[#This Row],[1. Identifiant interne d’exploitation agricole*]]),"",IF(ISERROR(MATCH(CertifiedCrop[[#This Row],[1. Identifiant interne d’exploitation agricole*]],GroupMember[1. Identifiant interne d’exploitation agricole*],0)),FALSE,TRUE))</f>
        <v>1</v>
      </c>
      <c r="K965" s="122" t="b">
        <f t="array" ref="K965">IF(ISBLANK(CertifiedCrop[[#This Row],[2. Produit agricole certifié*]]),"",IF(ISERROR(MATCH(1,(#REF!=CertifiedCrop[[#This Row],[2. Produit agricole certifié*]])*(#REF!=CertifiedCrop[[#This Row],[3. Variété**]]),0)),FALSE,TRUE))</f>
        <v>0</v>
      </c>
      <c r="L965" s="20" t="str">
        <f t="shared" si="75"/>
        <v/>
      </c>
      <c r="M965" s="54" t="str">
        <f t="shared" si="76"/>
        <v/>
      </c>
      <c r="N965" s="54" t="str">
        <f t="shared" si="77"/>
        <v/>
      </c>
      <c r="O965" s="55">
        <f t="shared" si="78"/>
        <v>576.92307692307691</v>
      </c>
      <c r="P965" s="55">
        <f t="shared" si="79"/>
        <v>558.97435897435901</v>
      </c>
      <c r="Q965" s="9" t="str">
        <f ca="1">IFERROR((VLOOKUP(A965,GM_Table,8,FALSE)-SUMIFS(D:D,A:A,A965,B:B,B965,C:C,C965)),"")</f>
        <v/>
      </c>
      <c r="R965" s="9" t="str">
        <f ca="1">IFERROR(CONCATENATE(VLOOKUP(A965,GM_Table,12,FALSE)," ",(VLOOKUP(A965,GM_Table,13,FALSE))),"")</f>
        <v/>
      </c>
    </row>
    <row r="966" spans="1:18" ht="15" x14ac:dyDescent="0.2">
      <c r="A966" s="193" t="s">
        <v>3214</v>
      </c>
      <c r="B966" s="9" t="s">
        <v>3290</v>
      </c>
      <c r="C966" s="9" t="s">
        <v>3291</v>
      </c>
      <c r="D966" s="258">
        <v>5.29</v>
      </c>
      <c r="E966" s="259">
        <v>2789</v>
      </c>
      <c r="F966" s="175">
        <v>2687</v>
      </c>
      <c r="G966" s="247">
        <v>0</v>
      </c>
      <c r="H966" s="9">
        <v>0</v>
      </c>
      <c r="I966" s="255">
        <v>0</v>
      </c>
      <c r="J966" s="122" t="b">
        <f>IF(ISBLANK(CertifiedCrop[[#This Row],[1. Identifiant interne d’exploitation agricole*]]),"",IF(ISERROR(MATCH(CertifiedCrop[[#This Row],[1. Identifiant interne d’exploitation agricole*]],GroupMember[1. Identifiant interne d’exploitation agricole*],0)),FALSE,TRUE))</f>
        <v>1</v>
      </c>
      <c r="K966" s="122" t="b">
        <f t="array" ref="K966">IF(ISBLANK(CertifiedCrop[[#This Row],[2. Produit agricole certifié*]]),"",IF(ISERROR(MATCH(1,(#REF!=CertifiedCrop[[#This Row],[2. Produit agricole certifié*]])*(#REF!=CertifiedCrop[[#This Row],[3. Variété**]]),0)),FALSE,TRUE))</f>
        <v>0</v>
      </c>
      <c r="L966" s="20" t="str">
        <f t="shared" si="75"/>
        <v/>
      </c>
      <c r="M966" s="54" t="str">
        <f t="shared" si="76"/>
        <v/>
      </c>
      <c r="N966" s="54" t="str">
        <f t="shared" si="77"/>
        <v/>
      </c>
      <c r="O966" s="55">
        <f t="shared" si="78"/>
        <v>527.2211720226843</v>
      </c>
      <c r="P966" s="55">
        <f t="shared" si="79"/>
        <v>507.93950850661628</v>
      </c>
      <c r="Q966" s="9" t="str">
        <f ca="1">IFERROR((VLOOKUP(A966,GM_Table,8,FALSE)-SUMIFS(D:D,A:A,A966,B:B,B966,C:C,C966)),"")</f>
        <v/>
      </c>
      <c r="R966" s="9" t="str">
        <f ca="1">IFERROR(CONCATENATE(VLOOKUP(A966,GM_Table,12,FALSE)," ",(VLOOKUP(A966,GM_Table,13,FALSE))),"")</f>
        <v/>
      </c>
    </row>
    <row r="967" spans="1:18" ht="15" x14ac:dyDescent="0.2">
      <c r="A967" s="193" t="s">
        <v>3218</v>
      </c>
      <c r="B967" s="9" t="s">
        <v>3290</v>
      </c>
      <c r="C967" s="9" t="s">
        <v>3291</v>
      </c>
      <c r="D967" s="258">
        <v>2.98</v>
      </c>
      <c r="E967" s="259">
        <v>1399</v>
      </c>
      <c r="F967" s="175">
        <v>1298</v>
      </c>
      <c r="G967" s="247">
        <v>0</v>
      </c>
      <c r="H967" s="9">
        <v>0</v>
      </c>
      <c r="I967" s="255">
        <v>0</v>
      </c>
      <c r="J967" s="122" t="b">
        <f>IF(ISBLANK(CertifiedCrop[[#This Row],[1. Identifiant interne d’exploitation agricole*]]),"",IF(ISERROR(MATCH(CertifiedCrop[[#This Row],[1. Identifiant interne d’exploitation agricole*]],GroupMember[1. Identifiant interne d’exploitation agricole*],0)),FALSE,TRUE))</f>
        <v>1</v>
      </c>
      <c r="K967" s="122" t="b">
        <f t="array" ref="K967">IF(ISBLANK(CertifiedCrop[[#This Row],[2. Produit agricole certifié*]]),"",IF(ISERROR(MATCH(1,(#REF!=CertifiedCrop[[#This Row],[2. Produit agricole certifié*]])*(#REF!=CertifiedCrop[[#This Row],[3. Variété**]]),0)),FALSE,TRUE))</f>
        <v>0</v>
      </c>
      <c r="L967" s="20" t="str">
        <f t="shared" si="75"/>
        <v/>
      </c>
      <c r="M967" s="54" t="str">
        <f t="shared" si="76"/>
        <v/>
      </c>
      <c r="N967" s="54" t="str">
        <f t="shared" si="77"/>
        <v/>
      </c>
      <c r="O967" s="55">
        <f t="shared" si="78"/>
        <v>469.46308724832215</v>
      </c>
      <c r="P967" s="55">
        <f t="shared" si="79"/>
        <v>435.57046979865771</v>
      </c>
      <c r="Q967" s="9" t="str">
        <f ca="1">IFERROR((VLOOKUP(A967,GM_Table,8,FALSE)-SUMIFS(D:D,A:A,A967,B:B,B967,C:C,C967)),"")</f>
        <v/>
      </c>
      <c r="R967" s="9" t="str">
        <f ca="1">IFERROR(CONCATENATE(VLOOKUP(A967,GM_Table,12,FALSE)," ",(VLOOKUP(A967,GM_Table,13,FALSE))),"")</f>
        <v/>
      </c>
    </row>
    <row r="968" spans="1:18" ht="15" x14ac:dyDescent="0.2">
      <c r="A968" s="193" t="s">
        <v>3222</v>
      </c>
      <c r="B968" s="9" t="s">
        <v>3290</v>
      </c>
      <c r="C968" s="9" t="s">
        <v>3291</v>
      </c>
      <c r="D968" s="258">
        <v>2.89</v>
      </c>
      <c r="E968" s="259">
        <v>1525</v>
      </c>
      <c r="F968" s="175">
        <v>1475</v>
      </c>
      <c r="G968" s="247">
        <v>0</v>
      </c>
      <c r="H968" s="9">
        <v>0</v>
      </c>
      <c r="I968" s="255">
        <v>0</v>
      </c>
      <c r="J968" s="122" t="b">
        <f>IF(ISBLANK(CertifiedCrop[[#This Row],[1. Identifiant interne d’exploitation agricole*]]),"",IF(ISERROR(MATCH(CertifiedCrop[[#This Row],[1. Identifiant interne d’exploitation agricole*]],GroupMember[1. Identifiant interne d’exploitation agricole*],0)),FALSE,TRUE))</f>
        <v>1</v>
      </c>
      <c r="K968" s="122" t="b">
        <f t="array" ref="K968">IF(ISBLANK(CertifiedCrop[[#This Row],[2. Produit agricole certifié*]]),"",IF(ISERROR(MATCH(1,(#REF!=CertifiedCrop[[#This Row],[2. Produit agricole certifié*]])*(#REF!=CertifiedCrop[[#This Row],[3. Variété**]]),0)),FALSE,TRUE))</f>
        <v>0</v>
      </c>
      <c r="L968" s="20" t="str">
        <f t="shared" si="75"/>
        <v/>
      </c>
      <c r="M968" s="54" t="str">
        <f t="shared" si="76"/>
        <v/>
      </c>
      <c r="N968" s="54" t="str">
        <f t="shared" si="77"/>
        <v/>
      </c>
      <c r="O968" s="55">
        <f t="shared" si="78"/>
        <v>527.68166089965393</v>
      </c>
      <c r="P968" s="55">
        <f t="shared" si="79"/>
        <v>510.3806228373702</v>
      </c>
      <c r="Q968" s="9" t="str">
        <f ca="1">IFERROR((VLOOKUP(A968,GM_Table,8,FALSE)-SUMIFS(D:D,A:A,A968,B:B,B968,C:C,C968)),"")</f>
        <v/>
      </c>
      <c r="R968" s="9" t="str">
        <f ca="1">IFERROR(CONCATENATE(VLOOKUP(A968,GM_Table,12,FALSE)," ",(VLOOKUP(A968,GM_Table,13,FALSE))),"")</f>
        <v/>
      </c>
    </row>
    <row r="969" spans="1:18" ht="15" x14ac:dyDescent="0.2">
      <c r="A969" s="193" t="s">
        <v>3223</v>
      </c>
      <c r="B969" s="9" t="s">
        <v>3290</v>
      </c>
      <c r="C969" s="9" t="s">
        <v>3291</v>
      </c>
      <c r="D969" s="258">
        <v>0.68</v>
      </c>
      <c r="E969" s="259">
        <v>325</v>
      </c>
      <c r="F969" s="175">
        <v>308</v>
      </c>
      <c r="G969" s="247">
        <v>0</v>
      </c>
      <c r="H969" s="9">
        <v>0</v>
      </c>
      <c r="I969" s="255">
        <v>0</v>
      </c>
      <c r="J969" s="122" t="b">
        <f>IF(ISBLANK(CertifiedCrop[[#This Row],[1. Identifiant interne d’exploitation agricole*]]),"",IF(ISERROR(MATCH(CertifiedCrop[[#This Row],[1. Identifiant interne d’exploitation agricole*]],GroupMember[1. Identifiant interne d’exploitation agricole*],0)),FALSE,TRUE))</f>
        <v>1</v>
      </c>
      <c r="K969" s="122" t="b">
        <f t="array" ref="K969">IF(ISBLANK(CertifiedCrop[[#This Row],[2. Produit agricole certifié*]]),"",IF(ISERROR(MATCH(1,(#REF!=CertifiedCrop[[#This Row],[2. Produit agricole certifié*]])*(#REF!=CertifiedCrop[[#This Row],[3. Variété**]]),0)),FALSE,TRUE))</f>
        <v>0</v>
      </c>
      <c r="L969" s="20" t="str">
        <f t="shared" si="75"/>
        <v/>
      </c>
      <c r="M969" s="54" t="str">
        <f t="shared" si="76"/>
        <v/>
      </c>
      <c r="N969" s="54" t="str">
        <f t="shared" si="77"/>
        <v/>
      </c>
      <c r="O969" s="55">
        <f t="shared" si="78"/>
        <v>477.94117647058818</v>
      </c>
      <c r="P969" s="55">
        <f t="shared" si="79"/>
        <v>452.94117647058818</v>
      </c>
      <c r="Q969" s="9" t="str">
        <f ca="1">IFERROR((VLOOKUP(A969,GM_Table,8,FALSE)-SUMIFS(D:D,A:A,A969,B:B,B969,C:C,C969)),"")</f>
        <v/>
      </c>
      <c r="R969" s="9" t="str">
        <f ca="1">IFERROR(CONCATENATE(VLOOKUP(A969,GM_Table,12,FALSE)," ",(VLOOKUP(A969,GM_Table,13,FALSE))),"")</f>
        <v/>
      </c>
    </row>
    <row r="970" spans="1:18" ht="15" x14ac:dyDescent="0.2">
      <c r="A970" s="193" t="s">
        <v>3226</v>
      </c>
      <c r="B970" s="9" t="s">
        <v>3290</v>
      </c>
      <c r="C970" s="9" t="s">
        <v>3291</v>
      </c>
      <c r="D970" s="261">
        <v>8.76</v>
      </c>
      <c r="E970" s="259">
        <v>4393</v>
      </c>
      <c r="F970" s="175">
        <v>4265</v>
      </c>
      <c r="G970" s="247">
        <v>0</v>
      </c>
      <c r="H970" s="9">
        <v>0</v>
      </c>
      <c r="I970" s="255">
        <v>0</v>
      </c>
      <c r="J970" s="122" t="b">
        <f>IF(ISBLANK(CertifiedCrop[[#This Row],[1. Identifiant interne d’exploitation agricole*]]),"",IF(ISERROR(MATCH(CertifiedCrop[[#This Row],[1. Identifiant interne d’exploitation agricole*]],GroupMember[1. Identifiant interne d’exploitation agricole*],0)),FALSE,TRUE))</f>
        <v>1</v>
      </c>
      <c r="K970" s="122" t="b">
        <f t="array" ref="K970">IF(ISBLANK(CertifiedCrop[[#This Row],[2. Produit agricole certifié*]]),"",IF(ISERROR(MATCH(1,(#REF!=CertifiedCrop[[#This Row],[2. Produit agricole certifié*]])*(#REF!=CertifiedCrop[[#This Row],[3. Variété**]]),0)),FALSE,TRUE))</f>
        <v>0</v>
      </c>
      <c r="L970" s="20" t="str">
        <f t="shared" si="75"/>
        <v/>
      </c>
      <c r="M970" s="54" t="str">
        <f t="shared" si="76"/>
        <v/>
      </c>
      <c r="N970" s="54" t="str">
        <f t="shared" si="77"/>
        <v/>
      </c>
      <c r="O970" s="55">
        <f t="shared" si="78"/>
        <v>501.48401826484019</v>
      </c>
      <c r="P970" s="55">
        <f t="shared" si="79"/>
        <v>486.87214611872145</v>
      </c>
      <c r="Q970" s="9" t="str">
        <f ca="1">IFERROR((VLOOKUP(A970,GM_Table,8,FALSE)-SUMIFS(D:D,A:A,A970,B:B,B970,C:C,C970)),"")</f>
        <v/>
      </c>
      <c r="R970" s="9" t="str">
        <f ca="1">IFERROR(CONCATENATE(VLOOKUP(A970,GM_Table,12,FALSE)," ",(VLOOKUP(A970,GM_Table,13,FALSE))),"")</f>
        <v/>
      </c>
    </row>
    <row r="971" spans="1:18" ht="15" x14ac:dyDescent="0.2">
      <c r="A971" s="193" t="s">
        <v>3228</v>
      </c>
      <c r="B971" s="9" t="s">
        <v>3290</v>
      </c>
      <c r="C971" s="9" t="s">
        <v>3291</v>
      </c>
      <c r="D971" s="261">
        <v>3.2</v>
      </c>
      <c r="E971" s="259">
        <v>1952</v>
      </c>
      <c r="F971" s="175">
        <v>1894</v>
      </c>
      <c r="G971" s="247">
        <v>0</v>
      </c>
      <c r="H971" s="9">
        <v>0</v>
      </c>
      <c r="I971" s="255">
        <v>0</v>
      </c>
      <c r="J971" s="122" t="b">
        <f>IF(ISBLANK(CertifiedCrop[[#This Row],[1. Identifiant interne d’exploitation agricole*]]),"",IF(ISERROR(MATCH(CertifiedCrop[[#This Row],[1. Identifiant interne d’exploitation agricole*]],GroupMember[1. Identifiant interne d’exploitation agricole*],0)),FALSE,TRUE))</f>
        <v>1</v>
      </c>
      <c r="K971" s="122" t="b">
        <f t="array" ref="K971">IF(ISBLANK(CertifiedCrop[[#This Row],[2. Produit agricole certifié*]]),"",IF(ISERROR(MATCH(1,(#REF!=CertifiedCrop[[#This Row],[2. Produit agricole certifié*]])*(#REF!=CertifiedCrop[[#This Row],[3. Variété**]]),0)),FALSE,TRUE))</f>
        <v>0</v>
      </c>
      <c r="L971" s="20" t="str">
        <f t="shared" si="75"/>
        <v/>
      </c>
      <c r="M971" s="54" t="str">
        <f t="shared" si="76"/>
        <v/>
      </c>
      <c r="N971" s="54" t="str">
        <f t="shared" si="77"/>
        <v/>
      </c>
      <c r="O971" s="55">
        <f t="shared" si="78"/>
        <v>610</v>
      </c>
      <c r="P971" s="55">
        <f t="shared" si="79"/>
        <v>591.875</v>
      </c>
      <c r="Q971" s="9" t="str">
        <f ca="1">IFERROR((VLOOKUP(A971,GM_Table,8,FALSE)-SUMIFS(D:D,A:A,A971,B:B,B971,C:C,C971)),"")</f>
        <v/>
      </c>
      <c r="R971" s="9" t="str">
        <f ca="1">IFERROR(CONCATENATE(VLOOKUP(A971,GM_Table,12,FALSE)," ",(VLOOKUP(A971,GM_Table,13,FALSE))),"")</f>
        <v/>
      </c>
    </row>
    <row r="972" spans="1:18" ht="15" x14ac:dyDescent="0.2">
      <c r="A972" s="193" t="s">
        <v>3232</v>
      </c>
      <c r="B972" s="9" t="s">
        <v>3290</v>
      </c>
      <c r="C972" s="9" t="s">
        <v>3291</v>
      </c>
      <c r="D972" s="262">
        <v>2.66</v>
      </c>
      <c r="E972" s="259">
        <v>1416</v>
      </c>
      <c r="F972" s="175">
        <v>1369</v>
      </c>
      <c r="G972" s="247">
        <v>0</v>
      </c>
      <c r="H972" s="9">
        <v>0</v>
      </c>
      <c r="I972" s="255">
        <v>0</v>
      </c>
      <c r="J972" s="122" t="b">
        <f>IF(ISBLANK(CertifiedCrop[[#This Row],[1. Identifiant interne d’exploitation agricole*]]),"",IF(ISERROR(MATCH(CertifiedCrop[[#This Row],[1. Identifiant interne d’exploitation agricole*]],GroupMember[1. Identifiant interne d’exploitation agricole*],0)),FALSE,TRUE))</f>
        <v>1</v>
      </c>
      <c r="K972" s="122" t="b">
        <f t="array" ref="K972">IF(ISBLANK(CertifiedCrop[[#This Row],[2. Produit agricole certifié*]]),"",IF(ISERROR(MATCH(1,(#REF!=CertifiedCrop[[#This Row],[2. Produit agricole certifié*]])*(#REF!=CertifiedCrop[[#This Row],[3. Variété**]]),0)),FALSE,TRUE))</f>
        <v>0</v>
      </c>
      <c r="L972" s="20" t="str">
        <f t="shared" si="75"/>
        <v/>
      </c>
      <c r="M972" s="54" t="str">
        <f t="shared" si="76"/>
        <v/>
      </c>
      <c r="N972" s="54" t="str">
        <f t="shared" si="77"/>
        <v/>
      </c>
      <c r="O972" s="55">
        <f t="shared" si="78"/>
        <v>532.33082706766913</v>
      </c>
      <c r="P972" s="55">
        <f t="shared" si="79"/>
        <v>514.66165413533827</v>
      </c>
      <c r="Q972" s="9" t="str">
        <f ca="1">IFERROR((VLOOKUP(A972,GM_Table,8,FALSE)-SUMIFS(D:D,A:A,A972,B:B,B972,C:C,C972)),"")</f>
        <v/>
      </c>
      <c r="R972" s="9" t="str">
        <f ca="1">IFERROR(CONCATENATE(VLOOKUP(A972,GM_Table,12,FALSE)," ",(VLOOKUP(A972,GM_Table,13,FALSE))),"")</f>
        <v/>
      </c>
    </row>
    <row r="973" spans="1:18" ht="15" x14ac:dyDescent="0.2">
      <c r="A973" s="193" t="s">
        <v>3233</v>
      </c>
      <c r="B973" s="9" t="s">
        <v>3290</v>
      </c>
      <c r="C973" s="9" t="s">
        <v>3291</v>
      </c>
      <c r="D973" s="258">
        <v>6.2</v>
      </c>
      <c r="E973" s="259">
        <v>3078</v>
      </c>
      <c r="F973" s="175">
        <v>2978</v>
      </c>
      <c r="G973" s="247">
        <v>0</v>
      </c>
      <c r="H973" s="9">
        <v>0</v>
      </c>
      <c r="I973" s="255">
        <v>0</v>
      </c>
      <c r="J973" s="122" t="b">
        <f>IF(ISBLANK(CertifiedCrop[[#This Row],[1. Identifiant interne d’exploitation agricole*]]),"",IF(ISERROR(MATCH(CertifiedCrop[[#This Row],[1. Identifiant interne d’exploitation agricole*]],GroupMember[1. Identifiant interne d’exploitation agricole*],0)),FALSE,TRUE))</f>
        <v>1</v>
      </c>
      <c r="K973" s="122" t="b">
        <f t="array" ref="K973">IF(ISBLANK(CertifiedCrop[[#This Row],[2. Produit agricole certifié*]]),"",IF(ISERROR(MATCH(1,(#REF!=CertifiedCrop[[#This Row],[2. Produit agricole certifié*]])*(#REF!=CertifiedCrop[[#This Row],[3. Variété**]]),0)),FALSE,TRUE))</f>
        <v>0</v>
      </c>
      <c r="L973" s="20" t="str">
        <f t="shared" si="75"/>
        <v/>
      </c>
      <c r="M973" s="54" t="str">
        <f t="shared" si="76"/>
        <v/>
      </c>
      <c r="N973" s="54" t="str">
        <f t="shared" si="77"/>
        <v/>
      </c>
      <c r="O973" s="55">
        <f t="shared" si="78"/>
        <v>496.45161290322579</v>
      </c>
      <c r="P973" s="55">
        <f t="shared" si="79"/>
        <v>480.32258064516128</v>
      </c>
      <c r="Q973" s="9" t="str">
        <f ca="1">IFERROR((VLOOKUP(A973,GM_Table,8,FALSE)-SUMIFS(D:D,A:A,A973,B:B,B973,C:C,C973)),"")</f>
        <v/>
      </c>
      <c r="R973" s="9" t="str">
        <f ca="1">IFERROR(CONCATENATE(VLOOKUP(A973,GM_Table,12,FALSE)," ",(VLOOKUP(A973,GM_Table,13,FALSE))),"")</f>
        <v/>
      </c>
    </row>
    <row r="974" spans="1:18" ht="15" x14ac:dyDescent="0.2">
      <c r="A974" s="193" t="s">
        <v>3236</v>
      </c>
      <c r="B974" s="9" t="s">
        <v>3290</v>
      </c>
      <c r="C974" s="9" t="s">
        <v>3291</v>
      </c>
      <c r="D974" s="258">
        <v>2.87</v>
      </c>
      <c r="E974" s="259">
        <v>1329</v>
      </c>
      <c r="F974" s="175">
        <v>1265</v>
      </c>
      <c r="G974" s="247">
        <v>0</v>
      </c>
      <c r="H974" s="9">
        <v>0</v>
      </c>
      <c r="I974" s="255">
        <v>0</v>
      </c>
      <c r="J974" s="122" t="b">
        <f>IF(ISBLANK(CertifiedCrop[[#This Row],[1. Identifiant interne d’exploitation agricole*]]),"",IF(ISERROR(MATCH(CertifiedCrop[[#This Row],[1. Identifiant interne d’exploitation agricole*]],GroupMember[1. Identifiant interne d’exploitation agricole*],0)),FALSE,TRUE))</f>
        <v>1</v>
      </c>
      <c r="K974" s="122" t="b">
        <f t="array" ref="K974">IF(ISBLANK(CertifiedCrop[[#This Row],[2. Produit agricole certifié*]]),"",IF(ISERROR(MATCH(1,(#REF!=CertifiedCrop[[#This Row],[2. Produit agricole certifié*]])*(#REF!=CertifiedCrop[[#This Row],[3. Variété**]]),0)),FALSE,TRUE))</f>
        <v>0</v>
      </c>
      <c r="L974" s="20" t="str">
        <f t="shared" si="75"/>
        <v/>
      </c>
      <c r="M974" s="54" t="str">
        <f t="shared" si="76"/>
        <v/>
      </c>
      <c r="N974" s="54" t="str">
        <f t="shared" si="77"/>
        <v/>
      </c>
      <c r="O974" s="55">
        <f t="shared" si="78"/>
        <v>463.0662020905923</v>
      </c>
      <c r="P974" s="55">
        <f t="shared" si="79"/>
        <v>440.76655052264806</v>
      </c>
      <c r="Q974" s="9" t="str">
        <f ca="1">IFERROR((VLOOKUP(A974,GM_Table,8,FALSE)-SUMIFS(D:D,A:A,A974,B:B,B974,C:C,C974)),"")</f>
        <v/>
      </c>
      <c r="R974" s="9" t="str">
        <f ca="1">IFERROR(CONCATENATE(VLOOKUP(A974,GM_Table,12,FALSE)," ",(VLOOKUP(A974,GM_Table,13,FALSE))),"")</f>
        <v/>
      </c>
    </row>
    <row r="975" spans="1:18" ht="15" x14ac:dyDescent="0.2">
      <c r="A975" s="193" t="s">
        <v>3237</v>
      </c>
      <c r="B975" s="9" t="s">
        <v>3290</v>
      </c>
      <c r="C975" s="9" t="s">
        <v>3291</v>
      </c>
      <c r="D975" s="258">
        <v>1.82</v>
      </c>
      <c r="E975" s="259">
        <v>1111</v>
      </c>
      <c r="F975" s="175">
        <v>1087</v>
      </c>
      <c r="G975" s="247">
        <v>0</v>
      </c>
      <c r="H975" s="9">
        <v>0</v>
      </c>
      <c r="I975" s="255">
        <v>0</v>
      </c>
      <c r="J975" s="122" t="b">
        <f>IF(ISBLANK(CertifiedCrop[[#This Row],[1. Identifiant interne d’exploitation agricole*]]),"",IF(ISERROR(MATCH(CertifiedCrop[[#This Row],[1. Identifiant interne d’exploitation agricole*]],GroupMember[1. Identifiant interne d’exploitation agricole*],0)),FALSE,TRUE))</f>
        <v>1</v>
      </c>
      <c r="K975" s="122" t="b">
        <f t="array" ref="K975">IF(ISBLANK(CertifiedCrop[[#This Row],[2. Produit agricole certifié*]]),"",IF(ISERROR(MATCH(1,(#REF!=CertifiedCrop[[#This Row],[2. Produit agricole certifié*]])*(#REF!=CertifiedCrop[[#This Row],[3. Variété**]]),0)),FALSE,TRUE))</f>
        <v>0</v>
      </c>
      <c r="L975" s="20" t="str">
        <f t="shared" si="75"/>
        <v/>
      </c>
      <c r="M975" s="54" t="str">
        <f t="shared" si="76"/>
        <v/>
      </c>
      <c r="N975" s="54" t="str">
        <f t="shared" si="77"/>
        <v/>
      </c>
      <c r="O975" s="55">
        <f t="shared" si="78"/>
        <v>610.43956043956041</v>
      </c>
      <c r="P975" s="55">
        <f t="shared" si="79"/>
        <v>597.25274725274721</v>
      </c>
      <c r="Q975" s="9" t="str">
        <f ca="1">IFERROR((VLOOKUP(A975,GM_Table,8,FALSE)-SUMIFS(D:D,A:A,A975,B:B,B975,C:C,C975)),"")</f>
        <v/>
      </c>
      <c r="R975" s="9" t="str">
        <f ca="1">IFERROR(CONCATENATE(VLOOKUP(A975,GM_Table,12,FALSE)," ",(VLOOKUP(A975,GM_Table,13,FALSE))),"")</f>
        <v/>
      </c>
    </row>
    <row r="976" spans="1:18" ht="15" x14ac:dyDescent="0.2">
      <c r="A976" s="193" t="s">
        <v>3239</v>
      </c>
      <c r="B976" s="9" t="s">
        <v>3290</v>
      </c>
      <c r="C976" s="9" t="s">
        <v>3291</v>
      </c>
      <c r="D976" s="258">
        <v>3.49</v>
      </c>
      <c r="E976" s="259">
        <v>1984</v>
      </c>
      <c r="F976" s="175">
        <v>1879</v>
      </c>
      <c r="G976" s="247">
        <v>0</v>
      </c>
      <c r="H976" s="9">
        <v>0</v>
      </c>
      <c r="I976" s="255">
        <v>0</v>
      </c>
      <c r="J976" s="122" t="b">
        <f>IF(ISBLANK(CertifiedCrop[[#This Row],[1. Identifiant interne d’exploitation agricole*]]),"",IF(ISERROR(MATCH(CertifiedCrop[[#This Row],[1. Identifiant interne d’exploitation agricole*]],GroupMember[1. Identifiant interne d’exploitation agricole*],0)),FALSE,TRUE))</f>
        <v>1</v>
      </c>
      <c r="K976" s="122" t="b">
        <f t="array" ref="K976">IF(ISBLANK(CertifiedCrop[[#This Row],[2. Produit agricole certifié*]]),"",IF(ISERROR(MATCH(1,(#REF!=CertifiedCrop[[#This Row],[2. Produit agricole certifié*]])*(#REF!=CertifiedCrop[[#This Row],[3. Variété**]]),0)),FALSE,TRUE))</f>
        <v>0</v>
      </c>
      <c r="L976" s="20" t="str">
        <f t="shared" si="75"/>
        <v/>
      </c>
      <c r="M976" s="54" t="str">
        <f t="shared" si="76"/>
        <v/>
      </c>
      <c r="N976" s="54" t="str">
        <f t="shared" si="77"/>
        <v/>
      </c>
      <c r="O976" s="55">
        <f t="shared" si="78"/>
        <v>568.48137535816613</v>
      </c>
      <c r="P976" s="55">
        <f t="shared" si="79"/>
        <v>538.39541547277929</v>
      </c>
      <c r="Q976" s="9" t="str">
        <f ca="1">IFERROR((VLOOKUP(A976,GM_Table,8,FALSE)-SUMIFS(D:D,A:A,A976,B:B,B976,C:C,C976)),"")</f>
        <v/>
      </c>
      <c r="R976" s="9" t="str">
        <f ca="1">IFERROR(CONCATENATE(VLOOKUP(A976,GM_Table,12,FALSE)," ",(VLOOKUP(A976,GM_Table,13,FALSE))),"")</f>
        <v/>
      </c>
    </row>
    <row r="977" spans="1:18" ht="15" x14ac:dyDescent="0.2">
      <c r="A977" s="193" t="s">
        <v>3241</v>
      </c>
      <c r="B977" s="9" t="s">
        <v>3290</v>
      </c>
      <c r="C977" s="9" t="s">
        <v>3291</v>
      </c>
      <c r="D977" s="258">
        <v>2.44</v>
      </c>
      <c r="E977" s="259">
        <v>1222</v>
      </c>
      <c r="F977" s="175">
        <v>1187</v>
      </c>
      <c r="G977" s="247">
        <v>0</v>
      </c>
      <c r="H977" s="9">
        <v>0</v>
      </c>
      <c r="I977" s="255">
        <v>0</v>
      </c>
      <c r="J977" s="122" t="b">
        <f>IF(ISBLANK(CertifiedCrop[[#This Row],[1. Identifiant interne d’exploitation agricole*]]),"",IF(ISERROR(MATCH(CertifiedCrop[[#This Row],[1. Identifiant interne d’exploitation agricole*]],GroupMember[1. Identifiant interne d’exploitation agricole*],0)),FALSE,TRUE))</f>
        <v>1</v>
      </c>
      <c r="K977" s="122" t="b">
        <f t="array" ref="K977">IF(ISBLANK(CertifiedCrop[[#This Row],[2. Produit agricole certifié*]]),"",IF(ISERROR(MATCH(1,(#REF!=CertifiedCrop[[#This Row],[2. Produit agricole certifié*]])*(#REF!=CertifiedCrop[[#This Row],[3. Variété**]]),0)),FALSE,TRUE))</f>
        <v>0</v>
      </c>
      <c r="L977" s="20" t="str">
        <f t="shared" si="75"/>
        <v/>
      </c>
      <c r="M977" s="54" t="str">
        <f t="shared" si="76"/>
        <v/>
      </c>
      <c r="N977" s="54" t="str">
        <f t="shared" si="77"/>
        <v/>
      </c>
      <c r="O977" s="55">
        <f t="shared" si="78"/>
        <v>500.81967213114757</v>
      </c>
      <c r="P977" s="55">
        <f t="shared" si="79"/>
        <v>486.47540983606558</v>
      </c>
      <c r="Q977" s="9" t="str">
        <f ca="1">IFERROR((VLOOKUP(A977,GM_Table,8,FALSE)-SUMIFS(D:D,A:A,A977,B:B,B977,C:C,C977)),"")</f>
        <v/>
      </c>
      <c r="R977" s="9" t="str">
        <f ca="1">IFERROR(CONCATENATE(VLOOKUP(A977,GM_Table,12,FALSE)," ",(VLOOKUP(A977,GM_Table,13,FALSE))),"")</f>
        <v/>
      </c>
    </row>
    <row r="978" spans="1:18" ht="15" x14ac:dyDescent="0.2">
      <c r="A978" s="193" t="s">
        <v>3244</v>
      </c>
      <c r="B978" s="9" t="s">
        <v>3290</v>
      </c>
      <c r="C978" s="9" t="s">
        <v>3291</v>
      </c>
      <c r="D978" s="258">
        <v>7.59</v>
      </c>
      <c r="E978" s="259">
        <v>3615</v>
      </c>
      <c r="F978" s="175">
        <v>3562</v>
      </c>
      <c r="G978" s="247">
        <v>0</v>
      </c>
      <c r="H978" s="9">
        <v>0</v>
      </c>
      <c r="I978" s="255">
        <v>0</v>
      </c>
      <c r="J978" s="122" t="b">
        <f>IF(ISBLANK(CertifiedCrop[[#This Row],[1. Identifiant interne d’exploitation agricole*]]),"",IF(ISERROR(MATCH(CertifiedCrop[[#This Row],[1. Identifiant interne d’exploitation agricole*]],GroupMember[1. Identifiant interne d’exploitation agricole*],0)),FALSE,TRUE))</f>
        <v>1</v>
      </c>
      <c r="K978" s="122" t="b">
        <f t="array" ref="K978">IF(ISBLANK(CertifiedCrop[[#This Row],[2. Produit agricole certifié*]]),"",IF(ISERROR(MATCH(1,(#REF!=CertifiedCrop[[#This Row],[2. Produit agricole certifié*]])*(#REF!=CertifiedCrop[[#This Row],[3. Variété**]]),0)),FALSE,TRUE))</f>
        <v>0</v>
      </c>
      <c r="L978" s="20" t="str">
        <f t="shared" si="75"/>
        <v/>
      </c>
      <c r="M978" s="54" t="str">
        <f t="shared" si="76"/>
        <v/>
      </c>
      <c r="N978" s="54" t="str">
        <f t="shared" si="77"/>
        <v/>
      </c>
      <c r="O978" s="55">
        <f t="shared" si="78"/>
        <v>476.28458498023718</v>
      </c>
      <c r="P978" s="55">
        <f t="shared" si="79"/>
        <v>469.30171277997368</v>
      </c>
      <c r="Q978" s="9" t="str">
        <f ca="1">IFERROR((VLOOKUP(A978,GM_Table,8,FALSE)-SUMIFS(D:D,A:A,A978,B:B,B978,C:C,C978)),"")</f>
        <v/>
      </c>
      <c r="R978" s="9" t="str">
        <f ca="1">IFERROR(CONCATENATE(VLOOKUP(A978,GM_Table,12,FALSE)," ",(VLOOKUP(A978,GM_Table,13,FALSE))),"")</f>
        <v/>
      </c>
    </row>
    <row r="979" spans="1:18" ht="15" x14ac:dyDescent="0.2">
      <c r="A979" s="193" t="s">
        <v>3248</v>
      </c>
      <c r="B979" s="9" t="s">
        <v>3290</v>
      </c>
      <c r="C979" s="9" t="s">
        <v>3291</v>
      </c>
      <c r="D979" s="258">
        <v>1.8</v>
      </c>
      <c r="E979" s="259">
        <v>913</v>
      </c>
      <c r="F979" s="175">
        <v>907</v>
      </c>
      <c r="G979" s="247">
        <v>0</v>
      </c>
      <c r="H979" s="9">
        <v>0</v>
      </c>
      <c r="I979" s="255">
        <v>0</v>
      </c>
      <c r="J979" s="122" t="b">
        <f>IF(ISBLANK(CertifiedCrop[[#This Row],[1. Identifiant interne d’exploitation agricole*]]),"",IF(ISERROR(MATCH(CertifiedCrop[[#This Row],[1. Identifiant interne d’exploitation agricole*]],GroupMember[1. Identifiant interne d’exploitation agricole*],0)),FALSE,TRUE))</f>
        <v>1</v>
      </c>
      <c r="K979" s="122" t="b">
        <f t="array" ref="K979">IF(ISBLANK(CertifiedCrop[[#This Row],[2. Produit agricole certifié*]]),"",IF(ISERROR(MATCH(1,(#REF!=CertifiedCrop[[#This Row],[2. Produit agricole certifié*]])*(#REF!=CertifiedCrop[[#This Row],[3. Variété**]]),0)),FALSE,TRUE))</f>
        <v>0</v>
      </c>
      <c r="L979" s="20" t="str">
        <f t="shared" si="75"/>
        <v/>
      </c>
      <c r="M979" s="54" t="str">
        <f t="shared" si="76"/>
        <v/>
      </c>
      <c r="N979" s="54" t="str">
        <f t="shared" si="77"/>
        <v/>
      </c>
      <c r="O979" s="55">
        <f t="shared" si="78"/>
        <v>507.22222222222223</v>
      </c>
      <c r="P979" s="55">
        <f t="shared" si="79"/>
        <v>503.88888888888886</v>
      </c>
      <c r="Q979" s="9" t="str">
        <f ca="1">IFERROR((VLOOKUP(A979,GM_Table,8,FALSE)-SUMIFS(D:D,A:A,A979,B:B,B979,C:C,C979)),"")</f>
        <v/>
      </c>
      <c r="R979" s="9" t="str">
        <f ca="1">IFERROR(CONCATENATE(VLOOKUP(A979,GM_Table,12,FALSE)," ",(VLOOKUP(A979,GM_Table,13,FALSE))),"")</f>
        <v/>
      </c>
    </row>
    <row r="980" spans="1:18" ht="15" x14ac:dyDescent="0.2">
      <c r="A980" s="193" t="s">
        <v>3250</v>
      </c>
      <c r="B980" s="9" t="s">
        <v>3290</v>
      </c>
      <c r="C980" s="9" t="s">
        <v>3291</v>
      </c>
      <c r="D980" s="258">
        <v>1.62</v>
      </c>
      <c r="E980" s="259">
        <v>907</v>
      </c>
      <c r="F980" s="175">
        <v>900</v>
      </c>
      <c r="G980" s="247">
        <v>0</v>
      </c>
      <c r="H980" s="9">
        <v>0</v>
      </c>
      <c r="I980" s="255">
        <v>0</v>
      </c>
      <c r="J980" s="122" t="b">
        <f>IF(ISBLANK(CertifiedCrop[[#This Row],[1. Identifiant interne d’exploitation agricole*]]),"",IF(ISERROR(MATCH(CertifiedCrop[[#This Row],[1. Identifiant interne d’exploitation agricole*]],GroupMember[1. Identifiant interne d’exploitation agricole*],0)),FALSE,TRUE))</f>
        <v>1</v>
      </c>
      <c r="K980" s="122" t="b">
        <f t="array" ref="K980">IF(ISBLANK(CertifiedCrop[[#This Row],[2. Produit agricole certifié*]]),"",IF(ISERROR(MATCH(1,(#REF!=CertifiedCrop[[#This Row],[2. Produit agricole certifié*]])*(#REF!=CertifiedCrop[[#This Row],[3. Variété**]]),0)),FALSE,TRUE))</f>
        <v>0</v>
      </c>
      <c r="L980" s="20" t="str">
        <f t="shared" si="75"/>
        <v/>
      </c>
      <c r="M980" s="54" t="str">
        <f t="shared" si="76"/>
        <v/>
      </c>
      <c r="N980" s="54" t="str">
        <f t="shared" si="77"/>
        <v/>
      </c>
      <c r="O980" s="55">
        <f t="shared" si="78"/>
        <v>559.87654320987656</v>
      </c>
      <c r="P980" s="55">
        <f t="shared" si="79"/>
        <v>555.55555555555554</v>
      </c>
      <c r="Q980" s="9" t="str">
        <f ca="1">IFERROR((VLOOKUP(A980,GM_Table,8,FALSE)-SUMIFS(D:D,A:A,A980,B:B,B980,C:C,C980)),"")</f>
        <v/>
      </c>
      <c r="R980" s="9" t="str">
        <f ca="1">IFERROR(CONCATENATE(VLOOKUP(A980,GM_Table,12,FALSE)," ",(VLOOKUP(A980,GM_Table,13,FALSE))),"")</f>
        <v/>
      </c>
    </row>
    <row r="981" spans="1:18" ht="15" x14ac:dyDescent="0.2">
      <c r="A981" s="193" t="s">
        <v>3253</v>
      </c>
      <c r="B981" s="9" t="s">
        <v>3290</v>
      </c>
      <c r="C981" s="9" t="s">
        <v>3291</v>
      </c>
      <c r="D981" s="258">
        <v>2.67</v>
      </c>
      <c r="E981" s="259">
        <v>1225</v>
      </c>
      <c r="F981" s="175">
        <v>1203</v>
      </c>
      <c r="G981" s="247">
        <v>0</v>
      </c>
      <c r="H981" s="9">
        <v>0</v>
      </c>
      <c r="I981" s="255">
        <v>0</v>
      </c>
      <c r="J981" s="122" t="b">
        <f>IF(ISBLANK(CertifiedCrop[[#This Row],[1. Identifiant interne d’exploitation agricole*]]),"",IF(ISERROR(MATCH(CertifiedCrop[[#This Row],[1. Identifiant interne d’exploitation agricole*]],GroupMember[1. Identifiant interne d’exploitation agricole*],0)),FALSE,TRUE))</f>
        <v>1</v>
      </c>
      <c r="K981" s="122" t="b">
        <f t="array" ref="K981">IF(ISBLANK(CertifiedCrop[[#This Row],[2. Produit agricole certifié*]]),"",IF(ISERROR(MATCH(1,(#REF!=CertifiedCrop[[#This Row],[2. Produit agricole certifié*]])*(#REF!=CertifiedCrop[[#This Row],[3. Variété**]]),0)),FALSE,TRUE))</f>
        <v>0</v>
      </c>
      <c r="L981" s="20" t="str">
        <f t="shared" si="75"/>
        <v/>
      </c>
      <c r="M981" s="54" t="str">
        <f t="shared" si="76"/>
        <v/>
      </c>
      <c r="N981" s="54" t="str">
        <f t="shared" si="77"/>
        <v/>
      </c>
      <c r="O981" s="55">
        <f t="shared" si="78"/>
        <v>458.80149812734084</v>
      </c>
      <c r="P981" s="55">
        <f t="shared" si="79"/>
        <v>450.56179775280901</v>
      </c>
      <c r="Q981" s="9" t="str">
        <f ca="1">IFERROR((VLOOKUP(A981,GM_Table,8,FALSE)-SUMIFS(D:D,A:A,A981,B:B,B981,C:C,C981)),"")</f>
        <v/>
      </c>
      <c r="R981" s="9" t="str">
        <f ca="1">IFERROR(CONCATENATE(VLOOKUP(A981,GM_Table,12,FALSE)," ",(VLOOKUP(A981,GM_Table,13,FALSE))),"")</f>
        <v/>
      </c>
    </row>
    <row r="982" spans="1:18" ht="15" x14ac:dyDescent="0.2">
      <c r="A982" s="205" t="s">
        <v>3255</v>
      </c>
      <c r="B982" s="9" t="s">
        <v>3290</v>
      </c>
      <c r="C982" s="9" t="s">
        <v>3291</v>
      </c>
      <c r="D982" s="258">
        <v>6.26</v>
      </c>
      <c r="E982" s="259">
        <v>3515</v>
      </c>
      <c r="F982" s="175">
        <v>3306</v>
      </c>
      <c r="G982" s="247">
        <v>0</v>
      </c>
      <c r="H982" s="9">
        <v>0</v>
      </c>
      <c r="I982" s="255">
        <v>0</v>
      </c>
      <c r="J982" s="122" t="b">
        <f>IF(ISBLANK(CertifiedCrop[[#This Row],[1. Identifiant interne d’exploitation agricole*]]),"",IF(ISERROR(MATCH(CertifiedCrop[[#This Row],[1. Identifiant interne d’exploitation agricole*]],GroupMember[1. Identifiant interne d’exploitation agricole*],0)),FALSE,TRUE))</f>
        <v>1</v>
      </c>
      <c r="K982" s="122" t="b">
        <f t="array" ref="K982">IF(ISBLANK(CertifiedCrop[[#This Row],[2. Produit agricole certifié*]]),"",IF(ISERROR(MATCH(1,(#REF!=CertifiedCrop[[#This Row],[2. Produit agricole certifié*]])*(#REF!=CertifiedCrop[[#This Row],[3. Variété**]]),0)),FALSE,TRUE))</f>
        <v>0</v>
      </c>
      <c r="L982" s="20" t="str">
        <f t="shared" si="75"/>
        <v/>
      </c>
      <c r="M982" s="54" t="str">
        <f t="shared" si="76"/>
        <v/>
      </c>
      <c r="N982" s="54" t="str">
        <f t="shared" si="77"/>
        <v/>
      </c>
      <c r="O982" s="55">
        <f t="shared" si="78"/>
        <v>561.5015974440895</v>
      </c>
      <c r="P982" s="55">
        <f t="shared" si="79"/>
        <v>528.11501597444089</v>
      </c>
      <c r="Q982" s="9" t="str">
        <f ca="1">IFERROR((VLOOKUP(A982,GM_Table,8,FALSE)-SUMIFS(D:D,A:A,A982,B:B,B982,C:C,C982)),"")</f>
        <v/>
      </c>
      <c r="R982" s="9" t="str">
        <f ca="1">IFERROR(CONCATENATE(VLOOKUP(A982,GM_Table,12,FALSE)," ",(VLOOKUP(A982,GM_Table,13,FALSE))),"")</f>
        <v/>
      </c>
    </row>
    <row r="983" spans="1:18" ht="15" x14ac:dyDescent="0.2">
      <c r="A983" s="205" t="s">
        <v>3256</v>
      </c>
      <c r="B983" s="9" t="s">
        <v>3290</v>
      </c>
      <c r="C983" s="9" t="s">
        <v>3291</v>
      </c>
      <c r="D983" s="258">
        <v>2.75</v>
      </c>
      <c r="E983" s="259">
        <v>1637</v>
      </c>
      <c r="F983" s="175">
        <v>1526</v>
      </c>
      <c r="G983" s="247">
        <v>0</v>
      </c>
      <c r="H983" s="9">
        <v>0</v>
      </c>
      <c r="I983" s="255">
        <v>0</v>
      </c>
      <c r="J983" s="122" t="b">
        <f>IF(ISBLANK(CertifiedCrop[[#This Row],[1. Identifiant interne d’exploitation agricole*]]),"",IF(ISERROR(MATCH(CertifiedCrop[[#This Row],[1. Identifiant interne d’exploitation agricole*]],GroupMember[1. Identifiant interne d’exploitation agricole*],0)),FALSE,TRUE))</f>
        <v>1</v>
      </c>
      <c r="K983" s="122" t="b">
        <f t="array" ref="K983">IF(ISBLANK(CertifiedCrop[[#This Row],[2. Produit agricole certifié*]]),"",IF(ISERROR(MATCH(1,(#REF!=CertifiedCrop[[#This Row],[2. Produit agricole certifié*]])*(#REF!=CertifiedCrop[[#This Row],[3. Variété**]]),0)),FALSE,TRUE))</f>
        <v>0</v>
      </c>
      <c r="L983" s="20" t="str">
        <f t="shared" si="75"/>
        <v/>
      </c>
      <c r="M983" s="54" t="str">
        <f t="shared" si="76"/>
        <v/>
      </c>
      <c r="N983" s="54" t="str">
        <f t="shared" si="77"/>
        <v/>
      </c>
      <c r="O983" s="55">
        <f t="shared" si="78"/>
        <v>595.27272727272725</v>
      </c>
      <c r="P983" s="55">
        <f t="shared" si="79"/>
        <v>554.90909090909088</v>
      </c>
      <c r="Q983" s="9" t="str">
        <f ca="1">IFERROR((VLOOKUP(A983,GM_Table,8,FALSE)-SUMIFS(D:D,A:A,A983,B:B,B983,C:C,C983)),"")</f>
        <v/>
      </c>
      <c r="R983" s="9" t="str">
        <f ca="1">IFERROR(CONCATENATE(VLOOKUP(A983,GM_Table,12,FALSE)," ",(VLOOKUP(A983,GM_Table,13,FALSE))),"")</f>
        <v/>
      </c>
    </row>
    <row r="984" spans="1:18" ht="15" x14ac:dyDescent="0.2">
      <c r="A984" s="205" t="s">
        <v>3258</v>
      </c>
      <c r="B984" s="9" t="s">
        <v>3290</v>
      </c>
      <c r="C984" s="9" t="s">
        <v>3291</v>
      </c>
      <c r="D984" s="263">
        <v>3.5</v>
      </c>
      <c r="E984" s="259">
        <v>2086</v>
      </c>
      <c r="F984" s="175">
        <v>1925</v>
      </c>
      <c r="G984" s="247">
        <v>0</v>
      </c>
      <c r="H984" s="9">
        <v>0</v>
      </c>
      <c r="I984" s="255">
        <v>0</v>
      </c>
      <c r="J984" s="122" t="b">
        <f>IF(ISBLANK(CertifiedCrop[[#This Row],[1. Identifiant interne d’exploitation agricole*]]),"",IF(ISERROR(MATCH(CertifiedCrop[[#This Row],[1. Identifiant interne d’exploitation agricole*]],GroupMember[1. Identifiant interne d’exploitation agricole*],0)),FALSE,TRUE))</f>
        <v>1</v>
      </c>
      <c r="K984" s="122" t="b">
        <f t="array" ref="K984">IF(ISBLANK(CertifiedCrop[[#This Row],[2. Produit agricole certifié*]]),"",IF(ISERROR(MATCH(1,(#REF!=CertifiedCrop[[#This Row],[2. Produit agricole certifié*]])*(#REF!=CertifiedCrop[[#This Row],[3. Variété**]]),0)),FALSE,TRUE))</f>
        <v>0</v>
      </c>
      <c r="L984" s="20" t="str">
        <f t="shared" si="75"/>
        <v/>
      </c>
      <c r="M984" s="54" t="str">
        <f t="shared" si="76"/>
        <v/>
      </c>
      <c r="N984" s="54" t="str">
        <f t="shared" si="77"/>
        <v/>
      </c>
      <c r="O984" s="55">
        <f t="shared" si="78"/>
        <v>596</v>
      </c>
      <c r="P984" s="55">
        <f t="shared" si="79"/>
        <v>550</v>
      </c>
      <c r="Q984" s="9" t="str">
        <f ca="1">IFERROR((VLOOKUP(A984,GM_Table,8,FALSE)-SUMIFS(D:D,A:A,A984,B:B,B984,C:C,C984)),"")</f>
        <v/>
      </c>
      <c r="R984" s="9" t="str">
        <f ca="1">IFERROR(CONCATENATE(VLOOKUP(A984,GM_Table,12,FALSE)," ",(VLOOKUP(A984,GM_Table,13,FALSE))),"")</f>
        <v/>
      </c>
    </row>
    <row r="985" spans="1:18" ht="15" x14ac:dyDescent="0.2">
      <c r="A985" s="205" t="s">
        <v>3259</v>
      </c>
      <c r="B985" s="9" t="s">
        <v>3290</v>
      </c>
      <c r="C985" s="9" t="s">
        <v>3291</v>
      </c>
      <c r="D985" s="258">
        <v>3.81</v>
      </c>
      <c r="E985" s="259">
        <v>2000</v>
      </c>
      <c r="F985" s="175">
        <v>1908</v>
      </c>
      <c r="G985" s="247">
        <v>0</v>
      </c>
      <c r="H985" s="9">
        <v>0</v>
      </c>
      <c r="I985" s="255">
        <v>0</v>
      </c>
      <c r="J985" s="122" t="b">
        <f>IF(ISBLANK(CertifiedCrop[[#This Row],[1. Identifiant interne d’exploitation agricole*]]),"",IF(ISERROR(MATCH(CertifiedCrop[[#This Row],[1. Identifiant interne d’exploitation agricole*]],GroupMember[1. Identifiant interne d’exploitation agricole*],0)),FALSE,TRUE))</f>
        <v>1</v>
      </c>
      <c r="K985" s="122" t="b">
        <f t="array" ref="K985">IF(ISBLANK(CertifiedCrop[[#This Row],[2. Produit agricole certifié*]]),"",IF(ISERROR(MATCH(1,(#REF!=CertifiedCrop[[#This Row],[2. Produit agricole certifié*]])*(#REF!=CertifiedCrop[[#This Row],[3. Variété**]]),0)),FALSE,TRUE))</f>
        <v>0</v>
      </c>
      <c r="L985" s="20" t="str">
        <f t="shared" si="75"/>
        <v/>
      </c>
      <c r="M985" s="54" t="str">
        <f t="shared" si="76"/>
        <v/>
      </c>
      <c r="N985" s="54" t="str">
        <f t="shared" si="77"/>
        <v/>
      </c>
      <c r="O985" s="55">
        <f t="shared" si="78"/>
        <v>524.93438320209975</v>
      </c>
      <c r="P985" s="55">
        <f t="shared" si="79"/>
        <v>500.78740157480314</v>
      </c>
      <c r="Q985" s="9" t="str">
        <f ca="1">IFERROR((VLOOKUP(A985,GM_Table,8,FALSE)-SUMIFS(D:D,A:A,A985,B:B,B985,C:C,C985)),"")</f>
        <v/>
      </c>
      <c r="R985" s="9" t="str">
        <f ca="1">IFERROR(CONCATENATE(VLOOKUP(A985,GM_Table,12,FALSE)," ",(VLOOKUP(A985,GM_Table,13,FALSE))),"")</f>
        <v/>
      </c>
    </row>
    <row r="986" spans="1:18" ht="15" x14ac:dyDescent="0.2">
      <c r="A986" s="205" t="s">
        <v>3260</v>
      </c>
      <c r="B986" s="9" t="s">
        <v>3290</v>
      </c>
      <c r="C986" s="9" t="s">
        <v>3291</v>
      </c>
      <c r="D986" s="258">
        <v>2.48</v>
      </c>
      <c r="E986" s="259">
        <v>1310</v>
      </c>
      <c r="F986" s="175">
        <v>1263</v>
      </c>
      <c r="G986" s="247">
        <v>0</v>
      </c>
      <c r="H986" s="9">
        <v>0</v>
      </c>
      <c r="I986" s="255">
        <v>0</v>
      </c>
      <c r="J986" s="122" t="b">
        <f>IF(ISBLANK(CertifiedCrop[[#This Row],[1. Identifiant interne d’exploitation agricole*]]),"",IF(ISERROR(MATCH(CertifiedCrop[[#This Row],[1. Identifiant interne d’exploitation agricole*]],GroupMember[1. Identifiant interne d’exploitation agricole*],0)),FALSE,TRUE))</f>
        <v>1</v>
      </c>
      <c r="K986" s="122" t="b">
        <f t="array" ref="K986">IF(ISBLANK(CertifiedCrop[[#This Row],[2. Produit agricole certifié*]]),"",IF(ISERROR(MATCH(1,(#REF!=CertifiedCrop[[#This Row],[2. Produit agricole certifié*]])*(#REF!=CertifiedCrop[[#This Row],[3. Variété**]]),0)),FALSE,TRUE))</f>
        <v>0</v>
      </c>
      <c r="L986" s="20" t="str">
        <f t="shared" si="75"/>
        <v/>
      </c>
      <c r="M986" s="54" t="str">
        <f t="shared" si="76"/>
        <v/>
      </c>
      <c r="N986" s="54" t="str">
        <f t="shared" si="77"/>
        <v/>
      </c>
      <c r="O986" s="55">
        <f t="shared" si="78"/>
        <v>528.22580645161293</v>
      </c>
      <c r="P986" s="55">
        <f t="shared" si="79"/>
        <v>509.27419354838707</v>
      </c>
      <c r="Q986" s="9" t="str">
        <f ca="1">IFERROR((VLOOKUP(A986,GM_Table,8,FALSE)-SUMIFS(D:D,A:A,A986,B:B,B986,C:C,C986)),"")</f>
        <v/>
      </c>
      <c r="R986" s="9" t="str">
        <f ca="1">IFERROR(CONCATENATE(VLOOKUP(A986,GM_Table,12,FALSE)," ",(VLOOKUP(A986,GM_Table,13,FALSE))),"")</f>
        <v/>
      </c>
    </row>
    <row r="987" spans="1:18" ht="15" x14ac:dyDescent="0.2">
      <c r="A987" s="205" t="s">
        <v>3261</v>
      </c>
      <c r="B987" s="9" t="s">
        <v>3290</v>
      </c>
      <c r="C987" s="9" t="s">
        <v>3291</v>
      </c>
      <c r="D987" s="258">
        <v>2.67</v>
      </c>
      <c r="E987" s="259">
        <v>1516</v>
      </c>
      <c r="F987" s="175">
        <v>1459</v>
      </c>
      <c r="G987" s="247">
        <v>0</v>
      </c>
      <c r="H987" s="9">
        <v>0</v>
      </c>
      <c r="I987" s="255">
        <v>0</v>
      </c>
      <c r="J987" s="122" t="b">
        <f>IF(ISBLANK(CertifiedCrop[[#This Row],[1. Identifiant interne d’exploitation agricole*]]),"",IF(ISERROR(MATCH(CertifiedCrop[[#This Row],[1. Identifiant interne d’exploitation agricole*]],GroupMember[1. Identifiant interne d’exploitation agricole*],0)),FALSE,TRUE))</f>
        <v>1</v>
      </c>
      <c r="K987" s="122" t="b">
        <f t="array" ref="K987">IF(ISBLANK(CertifiedCrop[[#This Row],[2. Produit agricole certifié*]]),"",IF(ISERROR(MATCH(1,(#REF!=CertifiedCrop[[#This Row],[2. Produit agricole certifié*]])*(#REF!=CertifiedCrop[[#This Row],[3. Variété**]]),0)),FALSE,TRUE))</f>
        <v>0</v>
      </c>
      <c r="L987" s="20" t="str">
        <f t="shared" si="75"/>
        <v/>
      </c>
      <c r="M987" s="54" t="str">
        <f t="shared" si="76"/>
        <v/>
      </c>
      <c r="N987" s="54" t="str">
        <f t="shared" si="77"/>
        <v/>
      </c>
      <c r="O987" s="55">
        <f t="shared" si="78"/>
        <v>567.79026217228466</v>
      </c>
      <c r="P987" s="55">
        <f t="shared" si="79"/>
        <v>546.44194756554305</v>
      </c>
      <c r="Q987" s="9" t="str">
        <f ca="1">IFERROR((VLOOKUP(A987,GM_Table,8,FALSE)-SUMIFS(D:D,A:A,A987,B:B,B987,C:C,C987)),"")</f>
        <v/>
      </c>
      <c r="R987" s="9" t="str">
        <f ca="1">IFERROR(CONCATENATE(VLOOKUP(A987,GM_Table,12,FALSE)," ",(VLOOKUP(A987,GM_Table,13,FALSE))),"")</f>
        <v/>
      </c>
    </row>
    <row r="988" spans="1:18" ht="15" x14ac:dyDescent="0.2">
      <c r="A988" s="205" t="s">
        <v>3262</v>
      </c>
      <c r="B988" s="9" t="s">
        <v>3290</v>
      </c>
      <c r="C988" s="9" t="s">
        <v>3291</v>
      </c>
      <c r="D988" s="258">
        <v>2.59</v>
      </c>
      <c r="E988" s="259">
        <v>1370</v>
      </c>
      <c r="F988" s="175">
        <v>1326</v>
      </c>
      <c r="G988" s="247">
        <v>0</v>
      </c>
      <c r="H988" s="9">
        <v>0</v>
      </c>
      <c r="I988" s="255">
        <v>0</v>
      </c>
      <c r="J988" s="122" t="b">
        <f>IF(ISBLANK(CertifiedCrop[[#This Row],[1. Identifiant interne d’exploitation agricole*]]),"",IF(ISERROR(MATCH(CertifiedCrop[[#This Row],[1. Identifiant interne d’exploitation agricole*]],GroupMember[1. Identifiant interne d’exploitation agricole*],0)),FALSE,TRUE))</f>
        <v>1</v>
      </c>
      <c r="K988" s="122" t="b">
        <f t="array" ref="K988">IF(ISBLANK(CertifiedCrop[[#This Row],[2. Produit agricole certifié*]]),"",IF(ISERROR(MATCH(1,(#REF!=CertifiedCrop[[#This Row],[2. Produit agricole certifié*]])*(#REF!=CertifiedCrop[[#This Row],[3. Variété**]]),0)),FALSE,TRUE))</f>
        <v>0</v>
      </c>
      <c r="L988" s="20" t="str">
        <f t="shared" si="75"/>
        <v/>
      </c>
      <c r="M988" s="54" t="str">
        <f t="shared" si="76"/>
        <v/>
      </c>
      <c r="N988" s="54" t="str">
        <f t="shared" si="77"/>
        <v/>
      </c>
      <c r="O988" s="55">
        <f t="shared" si="78"/>
        <v>528.95752895752901</v>
      </c>
      <c r="P988" s="55">
        <f t="shared" si="79"/>
        <v>511.96911196911202</v>
      </c>
      <c r="Q988" s="9" t="str">
        <f ca="1">IFERROR((VLOOKUP(A988,GM_Table,8,FALSE)-SUMIFS(D:D,A:A,A988,B:B,B988,C:C,C988)),"")</f>
        <v/>
      </c>
      <c r="R988" s="9" t="str">
        <f ca="1">IFERROR(CONCATENATE(VLOOKUP(A988,GM_Table,12,FALSE)," ",(VLOOKUP(A988,GM_Table,13,FALSE))),"")</f>
        <v/>
      </c>
    </row>
    <row r="989" spans="1:18" ht="15" x14ac:dyDescent="0.2">
      <c r="A989" s="205" t="s">
        <v>3264</v>
      </c>
      <c r="B989" s="9" t="s">
        <v>3290</v>
      </c>
      <c r="C989" s="9" t="s">
        <v>3291</v>
      </c>
      <c r="D989" s="258">
        <v>1.4</v>
      </c>
      <c r="E989" s="259">
        <v>799</v>
      </c>
      <c r="F989" s="175">
        <v>759</v>
      </c>
      <c r="G989" s="247">
        <v>0</v>
      </c>
      <c r="H989" s="9">
        <v>0</v>
      </c>
      <c r="I989" s="255">
        <v>0</v>
      </c>
      <c r="J989" s="122" t="b">
        <f>IF(ISBLANK(CertifiedCrop[[#This Row],[1. Identifiant interne d’exploitation agricole*]]),"",IF(ISERROR(MATCH(CertifiedCrop[[#This Row],[1. Identifiant interne d’exploitation agricole*]],GroupMember[1. Identifiant interne d’exploitation agricole*],0)),FALSE,TRUE))</f>
        <v>1</v>
      </c>
      <c r="K989" s="122" t="b">
        <f t="array" ref="K989">IF(ISBLANK(CertifiedCrop[[#This Row],[2. Produit agricole certifié*]]),"",IF(ISERROR(MATCH(1,(#REF!=CertifiedCrop[[#This Row],[2. Produit agricole certifié*]])*(#REF!=CertifiedCrop[[#This Row],[3. Variété**]]),0)),FALSE,TRUE))</f>
        <v>0</v>
      </c>
      <c r="L989" s="20" t="str">
        <f t="shared" si="75"/>
        <v/>
      </c>
      <c r="M989" s="54" t="str">
        <f t="shared" si="76"/>
        <v/>
      </c>
      <c r="N989" s="54" t="str">
        <f t="shared" si="77"/>
        <v/>
      </c>
      <c r="O989" s="55">
        <f t="shared" si="78"/>
        <v>570.71428571428578</v>
      </c>
      <c r="P989" s="55">
        <f t="shared" si="79"/>
        <v>542.14285714285722</v>
      </c>
      <c r="Q989" s="9" t="str">
        <f ca="1">IFERROR((VLOOKUP(A989,GM_Table,8,FALSE)-SUMIFS(D:D,A:A,A989,B:B,B989,C:C,C989)),"")</f>
        <v/>
      </c>
      <c r="R989" s="9" t="str">
        <f ca="1">IFERROR(CONCATENATE(VLOOKUP(A989,GM_Table,12,FALSE)," ",(VLOOKUP(A989,GM_Table,13,FALSE))),"")</f>
        <v/>
      </c>
    </row>
    <row r="990" spans="1:18" ht="15" x14ac:dyDescent="0.2">
      <c r="A990" s="205" t="s">
        <v>3267</v>
      </c>
      <c r="B990" s="9" t="s">
        <v>3290</v>
      </c>
      <c r="C990" s="9" t="s">
        <v>3291</v>
      </c>
      <c r="D990" s="258">
        <v>0.98</v>
      </c>
      <c r="E990" s="259">
        <v>530</v>
      </c>
      <c r="F990" s="175">
        <v>518</v>
      </c>
      <c r="G990" s="247">
        <v>0</v>
      </c>
      <c r="H990" s="9">
        <v>0</v>
      </c>
      <c r="I990" s="255">
        <v>0</v>
      </c>
      <c r="J990" s="122" t="b">
        <f>IF(ISBLANK(CertifiedCrop[[#This Row],[1. Identifiant interne d’exploitation agricole*]]),"",IF(ISERROR(MATCH(CertifiedCrop[[#This Row],[1. Identifiant interne d’exploitation agricole*]],GroupMember[1. Identifiant interne d’exploitation agricole*],0)),FALSE,TRUE))</f>
        <v>1</v>
      </c>
      <c r="K990" s="122" t="b">
        <f t="array" ref="K990">IF(ISBLANK(CertifiedCrop[[#This Row],[2. Produit agricole certifié*]]),"",IF(ISERROR(MATCH(1,(#REF!=CertifiedCrop[[#This Row],[2. Produit agricole certifié*]])*(#REF!=CertifiedCrop[[#This Row],[3. Variété**]]),0)),FALSE,TRUE))</f>
        <v>0</v>
      </c>
      <c r="L990" s="20" t="str">
        <f t="shared" si="75"/>
        <v/>
      </c>
      <c r="M990" s="54" t="str">
        <f t="shared" si="76"/>
        <v/>
      </c>
      <c r="N990" s="54" t="str">
        <f t="shared" si="77"/>
        <v/>
      </c>
      <c r="O990" s="55">
        <f t="shared" si="78"/>
        <v>540.81632653061229</v>
      </c>
      <c r="P990" s="55">
        <f t="shared" si="79"/>
        <v>528.57142857142856</v>
      </c>
      <c r="Q990" s="9" t="str">
        <f ca="1">IFERROR((VLOOKUP(A990,GM_Table,8,FALSE)-SUMIFS(D:D,A:A,A990,B:B,B990,C:C,C990)),"")</f>
        <v/>
      </c>
      <c r="R990" s="9" t="str">
        <f ca="1">IFERROR(CONCATENATE(VLOOKUP(A990,GM_Table,12,FALSE)," ",(VLOOKUP(A990,GM_Table,13,FALSE))),"")</f>
        <v/>
      </c>
    </row>
    <row r="991" spans="1:18" ht="15" x14ac:dyDescent="0.2">
      <c r="A991" s="205" t="s">
        <v>3270</v>
      </c>
      <c r="B991" s="9" t="s">
        <v>3290</v>
      </c>
      <c r="C991" s="9" t="s">
        <v>3291</v>
      </c>
      <c r="D991" s="258">
        <v>0.66</v>
      </c>
      <c r="E991" s="259">
        <v>330</v>
      </c>
      <c r="F991" s="175">
        <v>325</v>
      </c>
      <c r="G991" s="247">
        <v>0</v>
      </c>
      <c r="H991" s="9">
        <v>0</v>
      </c>
      <c r="I991" s="255">
        <v>0</v>
      </c>
      <c r="J991" s="122" t="b">
        <f>IF(ISBLANK(CertifiedCrop[[#This Row],[1. Identifiant interne d’exploitation agricole*]]),"",IF(ISERROR(MATCH(CertifiedCrop[[#This Row],[1. Identifiant interne d’exploitation agricole*]],GroupMember[1. Identifiant interne d’exploitation agricole*],0)),FALSE,TRUE))</f>
        <v>1</v>
      </c>
      <c r="K991" s="122" t="b">
        <f t="array" ref="K991">IF(ISBLANK(CertifiedCrop[[#This Row],[2. Produit agricole certifié*]]),"",IF(ISERROR(MATCH(1,(#REF!=CertifiedCrop[[#This Row],[2. Produit agricole certifié*]])*(#REF!=CertifiedCrop[[#This Row],[3. Variété**]]),0)),FALSE,TRUE))</f>
        <v>0</v>
      </c>
      <c r="L991" s="20" t="str">
        <f t="shared" si="75"/>
        <v/>
      </c>
      <c r="M991" s="54" t="str">
        <f t="shared" si="76"/>
        <v/>
      </c>
      <c r="N991" s="54" t="str">
        <f t="shared" si="77"/>
        <v/>
      </c>
      <c r="O991" s="55">
        <f t="shared" si="78"/>
        <v>500</v>
      </c>
      <c r="P991" s="55">
        <f t="shared" si="79"/>
        <v>492.42424242424238</v>
      </c>
      <c r="Q991" s="9" t="str">
        <f ca="1">IFERROR((VLOOKUP(A991,GM_Table,8,FALSE)-SUMIFS(D:D,A:A,A991,B:B,B991,C:C,C991)),"")</f>
        <v/>
      </c>
      <c r="R991" s="9" t="str">
        <f ca="1">IFERROR(CONCATENATE(VLOOKUP(A991,GM_Table,12,FALSE)," ",(VLOOKUP(A991,GM_Table,13,FALSE))),"")</f>
        <v/>
      </c>
    </row>
    <row r="992" spans="1:18" ht="15" x14ac:dyDescent="0.2">
      <c r="A992" s="205" t="s">
        <v>3273</v>
      </c>
      <c r="B992" s="9" t="s">
        <v>3290</v>
      </c>
      <c r="C992" s="9" t="s">
        <v>3291</v>
      </c>
      <c r="D992" s="258">
        <v>1.95</v>
      </c>
      <c r="E992" s="259">
        <v>1014</v>
      </c>
      <c r="F992" s="175">
        <v>1048</v>
      </c>
      <c r="G992" s="247">
        <v>0</v>
      </c>
      <c r="H992" s="9">
        <v>0</v>
      </c>
      <c r="I992" s="255">
        <v>0</v>
      </c>
      <c r="J992" s="122" t="b">
        <f>IF(ISBLANK(CertifiedCrop[[#This Row],[1. Identifiant interne d’exploitation agricole*]]),"",IF(ISERROR(MATCH(CertifiedCrop[[#This Row],[1. Identifiant interne d’exploitation agricole*]],GroupMember[1. Identifiant interne d’exploitation agricole*],0)),FALSE,TRUE))</f>
        <v>1</v>
      </c>
      <c r="K992" s="122" t="b">
        <f t="array" ref="K992">IF(ISBLANK(CertifiedCrop[[#This Row],[2. Produit agricole certifié*]]),"",IF(ISERROR(MATCH(1,(#REF!=CertifiedCrop[[#This Row],[2. Produit agricole certifié*]])*(#REF!=CertifiedCrop[[#This Row],[3. Variété**]]),0)),FALSE,TRUE))</f>
        <v>0</v>
      </c>
      <c r="L992" s="20" t="str">
        <f t="shared" si="75"/>
        <v/>
      </c>
      <c r="M992" s="54" t="str">
        <f t="shared" si="76"/>
        <v/>
      </c>
      <c r="N992" s="54" t="str">
        <f t="shared" si="77"/>
        <v/>
      </c>
      <c r="O992" s="55">
        <f t="shared" si="78"/>
        <v>520</v>
      </c>
      <c r="P992" s="55">
        <f t="shared" si="79"/>
        <v>537.43589743589746</v>
      </c>
      <c r="Q992" s="9" t="str">
        <f ca="1">IFERROR((VLOOKUP(A992,GM_Table,8,FALSE)-SUMIFS(D:D,A:A,A992,B:B,B992,C:C,C992)),"")</f>
        <v/>
      </c>
      <c r="R992" s="9" t="str">
        <f ca="1">IFERROR(CONCATENATE(VLOOKUP(A992,GM_Table,12,FALSE)," ",(VLOOKUP(A992,GM_Table,13,FALSE))),"")</f>
        <v/>
      </c>
    </row>
    <row r="993" spans="1:18" ht="15" x14ac:dyDescent="0.2">
      <c r="A993" s="205" t="s">
        <v>3275</v>
      </c>
      <c r="B993" s="9" t="s">
        <v>3290</v>
      </c>
      <c r="C993" s="9" t="s">
        <v>3291</v>
      </c>
      <c r="D993" s="263">
        <v>1.6</v>
      </c>
      <c r="E993" s="259">
        <v>950</v>
      </c>
      <c r="F993" s="175">
        <v>927</v>
      </c>
      <c r="G993" s="247">
        <v>0</v>
      </c>
      <c r="H993" s="9">
        <v>0</v>
      </c>
      <c r="I993" s="255">
        <v>0</v>
      </c>
      <c r="J993" s="122" t="b">
        <f>IF(ISBLANK(CertifiedCrop[[#This Row],[1. Identifiant interne d’exploitation agricole*]]),"",IF(ISERROR(MATCH(CertifiedCrop[[#This Row],[1. Identifiant interne d’exploitation agricole*]],GroupMember[1. Identifiant interne d’exploitation agricole*],0)),FALSE,TRUE))</f>
        <v>1</v>
      </c>
      <c r="K993" s="122" t="b">
        <f t="array" ref="K993">IF(ISBLANK(CertifiedCrop[[#This Row],[2. Produit agricole certifié*]]),"",IF(ISERROR(MATCH(1,(#REF!=CertifiedCrop[[#This Row],[2. Produit agricole certifié*]])*(#REF!=CertifiedCrop[[#This Row],[3. Variété**]]),0)),FALSE,TRUE))</f>
        <v>0</v>
      </c>
      <c r="L993" s="20" t="str">
        <f t="shared" si="75"/>
        <v/>
      </c>
      <c r="M993" s="54" t="str">
        <f t="shared" si="76"/>
        <v/>
      </c>
      <c r="N993" s="54" t="str">
        <f t="shared" si="77"/>
        <v/>
      </c>
      <c r="O993" s="55">
        <f t="shared" si="78"/>
        <v>593.75</v>
      </c>
      <c r="P993" s="55">
        <f t="shared" si="79"/>
        <v>579.375</v>
      </c>
      <c r="Q993" s="9" t="str">
        <f ca="1">IFERROR((VLOOKUP(A993,GM_Table,8,FALSE)-SUMIFS(D:D,A:A,A993,B:B,B993,C:C,C993)),"")</f>
        <v/>
      </c>
      <c r="R993" s="9" t="str">
        <f ca="1">IFERROR(CONCATENATE(VLOOKUP(A993,GM_Table,12,FALSE)," ",(VLOOKUP(A993,GM_Table,13,FALSE))),"")</f>
        <v/>
      </c>
    </row>
    <row r="994" spans="1:18" ht="15" x14ac:dyDescent="0.2">
      <c r="A994" s="205" t="s">
        <v>3277</v>
      </c>
      <c r="B994" s="9" t="s">
        <v>3290</v>
      </c>
      <c r="C994" s="9" t="s">
        <v>3291</v>
      </c>
      <c r="D994" s="258">
        <v>7.0750000000000002</v>
      </c>
      <c r="E994" s="259">
        <v>3516</v>
      </c>
      <c r="F994" s="175">
        <v>3415</v>
      </c>
      <c r="G994" s="247">
        <v>0</v>
      </c>
      <c r="H994" s="9">
        <v>0</v>
      </c>
      <c r="I994" s="255">
        <v>0</v>
      </c>
      <c r="J994" s="122" t="b">
        <f>IF(ISBLANK(CertifiedCrop[[#This Row],[1. Identifiant interne d’exploitation agricole*]]),"",IF(ISERROR(MATCH(CertifiedCrop[[#This Row],[1. Identifiant interne d’exploitation agricole*]],GroupMember[1. Identifiant interne d’exploitation agricole*],0)),FALSE,TRUE))</f>
        <v>1</v>
      </c>
      <c r="K994" s="122" t="b">
        <f t="array" ref="K994">IF(ISBLANK(CertifiedCrop[[#This Row],[2. Produit agricole certifié*]]),"",IF(ISERROR(MATCH(1,(#REF!=CertifiedCrop[[#This Row],[2. Produit agricole certifié*]])*(#REF!=CertifiedCrop[[#This Row],[3. Variété**]]),0)),FALSE,TRUE))</f>
        <v>0</v>
      </c>
      <c r="L994" s="20" t="str">
        <f t="shared" si="75"/>
        <v/>
      </c>
      <c r="M994" s="54" t="str">
        <f t="shared" si="76"/>
        <v/>
      </c>
      <c r="N994" s="54" t="str">
        <f t="shared" si="77"/>
        <v/>
      </c>
      <c r="O994" s="55">
        <f t="shared" si="78"/>
        <v>496.96113074204948</v>
      </c>
      <c r="P994" s="55">
        <f t="shared" si="79"/>
        <v>482.68551236749113</v>
      </c>
      <c r="Q994" s="9" t="str">
        <f ca="1">IFERROR((VLOOKUP(A994,GM_Table,8,FALSE)-SUMIFS(D:D,A:A,A994,B:B,B994,C:C,C994)),"")</f>
        <v/>
      </c>
      <c r="R994" s="9" t="str">
        <f ca="1">IFERROR(CONCATENATE(VLOOKUP(A994,GM_Table,12,FALSE)," ",(VLOOKUP(A994,GM_Table,13,FALSE))),"")</f>
        <v/>
      </c>
    </row>
    <row r="995" spans="1:18" ht="15" x14ac:dyDescent="0.2">
      <c r="A995" s="205" t="s">
        <v>3278</v>
      </c>
      <c r="B995" s="9" t="s">
        <v>3290</v>
      </c>
      <c r="C995" s="9" t="s">
        <v>3291</v>
      </c>
      <c r="D995" s="258">
        <v>1.22</v>
      </c>
      <c r="E995" s="259">
        <v>637</v>
      </c>
      <c r="F995" s="175">
        <v>621</v>
      </c>
      <c r="G995" s="247">
        <v>0</v>
      </c>
      <c r="H995" s="9">
        <v>0</v>
      </c>
      <c r="I995" s="255">
        <v>0</v>
      </c>
      <c r="J995" s="122" t="b">
        <f>IF(ISBLANK(CertifiedCrop[[#This Row],[1. Identifiant interne d’exploitation agricole*]]),"",IF(ISERROR(MATCH(CertifiedCrop[[#This Row],[1. Identifiant interne d’exploitation agricole*]],GroupMember[1. Identifiant interne d’exploitation agricole*],0)),FALSE,TRUE))</f>
        <v>1</v>
      </c>
      <c r="K995" s="122" t="b">
        <f t="array" ref="K995">IF(ISBLANK(CertifiedCrop[[#This Row],[2. Produit agricole certifié*]]),"",IF(ISERROR(MATCH(1,(#REF!=CertifiedCrop[[#This Row],[2. Produit agricole certifié*]])*(#REF!=CertifiedCrop[[#This Row],[3. Variété**]]),0)),FALSE,TRUE))</f>
        <v>0</v>
      </c>
      <c r="L995" s="20" t="str">
        <f t="shared" si="75"/>
        <v/>
      </c>
      <c r="M995" s="54" t="str">
        <f t="shared" si="76"/>
        <v/>
      </c>
      <c r="N995" s="54" t="str">
        <f t="shared" si="77"/>
        <v/>
      </c>
      <c r="O995" s="55">
        <f t="shared" si="78"/>
        <v>522.13114754098365</v>
      </c>
      <c r="P995" s="55">
        <f t="shared" si="79"/>
        <v>509.01639344262298</v>
      </c>
      <c r="Q995" s="9" t="str">
        <f ca="1">IFERROR((VLOOKUP(A995,GM_Table,8,FALSE)-SUMIFS(D:D,A:A,A995,B:B,B995,C:C,C995)),"")</f>
        <v/>
      </c>
      <c r="R995" s="9" t="str">
        <f ca="1">IFERROR(CONCATENATE(VLOOKUP(A995,GM_Table,12,FALSE)," ",(VLOOKUP(A995,GM_Table,13,FALSE))),"")</f>
        <v/>
      </c>
    </row>
    <row r="996" spans="1:18" ht="15" x14ac:dyDescent="0.2">
      <c r="A996" s="205" t="s">
        <v>3281</v>
      </c>
      <c r="B996" s="9" t="s">
        <v>3290</v>
      </c>
      <c r="C996" s="9" t="s">
        <v>3291</v>
      </c>
      <c r="D996" s="258">
        <v>3.07</v>
      </c>
      <c r="E996" s="259">
        <v>1637</v>
      </c>
      <c r="F996" s="175">
        <v>1548</v>
      </c>
      <c r="G996" s="247">
        <v>0</v>
      </c>
      <c r="H996" s="9">
        <v>0</v>
      </c>
      <c r="I996" s="255">
        <v>0</v>
      </c>
      <c r="J996" s="122" t="b">
        <f>IF(ISBLANK(CertifiedCrop[[#This Row],[1. Identifiant interne d’exploitation agricole*]]),"",IF(ISERROR(MATCH(CertifiedCrop[[#This Row],[1. Identifiant interne d’exploitation agricole*]],GroupMember[1. Identifiant interne d’exploitation agricole*],0)),FALSE,TRUE))</f>
        <v>1</v>
      </c>
      <c r="K996" s="122" t="b">
        <f t="array" ref="K996">IF(ISBLANK(CertifiedCrop[[#This Row],[2. Produit agricole certifié*]]),"",IF(ISERROR(MATCH(1,(#REF!=CertifiedCrop[[#This Row],[2. Produit agricole certifié*]])*(#REF!=CertifiedCrop[[#This Row],[3. Variété**]]),0)),FALSE,TRUE))</f>
        <v>0</v>
      </c>
      <c r="L996" s="20" t="str">
        <f t="shared" si="75"/>
        <v/>
      </c>
      <c r="M996" s="54" t="str">
        <f t="shared" si="76"/>
        <v/>
      </c>
      <c r="N996" s="54" t="str">
        <f t="shared" si="77"/>
        <v/>
      </c>
      <c r="O996" s="55">
        <f t="shared" si="78"/>
        <v>533.22475570032577</v>
      </c>
      <c r="P996" s="55">
        <f t="shared" si="79"/>
        <v>504.23452768729646</v>
      </c>
      <c r="Q996" s="9" t="str">
        <f ca="1">IFERROR((VLOOKUP(A996,GM_Table,8,FALSE)-SUMIFS(D:D,A:A,A996,B:B,B996,C:C,C996)),"")</f>
        <v/>
      </c>
      <c r="R996" s="9" t="str">
        <f ca="1">IFERROR(CONCATENATE(VLOOKUP(A996,GM_Table,12,FALSE)," ",(VLOOKUP(A996,GM_Table,13,FALSE))),"")</f>
        <v/>
      </c>
    </row>
    <row r="997" spans="1:18" ht="15" x14ac:dyDescent="0.2">
      <c r="A997" s="205" t="s">
        <v>3282</v>
      </c>
      <c r="B997" s="9" t="s">
        <v>3290</v>
      </c>
      <c r="C997" s="9" t="s">
        <v>3291</v>
      </c>
      <c r="D997" s="258">
        <v>2.15</v>
      </c>
      <c r="E997" s="259">
        <v>1174</v>
      </c>
      <c r="F997" s="175">
        <v>1108</v>
      </c>
      <c r="G997" s="247">
        <v>0</v>
      </c>
      <c r="H997" s="9">
        <v>0</v>
      </c>
      <c r="I997" s="255">
        <v>0</v>
      </c>
      <c r="J997" s="122" t="b">
        <f>IF(ISBLANK(CertifiedCrop[[#This Row],[1. Identifiant interne d’exploitation agricole*]]),"",IF(ISERROR(MATCH(CertifiedCrop[[#This Row],[1. Identifiant interne d’exploitation agricole*]],GroupMember[1. Identifiant interne d’exploitation agricole*],0)),FALSE,TRUE))</f>
        <v>1</v>
      </c>
      <c r="K997" s="122" t="b">
        <f t="array" ref="K997">IF(ISBLANK(CertifiedCrop[[#This Row],[2. Produit agricole certifié*]]),"",IF(ISERROR(MATCH(1,(#REF!=CertifiedCrop[[#This Row],[2. Produit agricole certifié*]])*(#REF!=CertifiedCrop[[#This Row],[3. Variété**]]),0)),FALSE,TRUE))</f>
        <v>0</v>
      </c>
      <c r="L997" s="20" t="str">
        <f t="shared" si="75"/>
        <v/>
      </c>
      <c r="M997" s="54" t="str">
        <f t="shared" si="76"/>
        <v/>
      </c>
      <c r="N997" s="54" t="str">
        <f t="shared" si="77"/>
        <v/>
      </c>
      <c r="O997" s="55">
        <f t="shared" si="78"/>
        <v>546.04651162790697</v>
      </c>
      <c r="P997" s="55">
        <f t="shared" si="79"/>
        <v>515.34883720930236</v>
      </c>
      <c r="Q997" s="9" t="str">
        <f ca="1">IFERROR((VLOOKUP(A997,GM_Table,8,FALSE)-SUMIFS(D:D,A:A,A997,B:B,B997,C:C,C997)),"")</f>
        <v/>
      </c>
      <c r="R997" s="9" t="str">
        <f ca="1">IFERROR(CONCATENATE(VLOOKUP(A997,GM_Table,12,FALSE)," ",(VLOOKUP(A997,GM_Table,13,FALSE))),"")</f>
        <v/>
      </c>
    </row>
    <row r="998" spans="1:18" ht="15" x14ac:dyDescent="0.2">
      <c r="A998" s="205" t="s">
        <v>3284</v>
      </c>
      <c r="B998" s="9" t="s">
        <v>3290</v>
      </c>
      <c r="C998" s="9" t="s">
        <v>3291</v>
      </c>
      <c r="D998" s="261">
        <v>3.67</v>
      </c>
      <c r="E998" s="259">
        <v>1926</v>
      </c>
      <c r="F998" s="175">
        <v>1859</v>
      </c>
      <c r="G998" s="247">
        <v>0</v>
      </c>
      <c r="H998" s="9">
        <v>0</v>
      </c>
      <c r="I998" s="255">
        <v>0</v>
      </c>
      <c r="J998" s="122" t="b">
        <f>IF(ISBLANK(CertifiedCrop[[#This Row],[1. Identifiant interne d’exploitation agricole*]]),"",IF(ISERROR(MATCH(CertifiedCrop[[#This Row],[1. Identifiant interne d’exploitation agricole*]],GroupMember[1. Identifiant interne d’exploitation agricole*],0)),FALSE,TRUE))</f>
        <v>1</v>
      </c>
      <c r="K998" s="122" t="b">
        <f t="array" ref="K998">IF(ISBLANK(CertifiedCrop[[#This Row],[2. Produit agricole certifié*]]),"",IF(ISERROR(MATCH(1,(#REF!=CertifiedCrop[[#This Row],[2. Produit agricole certifié*]])*(#REF!=CertifiedCrop[[#This Row],[3. Variété**]]),0)),FALSE,TRUE))</f>
        <v>0</v>
      </c>
      <c r="L998" s="20" t="str">
        <f t="shared" si="75"/>
        <v/>
      </c>
      <c r="M998" s="54" t="str">
        <f t="shared" si="76"/>
        <v/>
      </c>
      <c r="N998" s="54" t="str">
        <f t="shared" si="77"/>
        <v/>
      </c>
      <c r="O998" s="55">
        <f t="shared" si="78"/>
        <v>524.79564032697544</v>
      </c>
      <c r="P998" s="55">
        <f t="shared" si="79"/>
        <v>506.53950953678475</v>
      </c>
      <c r="Q998" s="9" t="str">
        <f ca="1">IFERROR((VLOOKUP(A998,GM_Table,8,FALSE)-SUMIFS(D:D,A:A,A998,B:B,B998,C:C,C998)),"")</f>
        <v/>
      </c>
      <c r="R998" s="9" t="str">
        <f ca="1">IFERROR(CONCATENATE(VLOOKUP(A998,GM_Table,12,FALSE)," ",(VLOOKUP(A998,GM_Table,13,FALSE))),"")</f>
        <v/>
      </c>
    </row>
    <row r="999" spans="1:18" ht="15" x14ac:dyDescent="0.2">
      <c r="A999" s="205" t="s">
        <v>3286</v>
      </c>
      <c r="B999" s="9" t="s">
        <v>3290</v>
      </c>
      <c r="C999" s="9" t="s">
        <v>3291</v>
      </c>
      <c r="D999" s="258">
        <v>6.24</v>
      </c>
      <c r="E999" s="259">
        <v>3684</v>
      </c>
      <c r="F999" s="175">
        <v>3562</v>
      </c>
      <c r="G999" s="247">
        <v>0</v>
      </c>
      <c r="H999" s="9">
        <v>0</v>
      </c>
      <c r="I999" s="255">
        <v>0</v>
      </c>
      <c r="J999" s="122" t="b">
        <f>IF(ISBLANK(CertifiedCrop[[#This Row],[1. Identifiant interne d’exploitation agricole*]]),"",IF(ISERROR(MATCH(CertifiedCrop[[#This Row],[1. Identifiant interne d’exploitation agricole*]],GroupMember[1. Identifiant interne d’exploitation agricole*],0)),FALSE,TRUE))</f>
        <v>1</v>
      </c>
      <c r="K999" s="122" t="b">
        <f t="array" ref="K999">IF(ISBLANK(CertifiedCrop[[#This Row],[2. Produit agricole certifié*]]),"",IF(ISERROR(MATCH(1,(#REF!=CertifiedCrop[[#This Row],[2. Produit agricole certifié*]])*(#REF!=CertifiedCrop[[#This Row],[3. Variété**]]),0)),FALSE,TRUE))</f>
        <v>0</v>
      </c>
      <c r="L999" s="20" t="str">
        <f t="shared" si="75"/>
        <v/>
      </c>
      <c r="M999" s="54" t="str">
        <f t="shared" si="76"/>
        <v/>
      </c>
      <c r="N999" s="54" t="str">
        <f t="shared" si="77"/>
        <v/>
      </c>
      <c r="O999" s="55">
        <f t="shared" si="78"/>
        <v>590.38461538461536</v>
      </c>
      <c r="P999" s="55">
        <f t="shared" si="79"/>
        <v>570.83333333333326</v>
      </c>
      <c r="Q999" s="9" t="str">
        <f ca="1">IFERROR((VLOOKUP(A999,GM_Table,8,FALSE)-SUMIFS(D:D,A:A,A999,B:B,B999,C:C,C999)),"")</f>
        <v/>
      </c>
      <c r="R999" s="9" t="str">
        <f ca="1">IFERROR(CONCATENATE(VLOOKUP(A999,GM_Table,12,FALSE)," ",(VLOOKUP(A999,GM_Table,13,FALSE))),"")</f>
        <v/>
      </c>
    </row>
    <row r="1000" spans="1:18" ht="15" x14ac:dyDescent="0.2">
      <c r="A1000" s="205" t="s">
        <v>3287</v>
      </c>
      <c r="B1000" s="9" t="s">
        <v>3290</v>
      </c>
      <c r="C1000" s="9" t="s">
        <v>3291</v>
      </c>
      <c r="D1000" s="258">
        <v>2.2599999999999998</v>
      </c>
      <c r="E1000" s="259">
        <v>1257</v>
      </c>
      <c r="F1000" s="175">
        <v>1204</v>
      </c>
      <c r="G1000" s="247">
        <v>0</v>
      </c>
      <c r="H1000" s="9">
        <v>0</v>
      </c>
      <c r="I1000" s="255">
        <v>0</v>
      </c>
      <c r="J1000" s="122" t="b">
        <f>IF(ISBLANK(CertifiedCrop[[#This Row],[1. Identifiant interne d’exploitation agricole*]]),"",IF(ISERROR(MATCH(CertifiedCrop[[#This Row],[1. Identifiant interne d’exploitation agricole*]],GroupMember[1. Identifiant interne d’exploitation agricole*],0)),FALSE,TRUE))</f>
        <v>1</v>
      </c>
      <c r="K1000" s="122" t="b">
        <f t="array" ref="K1000">IF(ISBLANK(CertifiedCrop[[#This Row],[2. Produit agricole certifié*]]),"",IF(ISERROR(MATCH(1,(#REF!=CertifiedCrop[[#This Row],[2. Produit agricole certifié*]])*(#REF!=CertifiedCrop[[#This Row],[3. Variété**]]),0)),FALSE,TRUE))</f>
        <v>0</v>
      </c>
      <c r="L1000" s="20" t="str">
        <f t="shared" si="75"/>
        <v/>
      </c>
      <c r="M1000" s="54" t="str">
        <f t="shared" si="76"/>
        <v/>
      </c>
      <c r="N1000" s="54" t="str">
        <f t="shared" si="77"/>
        <v/>
      </c>
      <c r="O1000" s="55">
        <f t="shared" si="78"/>
        <v>556.19469026548677</v>
      </c>
      <c r="P1000" s="55">
        <f t="shared" si="79"/>
        <v>532.74336283185846</v>
      </c>
      <c r="Q1000" s="9" t="str">
        <f ca="1">IFERROR((VLOOKUP(A1000,GM_Table,8,FALSE)-SUMIFS(D:D,A:A,A1000,B:B,B1000,C:C,C1000)),"")</f>
        <v/>
      </c>
      <c r="R1000" s="9" t="str">
        <f ca="1">IFERROR(CONCATENATE(VLOOKUP(A1000,GM_Table,12,FALSE)," ",(VLOOKUP(A1000,GM_Table,13,FALSE))),"")</f>
        <v/>
      </c>
    </row>
    <row r="1001" spans="1:18" ht="15" x14ac:dyDescent="0.2">
      <c r="A1001" s="375" t="s">
        <v>3497</v>
      </c>
      <c r="B1001" s="9" t="s">
        <v>3290</v>
      </c>
      <c r="C1001" s="9" t="s">
        <v>3291</v>
      </c>
      <c r="D1001" s="343">
        <v>0.6</v>
      </c>
      <c r="E1001" s="377">
        <v>353.4</v>
      </c>
      <c r="F1001" s="513">
        <v>340.2</v>
      </c>
      <c r="G1001" s="378"/>
      <c r="H1001" s="379"/>
      <c r="I1001" s="380"/>
      <c r="J1001" s="317" t="b">
        <f>IF(ISBLANK(CertifiedCrop[[#This Row],[1. Identifiant interne d’exploitation agricole*]]),"",IF(ISERROR(MATCH(CertifiedCrop[[#This Row],[1. Identifiant interne d’exploitation agricole*]],GroupMember[1. Identifiant interne d’exploitation agricole*],0)),FALSE,TRUE))</f>
        <v>1</v>
      </c>
      <c r="K1001" s="317" t="b">
        <f t="array" ref="K1001">IF(ISBLANK(CertifiedCrop[[#This Row],[2. Produit agricole certifié*]]),"",IF(ISERROR(MATCH(1,(#REF!=CertifiedCrop[[#This Row],[2. Produit agricole certifié*]])*(#REF!=CertifiedCrop[[#This Row],[3. Variété**]]),0)),FALSE,TRUE))</f>
        <v>0</v>
      </c>
      <c r="L1001" s="381" t="str">
        <f t="shared" ref="L1001:L1022" si="80">IF((F1001-G1001)&lt;0,"!","")</f>
        <v/>
      </c>
      <c r="M1001" s="381" t="str">
        <f t="shared" ref="M1001:M1022" si="81">IFERROR(IF((F1001-G1001)/G1001&gt;25%,"!",IF((F1001-G1001)/G1001&lt;-25%,"!","")),"")</f>
        <v/>
      </c>
      <c r="N1001" s="382" t="str">
        <f t="shared" ref="N1001:N1022" si="82">IFERROR(IF((G1001-H1001)/H1001&gt;25%,"!",IF((G1001-H1001)/H1001&lt;-25%,"!","")),"")</f>
        <v/>
      </c>
      <c r="O1001" s="383">
        <f t="shared" ref="O1001:O1022" si="83">IFERROR(E1001/D1001,"")</f>
        <v>589</v>
      </c>
      <c r="P1001" s="383">
        <f t="shared" ref="P1001:P1022" si="84">IFERROR(F1001/D1001,"")</f>
        <v>567</v>
      </c>
      <c r="Q1001" s="318" t="str">
        <f ca="1">IFERROR((VLOOKUP(A1001,GM_Table,8,FALSE)-SUMIFS(D:D,A:A,A1001,B:B,B1001,C:C,C1001)),"")</f>
        <v/>
      </c>
      <c r="R1001" s="318" t="str">
        <f ca="1">IFERROR(CONCATENATE(VLOOKUP(A1001,GM_Table,12,FALSE)," ",(VLOOKUP(A1001,GM_Table,13,FALSE))),"")</f>
        <v/>
      </c>
    </row>
    <row r="1002" spans="1:18" ht="15" x14ac:dyDescent="0.2">
      <c r="A1002" s="376" t="s">
        <v>3498</v>
      </c>
      <c r="B1002" s="9" t="s">
        <v>3290</v>
      </c>
      <c r="C1002" s="9" t="s">
        <v>3291</v>
      </c>
      <c r="D1002" s="188">
        <v>1.4</v>
      </c>
      <c r="E1002" s="377">
        <v>869.4</v>
      </c>
      <c r="F1002" s="513">
        <v>823.19999999999993</v>
      </c>
      <c r="G1002" s="378"/>
      <c r="H1002" s="379"/>
      <c r="I1002" s="380"/>
      <c r="J1002" s="317" t="b">
        <f>IF(ISBLANK(CertifiedCrop[[#This Row],[1. Identifiant interne d’exploitation agricole*]]),"",IF(ISERROR(MATCH(CertifiedCrop[[#This Row],[1. Identifiant interne d’exploitation agricole*]],GroupMember[1. Identifiant interne d’exploitation agricole*],0)),FALSE,TRUE))</f>
        <v>1</v>
      </c>
      <c r="K1002" s="317" t="b">
        <f t="array" ref="K1002">IF(ISBLANK(CertifiedCrop[[#This Row],[2. Produit agricole certifié*]]),"",IF(ISERROR(MATCH(1,(#REF!=CertifiedCrop[[#This Row],[2. Produit agricole certifié*]])*(#REF!=CertifiedCrop[[#This Row],[3. Variété**]]),0)),FALSE,TRUE))</f>
        <v>0</v>
      </c>
      <c r="L1002" s="381" t="str">
        <f t="shared" si="80"/>
        <v/>
      </c>
      <c r="M1002" s="381" t="str">
        <f t="shared" si="81"/>
        <v/>
      </c>
      <c r="N1002" s="382" t="str">
        <f t="shared" si="82"/>
        <v/>
      </c>
      <c r="O1002" s="383">
        <f t="shared" si="83"/>
        <v>621</v>
      </c>
      <c r="P1002" s="383">
        <f t="shared" si="84"/>
        <v>588</v>
      </c>
      <c r="Q1002" s="318" t="str">
        <f ca="1">IFERROR((VLOOKUP(A1002,GM_Table,8,FALSE)-SUMIFS(D:D,A:A,A1002,B:B,B1002,C:C,C1002)),"")</f>
        <v/>
      </c>
      <c r="R1002" s="318" t="str">
        <f ca="1">IFERROR(CONCATENATE(VLOOKUP(A1002,GM_Table,12,FALSE)," ",(VLOOKUP(A1002,GM_Table,13,FALSE))),"")</f>
        <v/>
      </c>
    </row>
    <row r="1003" spans="1:18" ht="15" x14ac:dyDescent="0.2">
      <c r="A1003" s="375" t="s">
        <v>3499</v>
      </c>
      <c r="B1003" s="9" t="s">
        <v>3290</v>
      </c>
      <c r="C1003" s="9" t="s">
        <v>3291</v>
      </c>
      <c r="D1003" s="343">
        <v>2.6</v>
      </c>
      <c r="E1003" s="377">
        <v>1647.1000000000001</v>
      </c>
      <c r="F1003" s="513">
        <v>1608.75</v>
      </c>
      <c r="G1003" s="378"/>
      <c r="H1003" s="379"/>
      <c r="I1003" s="380"/>
      <c r="J1003" s="317" t="b">
        <f>IF(ISBLANK(CertifiedCrop[[#This Row],[1. Identifiant interne d’exploitation agricole*]]),"",IF(ISERROR(MATCH(CertifiedCrop[[#This Row],[1. Identifiant interne d’exploitation agricole*]],GroupMember[1. Identifiant interne d’exploitation agricole*],0)),FALSE,TRUE))</f>
        <v>1</v>
      </c>
      <c r="K1003" s="317" t="b">
        <f t="array" ref="K1003">IF(ISBLANK(CertifiedCrop[[#This Row],[2. Produit agricole certifié*]]),"",IF(ISERROR(MATCH(1,(#REF!=CertifiedCrop[[#This Row],[2. Produit agricole certifié*]])*(#REF!=CertifiedCrop[[#This Row],[3. Variété**]]),0)),FALSE,TRUE))</f>
        <v>0</v>
      </c>
      <c r="L1003" s="381" t="str">
        <f t="shared" si="80"/>
        <v/>
      </c>
      <c r="M1003" s="381" t="str">
        <f t="shared" si="81"/>
        <v/>
      </c>
      <c r="N1003" s="382" t="str">
        <f t="shared" si="82"/>
        <v/>
      </c>
      <c r="O1003" s="383">
        <f t="shared" si="83"/>
        <v>633.5</v>
      </c>
      <c r="P1003" s="383">
        <f t="shared" si="84"/>
        <v>618.75</v>
      </c>
      <c r="Q1003" s="318" t="str">
        <f ca="1">IFERROR((VLOOKUP(A1003,GM_Table,8,FALSE)-SUMIFS(D:D,A:A,A1003,B:B,B1003,C:C,C1003)),"")</f>
        <v/>
      </c>
      <c r="R1003" s="318" t="str">
        <f ca="1">IFERROR(CONCATENATE(VLOOKUP(A1003,GM_Table,12,FALSE)," ",(VLOOKUP(A1003,GM_Table,13,FALSE))),"")</f>
        <v/>
      </c>
    </row>
    <row r="1004" spans="1:18" ht="15" x14ac:dyDescent="0.2">
      <c r="A1004" s="412" t="s">
        <v>3501</v>
      </c>
      <c r="B1004" s="9" t="s">
        <v>3290</v>
      </c>
      <c r="C1004" s="9" t="s">
        <v>3291</v>
      </c>
      <c r="D1004" s="188">
        <v>2.5</v>
      </c>
      <c r="E1004" s="377">
        <v>1361.25</v>
      </c>
      <c r="F1004" s="513">
        <v>1315</v>
      </c>
      <c r="G1004" s="378"/>
      <c r="H1004" s="379"/>
      <c r="I1004" s="380"/>
      <c r="J1004" s="317" t="b">
        <f>IF(ISBLANK(CertifiedCrop[[#This Row],[1. Identifiant interne d’exploitation agricole*]]),"",IF(ISERROR(MATCH(CertifiedCrop[[#This Row],[1. Identifiant interne d’exploitation agricole*]],GroupMember[1. Identifiant interne d’exploitation agricole*],0)),FALSE,TRUE))</f>
        <v>1</v>
      </c>
      <c r="K1004" s="317" t="b">
        <f t="array" ref="K1004">IF(ISBLANK(CertifiedCrop[[#This Row],[2. Produit agricole certifié*]]),"",IF(ISERROR(MATCH(1,(#REF!=CertifiedCrop[[#This Row],[2. Produit agricole certifié*]])*(#REF!=CertifiedCrop[[#This Row],[3. Variété**]]),0)),FALSE,TRUE))</f>
        <v>0</v>
      </c>
      <c r="L1004" s="381" t="str">
        <f t="shared" si="80"/>
        <v/>
      </c>
      <c r="M1004" s="381" t="str">
        <f t="shared" si="81"/>
        <v/>
      </c>
      <c r="N1004" s="382" t="str">
        <f t="shared" si="82"/>
        <v/>
      </c>
      <c r="O1004" s="383">
        <f t="shared" si="83"/>
        <v>544.5</v>
      </c>
      <c r="P1004" s="383">
        <f t="shared" si="84"/>
        <v>526</v>
      </c>
      <c r="Q1004" s="318" t="str">
        <f ca="1">IFERROR((VLOOKUP(A1004,GM_Table,8,FALSE)-SUMIFS(D:D,A:A,A1004,B:B,B1004,C:C,C1004)),"")</f>
        <v/>
      </c>
      <c r="R1004" s="318" t="str">
        <f ca="1">IFERROR(CONCATENATE(VLOOKUP(A1004,GM_Table,12,FALSE)," ",(VLOOKUP(A1004,GM_Table,13,FALSE))),"")</f>
        <v/>
      </c>
    </row>
    <row r="1005" spans="1:18" ht="15" x14ac:dyDescent="0.2">
      <c r="A1005" s="405" t="s">
        <v>3502</v>
      </c>
      <c r="B1005" s="9" t="s">
        <v>3290</v>
      </c>
      <c r="C1005" s="9" t="s">
        <v>3291</v>
      </c>
      <c r="D1005" s="343">
        <v>1.2</v>
      </c>
      <c r="E1005" s="377">
        <v>658.11428571428576</v>
      </c>
      <c r="F1005" s="513">
        <v>632.4</v>
      </c>
      <c r="G1005" s="378"/>
      <c r="H1005" s="379"/>
      <c r="I1005" s="380"/>
      <c r="J1005" s="317" t="b">
        <f>IF(ISBLANK(CertifiedCrop[[#This Row],[1. Identifiant interne d’exploitation agricole*]]),"",IF(ISERROR(MATCH(CertifiedCrop[[#This Row],[1. Identifiant interne d’exploitation agricole*]],GroupMember[1. Identifiant interne d’exploitation agricole*],0)),FALSE,TRUE))</f>
        <v>1</v>
      </c>
      <c r="K1005" s="317" t="b">
        <f t="array" ref="K1005">IF(ISBLANK(CertifiedCrop[[#This Row],[2. Produit agricole certifié*]]),"",IF(ISERROR(MATCH(1,(#REF!=CertifiedCrop[[#This Row],[2. Produit agricole certifié*]])*(#REF!=CertifiedCrop[[#This Row],[3. Variété**]]),0)),FALSE,TRUE))</f>
        <v>0</v>
      </c>
      <c r="L1005" s="381" t="str">
        <f t="shared" si="80"/>
        <v/>
      </c>
      <c r="M1005" s="381" t="str">
        <f t="shared" si="81"/>
        <v/>
      </c>
      <c r="N1005" s="382" t="str">
        <f t="shared" si="82"/>
        <v/>
      </c>
      <c r="O1005" s="383">
        <f t="shared" si="83"/>
        <v>548.42857142857144</v>
      </c>
      <c r="P1005" s="383">
        <f t="shared" si="84"/>
        <v>527</v>
      </c>
      <c r="Q1005" s="318" t="str">
        <f ca="1">IFERROR((VLOOKUP(A1005,GM_Table,8,FALSE)-SUMIFS(D:D,A:A,A1005,B:B,B1005,C:C,C1005)),"")</f>
        <v/>
      </c>
      <c r="R1005" s="318" t="str">
        <f ca="1">IFERROR(CONCATENATE(VLOOKUP(A1005,GM_Table,12,FALSE)," ",(VLOOKUP(A1005,GM_Table,13,FALSE))),"")</f>
        <v/>
      </c>
    </row>
    <row r="1006" spans="1:18" ht="15" x14ac:dyDescent="0.2">
      <c r="A1006" s="412" t="s">
        <v>3503</v>
      </c>
      <c r="B1006" s="9" t="s">
        <v>3290</v>
      </c>
      <c r="C1006" s="9" t="s">
        <v>3291</v>
      </c>
      <c r="D1006" s="188">
        <v>10.199999999999999</v>
      </c>
      <c r="E1006" s="377">
        <v>5735.8</v>
      </c>
      <c r="F1006" s="513">
        <v>5365.2</v>
      </c>
      <c r="G1006" s="378"/>
      <c r="H1006" s="379"/>
      <c r="I1006" s="380"/>
      <c r="J1006" s="317" t="b">
        <f>IF(ISBLANK(CertifiedCrop[[#This Row],[1. Identifiant interne d’exploitation agricole*]]),"",IF(ISERROR(MATCH(CertifiedCrop[[#This Row],[1. Identifiant interne d’exploitation agricole*]],GroupMember[1. Identifiant interne d’exploitation agricole*],0)),FALSE,TRUE))</f>
        <v>1</v>
      </c>
      <c r="K1006" s="317" t="b">
        <f t="array" ref="K1006">IF(ISBLANK(CertifiedCrop[[#This Row],[2. Produit agricole certifié*]]),"",IF(ISERROR(MATCH(1,(#REF!=CertifiedCrop[[#This Row],[2. Produit agricole certifié*]])*(#REF!=CertifiedCrop[[#This Row],[3. Variété**]]),0)),FALSE,TRUE))</f>
        <v>0</v>
      </c>
      <c r="L1006" s="381" t="str">
        <f t="shared" si="80"/>
        <v/>
      </c>
      <c r="M1006" s="381" t="str">
        <f t="shared" si="81"/>
        <v/>
      </c>
      <c r="N1006" s="382" t="str">
        <f t="shared" si="82"/>
        <v/>
      </c>
      <c r="O1006" s="383">
        <f t="shared" si="83"/>
        <v>562.33333333333337</v>
      </c>
      <c r="P1006" s="383">
        <f t="shared" si="84"/>
        <v>526</v>
      </c>
      <c r="Q1006" s="318" t="str">
        <f ca="1">IFERROR((VLOOKUP(A1006,GM_Table,8,FALSE)-SUMIFS(D:D,A:A,A1006,B:B,B1006,C:C,C1006)),"")</f>
        <v/>
      </c>
      <c r="R1006" s="318" t="str">
        <f ca="1">IFERROR(CONCATENATE(VLOOKUP(A1006,GM_Table,12,FALSE)," ",(VLOOKUP(A1006,GM_Table,13,FALSE))),"")</f>
        <v/>
      </c>
    </row>
    <row r="1007" spans="1:18" ht="15" x14ac:dyDescent="0.2">
      <c r="A1007" s="405" t="s">
        <v>3500</v>
      </c>
      <c r="B1007" s="9" t="s">
        <v>3290</v>
      </c>
      <c r="C1007" s="9" t="s">
        <v>3291</v>
      </c>
      <c r="D1007" s="343">
        <v>1.8</v>
      </c>
      <c r="E1007" s="377">
        <v>1064.7</v>
      </c>
      <c r="F1007" s="513">
        <v>985.5</v>
      </c>
      <c r="G1007" s="378"/>
      <c r="H1007" s="379"/>
      <c r="I1007" s="380"/>
      <c r="J1007" s="317" t="b">
        <f>IF(ISBLANK(CertifiedCrop[[#This Row],[1. Identifiant interne d’exploitation agricole*]]),"",IF(ISERROR(MATCH(CertifiedCrop[[#This Row],[1. Identifiant interne d’exploitation agricole*]],GroupMember[1. Identifiant interne d’exploitation agricole*],0)),FALSE,TRUE))</f>
        <v>1</v>
      </c>
      <c r="K1007" s="317" t="b">
        <f t="array" ref="K1007">IF(ISBLANK(CertifiedCrop[[#This Row],[2. Produit agricole certifié*]]),"",IF(ISERROR(MATCH(1,(#REF!=CertifiedCrop[[#This Row],[2. Produit agricole certifié*]])*(#REF!=CertifiedCrop[[#This Row],[3. Variété**]]),0)),FALSE,TRUE))</f>
        <v>0</v>
      </c>
      <c r="L1007" s="381" t="str">
        <f t="shared" si="80"/>
        <v/>
      </c>
      <c r="M1007" s="381" t="str">
        <f t="shared" si="81"/>
        <v/>
      </c>
      <c r="N1007" s="382" t="str">
        <f t="shared" si="82"/>
        <v/>
      </c>
      <c r="O1007" s="383">
        <f t="shared" si="83"/>
        <v>591.5</v>
      </c>
      <c r="P1007" s="383">
        <f t="shared" si="84"/>
        <v>547.5</v>
      </c>
      <c r="Q1007" s="318" t="str">
        <f ca="1">IFERROR((VLOOKUP(A1007,GM_Table,8,FALSE)-SUMIFS(D:D,A:A,A1007,B:B,B1007,C:C,C1007)),"")</f>
        <v/>
      </c>
      <c r="R1007" s="318" t="str">
        <f ca="1">IFERROR(CONCATENATE(VLOOKUP(A1007,GM_Table,12,FALSE)," ",(VLOOKUP(A1007,GM_Table,13,FALSE))),"")</f>
        <v/>
      </c>
    </row>
    <row r="1008" spans="1:18" ht="15" x14ac:dyDescent="0.2">
      <c r="A1008" s="412" t="s">
        <v>3504</v>
      </c>
      <c r="B1008" s="9" t="s">
        <v>3290</v>
      </c>
      <c r="C1008" s="9" t="s">
        <v>3291</v>
      </c>
      <c r="D1008" s="188">
        <v>2.1</v>
      </c>
      <c r="E1008" s="377">
        <v>1319.8500000000001</v>
      </c>
      <c r="F1008" s="513">
        <v>1267.3500000000001</v>
      </c>
      <c r="G1008" s="378"/>
      <c r="H1008" s="379"/>
      <c r="I1008" s="380"/>
      <c r="J1008" s="317" t="b">
        <f>IF(ISBLANK(CertifiedCrop[[#This Row],[1. Identifiant interne d’exploitation agricole*]]),"",IF(ISERROR(MATCH(CertifiedCrop[[#This Row],[1. Identifiant interne d’exploitation agricole*]],GroupMember[1. Identifiant interne d’exploitation agricole*],0)),FALSE,TRUE))</f>
        <v>1</v>
      </c>
      <c r="K1008" s="317" t="b">
        <f t="array" ref="K1008">IF(ISBLANK(CertifiedCrop[[#This Row],[2. Produit agricole certifié*]]),"",IF(ISERROR(MATCH(1,(#REF!=CertifiedCrop[[#This Row],[2. Produit agricole certifié*]])*(#REF!=CertifiedCrop[[#This Row],[3. Variété**]]),0)),FALSE,TRUE))</f>
        <v>0</v>
      </c>
      <c r="L1008" s="381" t="str">
        <f t="shared" si="80"/>
        <v/>
      </c>
      <c r="M1008" s="381" t="str">
        <f t="shared" si="81"/>
        <v/>
      </c>
      <c r="N1008" s="382" t="str">
        <f t="shared" si="82"/>
        <v/>
      </c>
      <c r="O1008" s="383">
        <f t="shared" si="83"/>
        <v>628.5</v>
      </c>
      <c r="P1008" s="383">
        <f t="shared" si="84"/>
        <v>603.5</v>
      </c>
      <c r="Q1008" s="318" t="str">
        <f ca="1">IFERROR((VLOOKUP(A1008,GM_Table,8,FALSE)-SUMIFS(D:D,A:A,A1008,B:B,B1008,C:C,C1008)),"")</f>
        <v/>
      </c>
      <c r="R1008" s="318" t="str">
        <f ca="1">IFERROR(CONCATENATE(VLOOKUP(A1008,GM_Table,12,FALSE)," ",(VLOOKUP(A1008,GM_Table,13,FALSE))),"")</f>
        <v/>
      </c>
    </row>
    <row r="1009" spans="1:24" ht="15" x14ac:dyDescent="0.2">
      <c r="A1009" s="405" t="s">
        <v>3505</v>
      </c>
      <c r="B1009" s="9" t="s">
        <v>3290</v>
      </c>
      <c r="C1009" s="9" t="s">
        <v>3291</v>
      </c>
      <c r="D1009" s="343">
        <v>6.2</v>
      </c>
      <c r="E1009" s="377">
        <v>3639.4</v>
      </c>
      <c r="F1009" s="513">
        <v>3549.5</v>
      </c>
      <c r="G1009" s="378"/>
      <c r="H1009" s="379"/>
      <c r="I1009" s="380"/>
      <c r="J1009" s="317" t="b">
        <f>IF(ISBLANK(CertifiedCrop[[#This Row],[1. Identifiant interne d’exploitation agricole*]]),"",IF(ISERROR(MATCH(CertifiedCrop[[#This Row],[1. Identifiant interne d’exploitation agricole*]],GroupMember[1. Identifiant interne d’exploitation agricole*],0)),FALSE,TRUE))</f>
        <v>1</v>
      </c>
      <c r="K1009" s="317" t="b">
        <f t="array" ref="K1009">IF(ISBLANK(CertifiedCrop[[#This Row],[2. Produit agricole certifié*]]),"",IF(ISERROR(MATCH(1,(#REF!=CertifiedCrop[[#This Row],[2. Produit agricole certifié*]])*(#REF!=CertifiedCrop[[#This Row],[3. Variété**]]),0)),FALSE,TRUE))</f>
        <v>0</v>
      </c>
      <c r="L1009" s="381" t="str">
        <f t="shared" si="80"/>
        <v/>
      </c>
      <c r="M1009" s="381" t="str">
        <f t="shared" si="81"/>
        <v/>
      </c>
      <c r="N1009" s="382" t="str">
        <f t="shared" si="82"/>
        <v/>
      </c>
      <c r="O1009" s="383">
        <f t="shared" si="83"/>
        <v>587</v>
      </c>
      <c r="P1009" s="383">
        <f t="shared" si="84"/>
        <v>572.5</v>
      </c>
      <c r="Q1009" s="318" t="str">
        <f ca="1">IFERROR((VLOOKUP(A1009,GM_Table,8,FALSE)-SUMIFS(D:D,A:A,A1009,B:B,B1009,C:C,C1009)),"")</f>
        <v/>
      </c>
      <c r="R1009" s="318" t="str">
        <f ca="1">IFERROR(CONCATENATE(VLOOKUP(A1009,GM_Table,12,FALSE)," ",(VLOOKUP(A1009,GM_Table,13,FALSE))),"")</f>
        <v/>
      </c>
    </row>
    <row r="1010" spans="1:24" ht="15" x14ac:dyDescent="0.2">
      <c r="A1010" s="412" t="s">
        <v>3506</v>
      </c>
      <c r="B1010" s="9" t="s">
        <v>3290</v>
      </c>
      <c r="C1010" s="9" t="s">
        <v>3291</v>
      </c>
      <c r="D1010" s="188">
        <v>2.2999999999999998</v>
      </c>
      <c r="E1010" s="377">
        <v>1457.05</v>
      </c>
      <c r="F1010" s="513">
        <v>1414.5</v>
      </c>
      <c r="G1010" s="378"/>
      <c r="H1010" s="379"/>
      <c r="I1010" s="380"/>
      <c r="J1010" s="317" t="b">
        <f>IF(ISBLANK(CertifiedCrop[[#This Row],[1. Identifiant interne d’exploitation agricole*]]),"",IF(ISERROR(MATCH(CertifiedCrop[[#This Row],[1. Identifiant interne d’exploitation agricole*]],GroupMember[1. Identifiant interne d’exploitation agricole*],0)),FALSE,TRUE))</f>
        <v>1</v>
      </c>
      <c r="K1010" s="317" t="b">
        <f t="array" ref="K1010">IF(ISBLANK(CertifiedCrop[[#This Row],[2. Produit agricole certifié*]]),"",IF(ISERROR(MATCH(1,(#REF!=CertifiedCrop[[#This Row],[2. Produit agricole certifié*]])*(#REF!=CertifiedCrop[[#This Row],[3. Variété**]]),0)),FALSE,TRUE))</f>
        <v>0</v>
      </c>
      <c r="L1010" s="381" t="str">
        <f t="shared" si="80"/>
        <v/>
      </c>
      <c r="M1010" s="381" t="str">
        <f t="shared" si="81"/>
        <v/>
      </c>
      <c r="N1010" s="382" t="str">
        <f t="shared" si="82"/>
        <v/>
      </c>
      <c r="O1010" s="383">
        <f t="shared" si="83"/>
        <v>633.5</v>
      </c>
      <c r="P1010" s="383">
        <f t="shared" si="84"/>
        <v>615</v>
      </c>
      <c r="Q1010" s="318" t="str">
        <f ca="1">IFERROR((VLOOKUP(A1010,GM_Table,8,FALSE)-SUMIFS(D:D,A:A,A1010,B:B,B1010,C:C,C1010)),"")</f>
        <v/>
      </c>
      <c r="R1010" s="318" t="str">
        <f ca="1">IFERROR(CONCATENATE(VLOOKUP(A1010,GM_Table,12,FALSE)," ",(VLOOKUP(A1010,GM_Table,13,FALSE))),"")</f>
        <v/>
      </c>
    </row>
    <row r="1011" spans="1:24" ht="15" x14ac:dyDescent="0.2">
      <c r="A1011" s="405" t="s">
        <v>3507</v>
      </c>
      <c r="B1011" s="9" t="s">
        <v>3290</v>
      </c>
      <c r="C1011" s="9" t="s">
        <v>3291</v>
      </c>
      <c r="D1011" s="343">
        <v>3.3</v>
      </c>
      <c r="E1011" s="377">
        <v>1736.9</v>
      </c>
      <c r="F1011" s="513">
        <v>1626.8999999999999</v>
      </c>
      <c r="G1011" s="378"/>
      <c r="H1011" s="379"/>
      <c r="I1011" s="380"/>
      <c r="J1011" s="317" t="b">
        <f>IF(ISBLANK(CertifiedCrop[[#This Row],[1. Identifiant interne d’exploitation agricole*]]),"",IF(ISERROR(MATCH(CertifiedCrop[[#This Row],[1. Identifiant interne d’exploitation agricole*]],GroupMember[1. Identifiant interne d’exploitation agricole*],0)),FALSE,TRUE))</f>
        <v>1</v>
      </c>
      <c r="K1011" s="317" t="b">
        <f t="array" ref="K1011">IF(ISBLANK(CertifiedCrop[[#This Row],[2. Produit agricole certifié*]]),"",IF(ISERROR(MATCH(1,(#REF!=CertifiedCrop[[#This Row],[2. Produit agricole certifié*]])*(#REF!=CertifiedCrop[[#This Row],[3. Variété**]]),0)),FALSE,TRUE))</f>
        <v>0</v>
      </c>
      <c r="L1011" s="381" t="str">
        <f t="shared" si="80"/>
        <v/>
      </c>
      <c r="M1011" s="381" t="str">
        <f t="shared" si="81"/>
        <v/>
      </c>
      <c r="N1011" s="382" t="str">
        <f t="shared" si="82"/>
        <v/>
      </c>
      <c r="O1011" s="383">
        <f t="shared" si="83"/>
        <v>526.33333333333337</v>
      </c>
      <c r="P1011" s="383">
        <f t="shared" si="84"/>
        <v>493</v>
      </c>
      <c r="Q1011" s="318" t="str">
        <f ca="1">IFERROR((VLOOKUP(A1011,GM_Table,8,FALSE)-SUMIFS(D:D,A:A,A1011,B:B,B1011,C:C,C1011)),"")</f>
        <v/>
      </c>
      <c r="R1011" s="318" t="str">
        <f ca="1">IFERROR(CONCATENATE(VLOOKUP(A1011,GM_Table,12,FALSE)," ",(VLOOKUP(A1011,GM_Table,13,FALSE))),"")</f>
        <v/>
      </c>
    </row>
    <row r="1012" spans="1:24" ht="15" x14ac:dyDescent="0.2">
      <c r="A1012" s="412" t="s">
        <v>3508</v>
      </c>
      <c r="B1012" s="9" t="s">
        <v>3290</v>
      </c>
      <c r="C1012" s="9" t="s">
        <v>3291</v>
      </c>
      <c r="D1012" s="188">
        <v>2.1</v>
      </c>
      <c r="E1012" s="377">
        <v>1242.1500000000001</v>
      </c>
      <c r="F1012" s="513">
        <v>1150.8</v>
      </c>
      <c r="G1012" s="378"/>
      <c r="H1012" s="379"/>
      <c r="I1012" s="380"/>
      <c r="J1012" s="317" t="b">
        <f>IF(ISBLANK(CertifiedCrop[[#This Row],[1. Identifiant interne d’exploitation agricole*]]),"",IF(ISERROR(MATCH(CertifiedCrop[[#This Row],[1. Identifiant interne d’exploitation agricole*]],GroupMember[1. Identifiant interne d’exploitation agricole*],0)),FALSE,TRUE))</f>
        <v>1</v>
      </c>
      <c r="K1012" s="317" t="b">
        <f t="array" ref="K1012">IF(ISBLANK(CertifiedCrop[[#This Row],[2. Produit agricole certifié*]]),"",IF(ISERROR(MATCH(1,(#REF!=CertifiedCrop[[#This Row],[2. Produit agricole certifié*]])*(#REF!=CertifiedCrop[[#This Row],[3. Variété**]]),0)),FALSE,TRUE))</f>
        <v>0</v>
      </c>
      <c r="L1012" s="381" t="str">
        <f t="shared" si="80"/>
        <v/>
      </c>
      <c r="M1012" s="381" t="str">
        <f t="shared" si="81"/>
        <v/>
      </c>
      <c r="N1012" s="382" t="str">
        <f t="shared" si="82"/>
        <v/>
      </c>
      <c r="O1012" s="383">
        <f t="shared" si="83"/>
        <v>591.5</v>
      </c>
      <c r="P1012" s="383">
        <f t="shared" si="84"/>
        <v>548</v>
      </c>
      <c r="Q1012" s="318" t="str">
        <f ca="1">IFERROR((VLOOKUP(A1012,GM_Table,8,FALSE)-SUMIFS(D:D,A:A,A1012,B:B,B1012,C:C,C1012)),"")</f>
        <v/>
      </c>
      <c r="R1012" s="318" t="str">
        <f ca="1">IFERROR(CONCATENATE(VLOOKUP(A1012,GM_Table,12,FALSE)," ",(VLOOKUP(A1012,GM_Table,13,FALSE))),"")</f>
        <v/>
      </c>
    </row>
    <row r="1013" spans="1:24" ht="15" x14ac:dyDescent="0.2">
      <c r="A1013" s="405" t="s">
        <v>3509</v>
      </c>
      <c r="B1013" s="9" t="s">
        <v>3290</v>
      </c>
      <c r="C1013" s="9" t="s">
        <v>3291</v>
      </c>
      <c r="D1013" s="343">
        <v>2.2999999999999998</v>
      </c>
      <c r="E1013" s="377">
        <v>1363.0526315789473</v>
      </c>
      <c r="F1013" s="513">
        <v>1273.4736842105262</v>
      </c>
      <c r="G1013" s="378"/>
      <c r="H1013" s="379"/>
      <c r="I1013" s="380"/>
      <c r="J1013" s="317" t="b">
        <f>IF(ISBLANK(CertifiedCrop[[#This Row],[1. Identifiant interne d’exploitation agricole*]]),"",IF(ISERROR(MATCH(CertifiedCrop[[#This Row],[1. Identifiant interne d’exploitation agricole*]],GroupMember[1. Identifiant interne d’exploitation agricole*],0)),FALSE,TRUE))</f>
        <v>1</v>
      </c>
      <c r="K1013" s="317" t="b">
        <f t="array" ref="K1013">IF(ISBLANK(CertifiedCrop[[#This Row],[2. Produit agricole certifié*]]),"",IF(ISERROR(MATCH(1,(#REF!=CertifiedCrop[[#This Row],[2. Produit agricole certifié*]])*(#REF!=CertifiedCrop[[#This Row],[3. Variété**]]),0)),FALSE,TRUE))</f>
        <v>0</v>
      </c>
      <c r="L1013" s="381" t="str">
        <f t="shared" si="80"/>
        <v/>
      </c>
      <c r="M1013" s="381" t="str">
        <f t="shared" si="81"/>
        <v/>
      </c>
      <c r="N1013" s="382" t="str">
        <f t="shared" si="82"/>
        <v/>
      </c>
      <c r="O1013" s="383">
        <f t="shared" si="83"/>
        <v>592.63157894736844</v>
      </c>
      <c r="P1013" s="383">
        <f t="shared" si="84"/>
        <v>553.68421052631584</v>
      </c>
      <c r="Q1013" s="318" t="str">
        <f ca="1">IFERROR((VLOOKUP(A1013,GM_Table,8,FALSE)-SUMIFS(D:D,A:A,A1013,B:B,B1013,C:C,C1013)),"")</f>
        <v/>
      </c>
      <c r="R1013" s="318" t="str">
        <f ca="1">IFERROR(CONCATENATE(VLOOKUP(A1013,GM_Table,12,FALSE)," ",(VLOOKUP(A1013,GM_Table,13,FALSE))),"")</f>
        <v/>
      </c>
    </row>
    <row r="1014" spans="1:24" ht="15" x14ac:dyDescent="0.2">
      <c r="A1014" s="412" t="s">
        <v>3510</v>
      </c>
      <c r="B1014" s="9" t="s">
        <v>3290</v>
      </c>
      <c r="C1014" s="9" t="s">
        <v>3291</v>
      </c>
      <c r="D1014" s="188">
        <v>4.3</v>
      </c>
      <c r="E1014" s="377">
        <v>2737.38</v>
      </c>
      <c r="F1014" s="513">
        <v>2639.3399999999997</v>
      </c>
      <c r="G1014" s="378"/>
      <c r="H1014" s="379"/>
      <c r="I1014" s="380"/>
      <c r="J1014" s="317" t="b">
        <f>IF(ISBLANK(CertifiedCrop[[#This Row],[1. Identifiant interne d’exploitation agricole*]]),"",IF(ISERROR(MATCH(CertifiedCrop[[#This Row],[1. Identifiant interne d’exploitation agricole*]],GroupMember[1. Identifiant interne d’exploitation agricole*],0)),FALSE,TRUE))</f>
        <v>1</v>
      </c>
      <c r="K1014" s="317" t="b">
        <f t="array" ref="K1014">IF(ISBLANK(CertifiedCrop[[#This Row],[2. Produit agricole certifié*]]),"",IF(ISERROR(MATCH(1,(#REF!=CertifiedCrop[[#This Row],[2. Produit agricole certifié*]])*(#REF!=CertifiedCrop[[#This Row],[3. Variété**]]),0)),FALSE,TRUE))</f>
        <v>0</v>
      </c>
      <c r="L1014" s="381" t="str">
        <f t="shared" si="80"/>
        <v/>
      </c>
      <c r="M1014" s="381" t="str">
        <f t="shared" si="81"/>
        <v/>
      </c>
      <c r="N1014" s="382" t="str">
        <f t="shared" si="82"/>
        <v/>
      </c>
      <c r="O1014" s="383">
        <f t="shared" si="83"/>
        <v>636.6</v>
      </c>
      <c r="P1014" s="383">
        <f t="shared" si="84"/>
        <v>613.79999999999995</v>
      </c>
      <c r="Q1014" s="318" t="str">
        <f ca="1">IFERROR((VLOOKUP(A1014,GM_Table,8,FALSE)-SUMIFS(D:D,A:A,A1014,B:B,B1014,C:C,C1014)),"")</f>
        <v/>
      </c>
      <c r="R1014" s="318" t="str">
        <f ca="1">IFERROR(CONCATENATE(VLOOKUP(A1014,GM_Table,12,FALSE)," ",(VLOOKUP(A1014,GM_Table,13,FALSE))),"")</f>
        <v/>
      </c>
    </row>
    <row r="1015" spans="1:24" ht="15" x14ac:dyDescent="0.2">
      <c r="A1015" s="405" t="s">
        <v>3511</v>
      </c>
      <c r="B1015" s="9" t="s">
        <v>3290</v>
      </c>
      <c r="C1015" s="9" t="s">
        <v>3291</v>
      </c>
      <c r="D1015" s="343">
        <v>2.4</v>
      </c>
      <c r="E1015" s="377">
        <v>1318.4516129032259</v>
      </c>
      <c r="F1015" s="513">
        <v>1304.5161290322578</v>
      </c>
      <c r="G1015" s="378"/>
      <c r="H1015" s="379"/>
      <c r="I1015" s="380"/>
      <c r="J1015" s="317" t="b">
        <f>IF(ISBLANK(CertifiedCrop[[#This Row],[1. Identifiant interne d’exploitation agricole*]]),"",IF(ISERROR(MATCH(CertifiedCrop[[#This Row],[1. Identifiant interne d’exploitation agricole*]],GroupMember[1. Identifiant interne d’exploitation agricole*],0)),FALSE,TRUE))</f>
        <v>1</v>
      </c>
      <c r="K1015" s="317" t="b">
        <f t="array" ref="K1015">IF(ISBLANK(CertifiedCrop[[#This Row],[2. Produit agricole certifié*]]),"",IF(ISERROR(MATCH(1,(#REF!=CertifiedCrop[[#This Row],[2. Produit agricole certifié*]])*(#REF!=CertifiedCrop[[#This Row],[3. Variété**]]),0)),FALSE,TRUE))</f>
        <v>0</v>
      </c>
      <c r="L1015" s="381" t="str">
        <f t="shared" si="80"/>
        <v/>
      </c>
      <c r="M1015" s="381" t="str">
        <f t="shared" si="81"/>
        <v/>
      </c>
      <c r="N1015" s="382" t="str">
        <f t="shared" si="82"/>
        <v/>
      </c>
      <c r="O1015" s="383">
        <f t="shared" si="83"/>
        <v>549.35483870967744</v>
      </c>
      <c r="P1015" s="383">
        <f t="shared" si="84"/>
        <v>543.54838709677415</v>
      </c>
      <c r="Q1015" s="318" t="str">
        <f ca="1">IFERROR((VLOOKUP(A1015,GM_Table,8,FALSE)-SUMIFS(D:D,A:A,A1015,B:B,B1015,C:C,C1015)),"")</f>
        <v/>
      </c>
      <c r="R1015" s="318" t="str">
        <f ca="1">IFERROR(CONCATENATE(VLOOKUP(A1015,GM_Table,12,FALSE)," ",(VLOOKUP(A1015,GM_Table,13,FALSE))),"")</f>
        <v/>
      </c>
    </row>
    <row r="1016" spans="1:24" ht="15" x14ac:dyDescent="0.2">
      <c r="A1016" s="412" t="s">
        <v>3512</v>
      </c>
      <c r="B1016" s="9" t="s">
        <v>3290</v>
      </c>
      <c r="C1016" s="9" t="s">
        <v>3291</v>
      </c>
      <c r="D1016" s="188">
        <v>0.7</v>
      </c>
      <c r="E1016" s="377">
        <v>385.36458333333331</v>
      </c>
      <c r="F1016" s="513">
        <v>366.04166666666669</v>
      </c>
      <c r="G1016" s="378"/>
      <c r="H1016" s="379"/>
      <c r="I1016" s="380"/>
      <c r="J1016" s="317" t="b">
        <f>IF(ISBLANK(CertifiedCrop[[#This Row],[1. Identifiant interne d’exploitation agricole*]]),"",IF(ISERROR(MATCH(CertifiedCrop[[#This Row],[1. Identifiant interne d’exploitation agricole*]],GroupMember[1. Identifiant interne d’exploitation agricole*],0)),FALSE,TRUE))</f>
        <v>1</v>
      </c>
      <c r="K1016" s="317" t="b">
        <f t="array" ref="K1016">IF(ISBLANK(CertifiedCrop[[#This Row],[2. Produit agricole certifié*]]),"",IF(ISERROR(MATCH(1,(#REF!=CertifiedCrop[[#This Row],[2. Produit agricole certifié*]])*(#REF!=CertifiedCrop[[#This Row],[3. Variété**]]),0)),FALSE,TRUE))</f>
        <v>0</v>
      </c>
      <c r="L1016" s="381" t="str">
        <f t="shared" si="80"/>
        <v/>
      </c>
      <c r="M1016" s="381" t="str">
        <f t="shared" si="81"/>
        <v/>
      </c>
      <c r="N1016" s="382" t="str">
        <f t="shared" si="82"/>
        <v/>
      </c>
      <c r="O1016" s="383">
        <f t="shared" si="83"/>
        <v>550.52083333333337</v>
      </c>
      <c r="P1016" s="383">
        <f t="shared" si="84"/>
        <v>522.91666666666674</v>
      </c>
      <c r="Q1016" s="318" t="str">
        <f ca="1">IFERROR((VLOOKUP(A1016,GM_Table,8,FALSE)-SUMIFS(D:D,A:A,A1016,B:B,B1016,C:C,C1016)),"")</f>
        <v/>
      </c>
      <c r="R1016" s="318" t="str">
        <f ca="1">IFERROR(CONCATENATE(VLOOKUP(A1016,GM_Table,12,FALSE)," ",(VLOOKUP(A1016,GM_Table,13,FALSE))),"")</f>
        <v/>
      </c>
    </row>
    <row r="1017" spans="1:24" ht="15" x14ac:dyDescent="0.2">
      <c r="A1017" s="405" t="s">
        <v>3513</v>
      </c>
      <c r="B1017" s="9" t="s">
        <v>3290</v>
      </c>
      <c r="C1017" s="9" t="s">
        <v>3291</v>
      </c>
      <c r="D1017" s="343">
        <v>1.8</v>
      </c>
      <c r="E1017" s="377">
        <v>941.91780821917814</v>
      </c>
      <c r="F1017" s="513">
        <v>902.46575342465758</v>
      </c>
      <c r="G1017" s="378"/>
      <c r="H1017" s="379"/>
      <c r="I1017" s="380"/>
      <c r="J1017" s="317" t="b">
        <f>IF(ISBLANK(CertifiedCrop[[#This Row],[1. Identifiant interne d’exploitation agricole*]]),"",IF(ISERROR(MATCH(CertifiedCrop[[#This Row],[1. Identifiant interne d’exploitation agricole*]],GroupMember[1. Identifiant interne d’exploitation agricole*],0)),FALSE,TRUE))</f>
        <v>1</v>
      </c>
      <c r="K1017" s="317" t="b">
        <f t="array" ref="K1017">IF(ISBLANK(CertifiedCrop[[#This Row],[2. Produit agricole certifié*]]),"",IF(ISERROR(MATCH(1,(#REF!=CertifiedCrop[[#This Row],[2. Produit agricole certifié*]])*(#REF!=CertifiedCrop[[#This Row],[3. Variété**]]),0)),FALSE,TRUE))</f>
        <v>0</v>
      </c>
      <c r="L1017" s="381" t="str">
        <f t="shared" si="80"/>
        <v/>
      </c>
      <c r="M1017" s="381" t="str">
        <f t="shared" si="81"/>
        <v/>
      </c>
      <c r="N1017" s="382" t="str">
        <f t="shared" si="82"/>
        <v/>
      </c>
      <c r="O1017" s="383">
        <f t="shared" si="83"/>
        <v>523.28767123287673</v>
      </c>
      <c r="P1017" s="383">
        <f t="shared" si="84"/>
        <v>501.36986301369865</v>
      </c>
      <c r="Q1017" s="318" t="str">
        <f ca="1">IFERROR((VLOOKUP(A1017,GM_Table,8,FALSE)-SUMIFS(D:D,A:A,A1017,B:B,B1017,C:C,C1017)),"")</f>
        <v/>
      </c>
      <c r="R1017" s="318" t="str">
        <f ca="1">IFERROR(CONCATENATE(VLOOKUP(A1017,GM_Table,12,FALSE)," ",(VLOOKUP(A1017,GM_Table,13,FALSE))),"")</f>
        <v/>
      </c>
    </row>
    <row r="1018" spans="1:24" ht="15" x14ac:dyDescent="0.2">
      <c r="A1018" s="412" t="s">
        <v>3514</v>
      </c>
      <c r="B1018" s="9" t="s">
        <v>3290</v>
      </c>
      <c r="C1018" s="9" t="s">
        <v>3291</v>
      </c>
      <c r="D1018" s="188">
        <v>1.2</v>
      </c>
      <c r="E1018" s="377">
        <v>738.60465116279067</v>
      </c>
      <c r="F1018" s="513">
        <v>711.62790697674416</v>
      </c>
      <c r="G1018" s="378"/>
      <c r="H1018" s="379"/>
      <c r="I1018" s="380"/>
      <c r="J1018" s="317" t="b">
        <f>IF(ISBLANK(CertifiedCrop[[#This Row],[1. Identifiant interne d’exploitation agricole*]]),"",IF(ISERROR(MATCH(CertifiedCrop[[#This Row],[1. Identifiant interne d’exploitation agricole*]],GroupMember[1. Identifiant interne d’exploitation agricole*],0)),FALSE,TRUE))</f>
        <v>1</v>
      </c>
      <c r="K1018" s="317" t="b">
        <f t="array" ref="K1018">IF(ISBLANK(CertifiedCrop[[#This Row],[2. Produit agricole certifié*]]),"",IF(ISERROR(MATCH(1,(#REF!=CertifiedCrop[[#This Row],[2. Produit agricole certifié*]])*(#REF!=CertifiedCrop[[#This Row],[3. Variété**]]),0)),FALSE,TRUE))</f>
        <v>0</v>
      </c>
      <c r="L1018" s="381" t="str">
        <f t="shared" si="80"/>
        <v/>
      </c>
      <c r="M1018" s="381" t="str">
        <f t="shared" si="81"/>
        <v/>
      </c>
      <c r="N1018" s="382" t="str">
        <f t="shared" si="82"/>
        <v/>
      </c>
      <c r="O1018" s="383">
        <f t="shared" si="83"/>
        <v>615.50387596899225</v>
      </c>
      <c r="P1018" s="383">
        <f t="shared" si="84"/>
        <v>593.02325581395348</v>
      </c>
      <c r="Q1018" s="318" t="str">
        <f ca="1">IFERROR((VLOOKUP(A1018,GM_Table,8,FALSE)-SUMIFS(D:D,A:A,A1018,B:B,B1018,C:C,C1018)),"")</f>
        <v/>
      </c>
      <c r="R1018" s="318" t="str">
        <f ca="1">IFERROR(CONCATENATE(VLOOKUP(A1018,GM_Table,12,FALSE)," ",(VLOOKUP(A1018,GM_Table,13,FALSE))),"")</f>
        <v/>
      </c>
    </row>
    <row r="1019" spans="1:24" ht="15" x14ac:dyDescent="0.2">
      <c r="A1019" s="405" t="s">
        <v>3515</v>
      </c>
      <c r="B1019" s="9" t="s">
        <v>3290</v>
      </c>
      <c r="C1019" s="9" t="s">
        <v>3291</v>
      </c>
      <c r="D1019" s="343">
        <v>3.3</v>
      </c>
      <c r="E1019" s="377">
        <v>1818.9759036144576</v>
      </c>
      <c r="F1019" s="513">
        <v>1799.0963855421689</v>
      </c>
      <c r="G1019" s="378"/>
      <c r="H1019" s="379"/>
      <c r="I1019" s="380"/>
      <c r="J1019" s="317" t="b">
        <f>IF(ISBLANK(CertifiedCrop[[#This Row],[1. Identifiant interne d’exploitation agricole*]]),"",IF(ISERROR(MATCH(CertifiedCrop[[#This Row],[1. Identifiant interne d’exploitation agricole*]],GroupMember[1. Identifiant interne d’exploitation agricole*],0)),FALSE,TRUE))</f>
        <v>1</v>
      </c>
      <c r="K1019" s="317" t="b">
        <f t="array" ref="K1019">IF(ISBLANK(CertifiedCrop[[#This Row],[2. Produit agricole certifié*]]),"",IF(ISERROR(MATCH(1,(#REF!=CertifiedCrop[[#This Row],[2. Produit agricole certifié*]])*(#REF!=CertifiedCrop[[#This Row],[3. Variété**]]),0)),FALSE,TRUE))</f>
        <v>0</v>
      </c>
      <c r="L1019" s="381" t="str">
        <f t="shared" si="80"/>
        <v/>
      </c>
      <c r="M1019" s="381" t="str">
        <f t="shared" si="81"/>
        <v/>
      </c>
      <c r="N1019" s="382" t="str">
        <f t="shared" si="82"/>
        <v/>
      </c>
      <c r="O1019" s="383">
        <f t="shared" si="83"/>
        <v>551.20481927710841</v>
      </c>
      <c r="P1019" s="383">
        <f t="shared" si="84"/>
        <v>545.18072289156635</v>
      </c>
      <c r="Q1019" s="318" t="str">
        <f ca="1">IFERROR((VLOOKUP(A1019,GM_Table,8,FALSE)-SUMIFS(D:D,A:A,A1019,B:B,B1019,C:C,C1019)),"")</f>
        <v/>
      </c>
      <c r="R1019" s="318" t="str">
        <f ca="1">IFERROR(CONCATENATE(VLOOKUP(A1019,GM_Table,12,FALSE)," ",(VLOOKUP(A1019,GM_Table,13,FALSE))),"")</f>
        <v/>
      </c>
    </row>
    <row r="1020" spans="1:24" ht="15" x14ac:dyDescent="0.2">
      <c r="A1020" s="412" t="s">
        <v>3516</v>
      </c>
      <c r="B1020" s="9" t="s">
        <v>3290</v>
      </c>
      <c r="C1020" s="9" t="s">
        <v>3291</v>
      </c>
      <c r="D1020" s="188">
        <v>3.8</v>
      </c>
      <c r="E1020" s="377">
        <v>2280</v>
      </c>
      <c r="F1020" s="513">
        <v>2181.5662650602412</v>
      </c>
      <c r="G1020" s="378"/>
      <c r="H1020" s="379"/>
      <c r="I1020" s="380"/>
      <c r="J1020" s="317" t="b">
        <f>IF(ISBLANK(CertifiedCrop[[#This Row],[1. Identifiant interne d’exploitation agricole*]]),"",IF(ISERROR(MATCH(CertifiedCrop[[#This Row],[1. Identifiant interne d’exploitation agricole*]],GroupMember[1. Identifiant interne d’exploitation agricole*],0)),FALSE,TRUE))</f>
        <v>1</v>
      </c>
      <c r="K1020" s="317" t="b">
        <f t="array" ref="K1020">IF(ISBLANK(CertifiedCrop[[#This Row],[2. Produit agricole certifié*]]),"",IF(ISERROR(MATCH(1,(#REF!=CertifiedCrop[[#This Row],[2. Produit agricole certifié*]])*(#REF!=CertifiedCrop[[#This Row],[3. Variété**]]),0)),FALSE,TRUE))</f>
        <v>0</v>
      </c>
      <c r="L1020" s="381" t="str">
        <f t="shared" si="80"/>
        <v/>
      </c>
      <c r="M1020" s="381" t="str">
        <f t="shared" si="81"/>
        <v/>
      </c>
      <c r="N1020" s="382" t="str">
        <f t="shared" si="82"/>
        <v/>
      </c>
      <c r="O1020" s="383">
        <f t="shared" si="83"/>
        <v>600</v>
      </c>
      <c r="P1020" s="383">
        <f t="shared" si="84"/>
        <v>574.09638554216872</v>
      </c>
      <c r="Q1020" s="318" t="str">
        <f ca="1">IFERROR((VLOOKUP(A1020,GM_Table,8,FALSE)-SUMIFS(D:D,A:A,A1020,B:B,B1020,C:C,C1020)),"")</f>
        <v/>
      </c>
      <c r="R1020" s="318" t="str">
        <f ca="1">IFERROR(CONCATENATE(VLOOKUP(A1020,GM_Table,12,FALSE)," ",(VLOOKUP(A1020,GM_Table,13,FALSE))),"")</f>
        <v/>
      </c>
    </row>
    <row r="1021" spans="1:24" ht="15" x14ac:dyDescent="0.2">
      <c r="A1021" s="405" t="s">
        <v>3517</v>
      </c>
      <c r="B1021" s="9" t="s">
        <v>3290</v>
      </c>
      <c r="C1021" s="9" t="s">
        <v>3291</v>
      </c>
      <c r="D1021" s="343">
        <v>5.0999999999999996</v>
      </c>
      <c r="E1021" s="377">
        <v>3016.1290322580644</v>
      </c>
      <c r="F1021" s="513">
        <v>2791.2903225806449</v>
      </c>
      <c r="G1021" s="378"/>
      <c r="H1021" s="379"/>
      <c r="I1021" s="380"/>
      <c r="J1021" s="317" t="b">
        <f>IF(ISBLANK(CertifiedCrop[[#This Row],[1. Identifiant interne d’exploitation agricole*]]),"",IF(ISERROR(MATCH(CertifiedCrop[[#This Row],[1. Identifiant interne d’exploitation agricole*]],GroupMember[1. Identifiant interne d’exploitation agricole*],0)),FALSE,TRUE))</f>
        <v>1</v>
      </c>
      <c r="K1021" s="317" t="b">
        <f t="array" ref="K1021">IF(ISBLANK(CertifiedCrop[[#This Row],[2. Produit agricole certifié*]]),"",IF(ISERROR(MATCH(1,(#REF!=CertifiedCrop[[#This Row],[2. Produit agricole certifié*]])*(#REF!=CertifiedCrop[[#This Row],[3. Variété**]]),0)),FALSE,TRUE))</f>
        <v>0</v>
      </c>
      <c r="L1021" s="381" t="str">
        <f t="shared" si="80"/>
        <v/>
      </c>
      <c r="M1021" s="381" t="str">
        <f t="shared" si="81"/>
        <v/>
      </c>
      <c r="N1021" s="382" t="str">
        <f t="shared" si="82"/>
        <v/>
      </c>
      <c r="O1021" s="383">
        <f t="shared" si="83"/>
        <v>591.39784946236557</v>
      </c>
      <c r="P1021" s="383">
        <f t="shared" si="84"/>
        <v>547.31182795698919</v>
      </c>
      <c r="Q1021" s="318" t="str">
        <f ca="1">IFERROR((VLOOKUP(A1021,GM_Table,8,FALSE)-SUMIFS(D:D,A:A,A1021,B:B,B1021,C:C,C1021)),"")</f>
        <v/>
      </c>
      <c r="R1021" s="318" t="str">
        <f ca="1">IFERROR(CONCATENATE(VLOOKUP(A1021,GM_Table,12,FALSE)," ",(VLOOKUP(A1021,GM_Table,13,FALSE))),"")</f>
        <v/>
      </c>
    </row>
    <row r="1022" spans="1:24" ht="15" x14ac:dyDescent="0.2">
      <c r="A1022" s="413" t="s">
        <v>3518</v>
      </c>
      <c r="B1022" s="9" t="s">
        <v>3290</v>
      </c>
      <c r="C1022" s="9" t="s">
        <v>3291</v>
      </c>
      <c r="D1022" s="188">
        <v>4.3</v>
      </c>
      <c r="E1022" s="384">
        <v>2280.30303030303</v>
      </c>
      <c r="F1022" s="514">
        <v>2134.8848484848486</v>
      </c>
      <c r="G1022" s="385"/>
      <c r="H1022" s="386"/>
      <c r="I1022" s="387"/>
      <c r="J1022" s="324" t="b">
        <f>IF(ISBLANK(CertifiedCrop[[#This Row],[1. Identifiant interne d’exploitation agricole*]]),"",IF(ISERROR(MATCH(CertifiedCrop[[#This Row],[1. Identifiant interne d’exploitation agricole*]],GroupMember[1. Identifiant interne d’exploitation agricole*],0)),FALSE,TRUE))</f>
        <v>1</v>
      </c>
      <c r="K1022" s="324" t="b">
        <f t="array" ref="K1022">IF(ISBLANK(CertifiedCrop[[#This Row],[2. Produit agricole certifié*]]),"",IF(ISERROR(MATCH(1,(#REF!=CertifiedCrop[[#This Row],[2. Produit agricole certifié*]])*(#REF!=CertifiedCrop[[#This Row],[3. Variété**]]),0)),FALSE,TRUE))</f>
        <v>0</v>
      </c>
      <c r="L1022" s="388" t="str">
        <f t="shared" si="80"/>
        <v/>
      </c>
      <c r="M1022" s="388" t="str">
        <f t="shared" si="81"/>
        <v/>
      </c>
      <c r="N1022" s="389" t="str">
        <f t="shared" si="82"/>
        <v/>
      </c>
      <c r="O1022" s="390">
        <f t="shared" si="83"/>
        <v>530.30303030303025</v>
      </c>
      <c r="P1022" s="390">
        <f t="shared" si="84"/>
        <v>496.48484848484856</v>
      </c>
      <c r="Q1022" s="325" t="str">
        <f ca="1">IFERROR((VLOOKUP(A1022,GM_Table,8,FALSE)-SUMIFS(D:D,A:A,A1022,B:B,B1022,C:C,C1022)),"")</f>
        <v/>
      </c>
      <c r="R1022" s="325" t="str">
        <f ca="1">IFERROR(CONCATENATE(VLOOKUP(A1022,GM_Table,12,FALSE)," ",(VLOOKUP(A1022,GM_Table,13,FALSE))),"")</f>
        <v/>
      </c>
    </row>
    <row r="1023" spans="1:24" ht="15" x14ac:dyDescent="0.2">
      <c r="A1023" s="412" t="s">
        <v>3532</v>
      </c>
      <c r="B1023" s="9" t="s">
        <v>3290</v>
      </c>
      <c r="C1023" s="9" t="s">
        <v>3291</v>
      </c>
      <c r="D1023" s="188">
        <v>4.5</v>
      </c>
      <c r="E1023" s="447">
        <v>2650.5</v>
      </c>
      <c r="F1023" s="506">
        <v>2551.5</v>
      </c>
      <c r="G1023" s="448"/>
      <c r="H1023" s="449"/>
      <c r="I1023" s="450"/>
      <c r="J1023" s="398" t="b">
        <f>IF(ISBLANK(CertifiedCrop[[#This Row],[1. Identifiant interne d’exploitation agricole*]]),"",IF(ISERROR(MATCH(CertifiedCrop[[#This Row],[1. Identifiant interne d’exploitation agricole*]],GroupMember[1. Identifiant interne d’exploitation agricole*],0)),FALSE,TRUE))</f>
        <v>1</v>
      </c>
      <c r="K1023" s="398" t="b">
        <f t="array" ref="K1023">IF(ISBLANK(CertifiedCrop[[#This Row],[2. Produit agricole certifié*]]),"",IF(ISERROR(MATCH(1,(#REF!=CertifiedCrop[[#This Row],[2. Produit agricole certifié*]])*(#REF!=CertifiedCrop[[#This Row],[3. Variété**]]),0)),FALSE,TRUE))</f>
        <v>0</v>
      </c>
      <c r="L1023" s="374" t="str">
        <f t="shared" ref="L1023:L1029" si="85">IF((F1023-G1023)&lt;0,"!","")</f>
        <v/>
      </c>
      <c r="M1023" s="374" t="str">
        <f t="shared" ref="M1023:M1029" si="86">IFERROR(IF((F1023-G1023)/G1023&gt;25%,"!",IF((F1023-G1023)/G1023&lt;-25%,"!","")),"")</f>
        <v/>
      </c>
      <c r="N1023" s="414" t="str">
        <f t="shared" ref="N1023:N1029" si="87">IFERROR(IF((G1023-H1023)/H1023&gt;25%,"!",IF((G1023-H1023)/H1023&lt;-25%,"!","")),"")</f>
        <v/>
      </c>
      <c r="O1023" s="451">
        <f t="shared" ref="O1023:O1029" si="88">IFERROR(E1023/D1023,"")</f>
        <v>589</v>
      </c>
      <c r="P1023" s="451">
        <f t="shared" ref="P1023:P1029" si="89">IFERROR(F1023/D1023,"")</f>
        <v>567</v>
      </c>
      <c r="Q1023" s="373" t="str">
        <f ca="1">IFERROR((VLOOKUP(A1023,GM_Table,8,FALSE)-SUMIFS(D:D,A:A,A1023,B:B,B1023,C:C,C1023)),"")</f>
        <v/>
      </c>
      <c r="R1023" s="373" t="str">
        <f ca="1">IFERROR(CONCATENATE(VLOOKUP(A1023,GM_Table,12,FALSE)," ",(VLOOKUP(A1023,GM_Table,13,FALSE))),"")</f>
        <v/>
      </c>
    </row>
    <row r="1024" spans="1:24" s="502" customFormat="1" ht="15" x14ac:dyDescent="0.2">
      <c r="A1024" s="405" t="s">
        <v>3533</v>
      </c>
      <c r="B1024" s="494" t="s">
        <v>3290</v>
      </c>
      <c r="C1024" s="494" t="s">
        <v>3291</v>
      </c>
      <c r="D1024" s="343">
        <v>1.4</v>
      </c>
      <c r="E1024" s="495">
        <v>869.4</v>
      </c>
      <c r="F1024" s="508">
        <v>823.19999999999993</v>
      </c>
      <c r="G1024" s="496"/>
      <c r="H1024" s="497"/>
      <c r="I1024" s="498"/>
      <c r="J1024" s="406" t="b">
        <f>IF(ISBLANK(CertifiedCrop[[#This Row],[1. Identifiant interne d’exploitation agricole*]]),"",IF(ISERROR(MATCH(CertifiedCrop[[#This Row],[1. Identifiant interne d’exploitation agricole*]],GroupMember[1. Identifiant interne d’exploitation agricole*],0)),FALSE,TRUE))</f>
        <v>1</v>
      </c>
      <c r="K1024" s="406" t="b">
        <f t="array" ref="K1024">IF(ISBLANK(CertifiedCrop[[#This Row],[2. Produit agricole certifié*]]),"",IF(ISERROR(MATCH(1,(#REF!=CertifiedCrop[[#This Row],[2. Produit agricole certifié*]])*(#REF!=CertifiedCrop[[#This Row],[3. Variété**]]),0)),FALSE,TRUE))</f>
        <v>0</v>
      </c>
      <c r="L1024" s="499" t="str">
        <f t="shared" si="85"/>
        <v/>
      </c>
      <c r="M1024" s="499" t="str">
        <f t="shared" si="86"/>
        <v/>
      </c>
      <c r="N1024" s="500" t="str">
        <f t="shared" si="87"/>
        <v/>
      </c>
      <c r="O1024" s="501">
        <f t="shared" si="88"/>
        <v>621</v>
      </c>
      <c r="P1024" s="501">
        <f t="shared" si="89"/>
        <v>588</v>
      </c>
      <c r="Q1024" s="409" t="str">
        <f ca="1">IFERROR((VLOOKUP(A1024,GM_Table,8,FALSE)-SUMIFS(D:D,A:A,A1024,B:B,B1024,C:C,C1024)),"")</f>
        <v/>
      </c>
      <c r="R1024" s="409" t="str">
        <f ca="1">IFERROR(CONCATENATE(VLOOKUP(A1024,GM_Table,12,FALSE)," ",(VLOOKUP(A1024,GM_Table,13,FALSE))),"")</f>
        <v/>
      </c>
      <c r="S1024" s="404"/>
      <c r="T1024" s="404"/>
      <c r="U1024" s="404"/>
      <c r="V1024" s="404"/>
      <c r="W1024" s="404"/>
      <c r="X1024" s="404"/>
    </row>
    <row r="1025" spans="1:24" ht="15" x14ac:dyDescent="0.2">
      <c r="A1025" s="412" t="s">
        <v>3534</v>
      </c>
      <c r="B1025" s="9" t="s">
        <v>3290</v>
      </c>
      <c r="C1025" s="9" t="s">
        <v>3291</v>
      </c>
      <c r="D1025" s="188">
        <v>3.8</v>
      </c>
      <c r="E1025" s="447">
        <v>2407.2999999999997</v>
      </c>
      <c r="F1025" s="506">
        <v>2351.25</v>
      </c>
      <c r="G1025" s="448"/>
      <c r="H1025" s="449"/>
      <c r="I1025" s="450"/>
      <c r="J1025" s="398" t="b">
        <f>IF(ISBLANK(CertifiedCrop[[#This Row],[1. Identifiant interne d’exploitation agricole*]]),"",IF(ISERROR(MATCH(CertifiedCrop[[#This Row],[1. Identifiant interne d’exploitation agricole*]],GroupMember[1. Identifiant interne d’exploitation agricole*],0)),FALSE,TRUE))</f>
        <v>1</v>
      </c>
      <c r="K1025" s="398" t="b">
        <f t="array" ref="K1025">IF(ISBLANK(CertifiedCrop[[#This Row],[2. Produit agricole certifié*]]),"",IF(ISERROR(MATCH(1,(#REF!=CertifiedCrop[[#This Row],[2. Produit agricole certifié*]])*(#REF!=CertifiedCrop[[#This Row],[3. Variété**]]),0)),FALSE,TRUE))</f>
        <v>0</v>
      </c>
      <c r="L1025" s="374" t="str">
        <f t="shared" si="85"/>
        <v/>
      </c>
      <c r="M1025" s="374" t="str">
        <f t="shared" si="86"/>
        <v/>
      </c>
      <c r="N1025" s="414" t="str">
        <f t="shared" si="87"/>
        <v/>
      </c>
      <c r="O1025" s="451">
        <f t="shared" si="88"/>
        <v>633.5</v>
      </c>
      <c r="P1025" s="451">
        <f t="shared" si="89"/>
        <v>618.75</v>
      </c>
      <c r="Q1025" s="373" t="str">
        <f ca="1">IFERROR((VLOOKUP(A1025,GM_Table,8,FALSE)-SUMIFS(D:D,A:A,A1025,B:B,B1025,C:C,C1025)),"")</f>
        <v/>
      </c>
      <c r="R1025" s="373" t="str">
        <f ca="1">IFERROR(CONCATENATE(VLOOKUP(A1025,GM_Table,12,FALSE)," ",(VLOOKUP(A1025,GM_Table,13,FALSE))),"")</f>
        <v/>
      </c>
    </row>
    <row r="1026" spans="1:24" s="502" customFormat="1" ht="15" x14ac:dyDescent="0.2">
      <c r="A1026" s="405" t="s">
        <v>3535</v>
      </c>
      <c r="B1026" s="494" t="s">
        <v>3290</v>
      </c>
      <c r="C1026" s="494" t="s">
        <v>3291</v>
      </c>
      <c r="D1026" s="343">
        <v>2.2000000000000002</v>
      </c>
      <c r="E1026" s="495">
        <v>1197.9000000000001</v>
      </c>
      <c r="F1026" s="508">
        <v>1157.2</v>
      </c>
      <c r="G1026" s="496"/>
      <c r="H1026" s="497"/>
      <c r="I1026" s="498"/>
      <c r="J1026" s="406" t="b">
        <f>IF(ISBLANK(CertifiedCrop[[#This Row],[1. Identifiant interne d’exploitation agricole*]]),"",IF(ISERROR(MATCH(CertifiedCrop[[#This Row],[1. Identifiant interne d’exploitation agricole*]],GroupMember[1. Identifiant interne d’exploitation agricole*],0)),FALSE,TRUE))</f>
        <v>1</v>
      </c>
      <c r="K1026" s="406" t="b">
        <f t="array" ref="K1026">IF(ISBLANK(CertifiedCrop[[#This Row],[2. Produit agricole certifié*]]),"",IF(ISERROR(MATCH(1,(#REF!=CertifiedCrop[[#This Row],[2. Produit agricole certifié*]])*(#REF!=CertifiedCrop[[#This Row],[3. Variété**]]),0)),FALSE,TRUE))</f>
        <v>0</v>
      </c>
      <c r="L1026" s="499" t="str">
        <f t="shared" si="85"/>
        <v/>
      </c>
      <c r="M1026" s="499" t="str">
        <f t="shared" si="86"/>
        <v/>
      </c>
      <c r="N1026" s="500" t="str">
        <f t="shared" si="87"/>
        <v/>
      </c>
      <c r="O1026" s="501">
        <f t="shared" si="88"/>
        <v>544.5</v>
      </c>
      <c r="P1026" s="501">
        <f t="shared" si="89"/>
        <v>526</v>
      </c>
      <c r="Q1026" s="409" t="str">
        <f ca="1">IFERROR((VLOOKUP(A1026,GM_Table,8,FALSE)-SUMIFS(D:D,A:A,A1026,B:B,B1026,C:C,C1026)),"")</f>
        <v/>
      </c>
      <c r="R1026" s="409" t="str">
        <f ca="1">IFERROR(CONCATENATE(VLOOKUP(A1026,GM_Table,12,FALSE)," ",(VLOOKUP(A1026,GM_Table,13,FALSE))),"")</f>
        <v/>
      </c>
      <c r="S1026" s="404"/>
      <c r="T1026" s="404"/>
      <c r="U1026" s="404"/>
      <c r="V1026" s="404"/>
      <c r="W1026" s="404"/>
      <c r="X1026" s="404"/>
    </row>
    <row r="1027" spans="1:24" ht="15" x14ac:dyDescent="0.2">
      <c r="A1027" s="412" t="s">
        <v>3536</v>
      </c>
      <c r="B1027" s="9" t="s">
        <v>3290</v>
      </c>
      <c r="C1027" s="9" t="s">
        <v>3291</v>
      </c>
      <c r="D1027" s="188">
        <v>3.5</v>
      </c>
      <c r="E1027" s="447">
        <v>1919.5</v>
      </c>
      <c r="F1027" s="506">
        <v>1844.5</v>
      </c>
      <c r="G1027" s="448"/>
      <c r="H1027" s="449"/>
      <c r="I1027" s="450"/>
      <c r="J1027" s="398" t="b">
        <f>IF(ISBLANK(CertifiedCrop[[#This Row],[1. Identifiant interne d’exploitation agricole*]]),"",IF(ISERROR(MATCH(CertifiedCrop[[#This Row],[1. Identifiant interne d’exploitation agricole*]],GroupMember[1. Identifiant interne d’exploitation agricole*],0)),FALSE,TRUE))</f>
        <v>1</v>
      </c>
      <c r="K1027" s="398" t="b">
        <f t="array" ref="K1027">IF(ISBLANK(CertifiedCrop[[#This Row],[2. Produit agricole certifié*]]),"",IF(ISERROR(MATCH(1,(#REF!=CertifiedCrop[[#This Row],[2. Produit agricole certifié*]])*(#REF!=CertifiedCrop[[#This Row],[3. Variété**]]),0)),FALSE,TRUE))</f>
        <v>0</v>
      </c>
      <c r="L1027" s="374" t="str">
        <f t="shared" si="85"/>
        <v/>
      </c>
      <c r="M1027" s="374" t="str">
        <f t="shared" si="86"/>
        <v/>
      </c>
      <c r="N1027" s="414" t="str">
        <f t="shared" si="87"/>
        <v/>
      </c>
      <c r="O1027" s="451">
        <f t="shared" si="88"/>
        <v>548.42857142857144</v>
      </c>
      <c r="P1027" s="451">
        <f t="shared" si="89"/>
        <v>527</v>
      </c>
      <c r="Q1027" s="373" t="str">
        <f ca="1">IFERROR((VLOOKUP(A1027,GM_Table,8,FALSE)-SUMIFS(D:D,A:A,A1027,B:B,B1027,C:C,C1027)),"")</f>
        <v/>
      </c>
      <c r="R1027" s="373" t="str">
        <f ca="1">IFERROR(CONCATENATE(VLOOKUP(A1027,GM_Table,12,FALSE)," ",(VLOOKUP(A1027,GM_Table,13,FALSE))),"")</f>
        <v/>
      </c>
    </row>
    <row r="1028" spans="1:24" s="502" customFormat="1" ht="15" x14ac:dyDescent="0.2">
      <c r="A1028" s="405" t="s">
        <v>3537</v>
      </c>
      <c r="B1028" s="494" t="s">
        <v>3290</v>
      </c>
      <c r="C1028" s="494" t="s">
        <v>3291</v>
      </c>
      <c r="D1028" s="343">
        <v>2.2999999999999998</v>
      </c>
      <c r="E1028" s="495">
        <v>1293.3666666666666</v>
      </c>
      <c r="F1028" s="508">
        <v>1209.8</v>
      </c>
      <c r="G1028" s="496"/>
      <c r="H1028" s="497"/>
      <c r="I1028" s="498"/>
      <c r="J1028" s="406" t="b">
        <f>IF(ISBLANK(CertifiedCrop[[#This Row],[1. Identifiant interne d’exploitation agricole*]]),"",IF(ISERROR(MATCH(CertifiedCrop[[#This Row],[1. Identifiant interne d’exploitation agricole*]],GroupMember[1. Identifiant interne d’exploitation agricole*],0)),FALSE,TRUE))</f>
        <v>1</v>
      </c>
      <c r="K1028" s="406" t="b">
        <f t="array" ref="K1028">IF(ISBLANK(CertifiedCrop[[#This Row],[2. Produit agricole certifié*]]),"",IF(ISERROR(MATCH(1,(#REF!=CertifiedCrop[[#This Row],[2. Produit agricole certifié*]])*(#REF!=CertifiedCrop[[#This Row],[3. Variété**]]),0)),FALSE,TRUE))</f>
        <v>0</v>
      </c>
      <c r="L1028" s="499" t="str">
        <f t="shared" si="85"/>
        <v/>
      </c>
      <c r="M1028" s="499" t="str">
        <f t="shared" si="86"/>
        <v/>
      </c>
      <c r="N1028" s="500" t="str">
        <f t="shared" si="87"/>
        <v/>
      </c>
      <c r="O1028" s="501">
        <f t="shared" si="88"/>
        <v>562.33333333333337</v>
      </c>
      <c r="P1028" s="501">
        <f t="shared" si="89"/>
        <v>526</v>
      </c>
      <c r="Q1028" s="409" t="str">
        <f ca="1">IFERROR((VLOOKUP(A1028,GM_Table,8,FALSE)-SUMIFS(D:D,A:A,A1028,B:B,B1028,C:C,C1028)),"")</f>
        <v/>
      </c>
      <c r="R1028" s="409" t="str">
        <f ca="1">IFERROR(CONCATENATE(VLOOKUP(A1028,GM_Table,12,FALSE)," ",(VLOOKUP(A1028,GM_Table,13,FALSE))),"")</f>
        <v/>
      </c>
      <c r="S1028" s="404"/>
      <c r="T1028" s="404"/>
      <c r="U1028" s="404"/>
      <c r="V1028" s="404"/>
      <c r="W1028" s="404"/>
      <c r="X1028" s="404"/>
    </row>
    <row r="1029" spans="1:24" ht="15" x14ac:dyDescent="0.2">
      <c r="A1029" s="413" t="s">
        <v>3538</v>
      </c>
      <c r="B1029" s="9" t="s">
        <v>3290</v>
      </c>
      <c r="C1029" s="9" t="s">
        <v>3291</v>
      </c>
      <c r="D1029" s="188">
        <v>6.5</v>
      </c>
      <c r="E1029" s="452">
        <v>3844.75</v>
      </c>
      <c r="F1029" s="507">
        <v>3558.75</v>
      </c>
      <c r="G1029" s="453"/>
      <c r="H1029" s="454"/>
      <c r="I1029" s="455"/>
      <c r="J1029" s="442" t="b">
        <f>IF(ISBLANK(CertifiedCrop[[#This Row],[1. Identifiant interne d’exploitation agricole*]]),"",IF(ISERROR(MATCH(CertifiedCrop[[#This Row],[1. Identifiant interne d’exploitation agricole*]],GroupMember[1. Identifiant interne d’exploitation agricole*],0)),FALSE,TRUE))</f>
        <v>1</v>
      </c>
      <c r="K1029" s="442" t="b">
        <f t="array" ref="K1029">IF(ISBLANK(CertifiedCrop[[#This Row],[2. Produit agricole certifié*]]),"",IF(ISERROR(MATCH(1,(#REF!=CertifiedCrop[[#This Row],[2. Produit agricole certifié*]])*(#REF!=CertifiedCrop[[#This Row],[3. Variété**]]),0)),FALSE,TRUE))</f>
        <v>0</v>
      </c>
      <c r="L1029" s="456" t="str">
        <f t="shared" si="85"/>
        <v/>
      </c>
      <c r="M1029" s="456" t="str">
        <f t="shared" si="86"/>
        <v/>
      </c>
      <c r="N1029" s="457" t="str">
        <f t="shared" si="87"/>
        <v/>
      </c>
      <c r="O1029" s="458">
        <f t="shared" si="88"/>
        <v>591.5</v>
      </c>
      <c r="P1029" s="458">
        <f t="shared" si="89"/>
        <v>547.5</v>
      </c>
      <c r="Q1029" s="443" t="str">
        <f ca="1">IFERROR((VLOOKUP(A1029,GM_Table,8,FALSE)-SUMIFS(D:D,A:A,A1029,B:B,B1029,C:C,C1029)),"")</f>
        <v/>
      </c>
      <c r="R1029" s="443" t="str">
        <f ca="1">IFERROR(CONCATENATE(VLOOKUP(A1029,GM_Table,12,FALSE)," ",(VLOOKUP(A1029,GM_Table,13,FALSE))),"")</f>
        <v/>
      </c>
    </row>
    <row r="1030" spans="1:24" ht="15" x14ac:dyDescent="0.2">
      <c r="A1030" s="412" t="s">
        <v>3602</v>
      </c>
      <c r="B1030" s="9" t="s">
        <v>3290</v>
      </c>
      <c r="C1030" s="9" t="s">
        <v>3291</v>
      </c>
      <c r="D1030" s="188">
        <v>1.7</v>
      </c>
      <c r="E1030" s="447">
        <v>1001.3</v>
      </c>
      <c r="F1030" s="506">
        <v>963.9</v>
      </c>
      <c r="G1030" s="448"/>
      <c r="H1030" s="449"/>
      <c r="I1030" s="450"/>
      <c r="J1030" s="398" t="b">
        <f>IF(ISBLANK(CertifiedCrop[[#This Row],[1. Identifiant interne d’exploitation agricole*]]),"",IF(ISERROR(MATCH(CertifiedCrop[[#This Row],[1. Identifiant interne d’exploitation agricole*]],GroupMember[1. Identifiant interne d’exploitation agricole*],0)),FALSE,TRUE))</f>
        <v>1</v>
      </c>
      <c r="K1030" s="398" t="b">
        <f t="array" ref="K1030">IF(ISBLANK(CertifiedCrop[[#This Row],[2. Produit agricole certifié*]]),"",IF(ISERROR(MATCH(1,(#REF!=CertifiedCrop[[#This Row],[2. Produit agricole certifié*]])*(#REF!=CertifiedCrop[[#This Row],[3. Variété**]]),0)),FALSE,TRUE))</f>
        <v>0</v>
      </c>
      <c r="L1030" s="374" t="str">
        <f t="shared" ref="L1030:L1061" si="90">IF((F1030-G1030)&lt;0,"!","")</f>
        <v/>
      </c>
      <c r="M1030" s="374" t="str">
        <f t="shared" ref="M1030:M1061" si="91">IFERROR(IF((F1030-G1030)/G1030&gt;25%,"!",IF((F1030-G1030)/G1030&lt;-25%,"!","")),"")</f>
        <v/>
      </c>
      <c r="N1030" s="414" t="str">
        <f t="shared" ref="N1030:N1061" si="92">IFERROR(IF((G1030-H1030)/H1030&gt;25%,"!",IF((G1030-H1030)/H1030&lt;-25%,"!","")),"")</f>
        <v/>
      </c>
      <c r="O1030" s="451">
        <f t="shared" ref="O1030:O1061" si="93">IFERROR(E1030/D1030,"")</f>
        <v>589</v>
      </c>
      <c r="P1030" s="451">
        <f t="shared" ref="P1030:P1061" si="94">IFERROR(F1030/D1030,"")</f>
        <v>567</v>
      </c>
      <c r="Q1030" s="373" t="str">
        <f ca="1">IFERROR((VLOOKUP(A1030,GM_Table,8,FALSE)-SUMIFS(D:D,A:A,A1030,B:B,B1030,C:C,C1030)),"")</f>
        <v/>
      </c>
      <c r="R1030" s="373" t="str">
        <f ca="1">IFERROR(CONCATENATE(VLOOKUP(A1030,GM_Table,12,FALSE)," ",(VLOOKUP(A1030,GM_Table,13,FALSE))),"")</f>
        <v/>
      </c>
    </row>
    <row r="1031" spans="1:24" ht="15" x14ac:dyDescent="0.2">
      <c r="A1031" s="405" t="s">
        <v>3603</v>
      </c>
      <c r="B1031" s="9" t="s">
        <v>3290</v>
      </c>
      <c r="C1031" s="9" t="s">
        <v>3291</v>
      </c>
      <c r="D1031" s="343">
        <v>4.5</v>
      </c>
      <c r="E1031" s="447">
        <v>2794.5</v>
      </c>
      <c r="F1031" s="506">
        <v>2646</v>
      </c>
      <c r="G1031" s="448"/>
      <c r="H1031" s="449"/>
      <c r="I1031" s="450"/>
      <c r="J1031" s="398" t="b">
        <f>IF(ISBLANK(CertifiedCrop[[#This Row],[1. Identifiant interne d’exploitation agricole*]]),"",IF(ISERROR(MATCH(CertifiedCrop[[#This Row],[1. Identifiant interne d’exploitation agricole*]],GroupMember[1. Identifiant interne d’exploitation agricole*],0)),FALSE,TRUE))</f>
        <v>1</v>
      </c>
      <c r="K1031" s="398" t="b">
        <f t="array" ref="K1031">IF(ISBLANK(CertifiedCrop[[#This Row],[2. Produit agricole certifié*]]),"",IF(ISERROR(MATCH(1,(#REF!=CertifiedCrop[[#This Row],[2. Produit agricole certifié*]])*(#REF!=CertifiedCrop[[#This Row],[3. Variété**]]),0)),FALSE,TRUE))</f>
        <v>0</v>
      </c>
      <c r="L1031" s="374" t="str">
        <f t="shared" si="90"/>
        <v/>
      </c>
      <c r="M1031" s="374" t="str">
        <f t="shared" si="91"/>
        <v/>
      </c>
      <c r="N1031" s="414" t="str">
        <f t="shared" si="92"/>
        <v/>
      </c>
      <c r="O1031" s="451">
        <f t="shared" si="93"/>
        <v>621</v>
      </c>
      <c r="P1031" s="451">
        <f t="shared" si="94"/>
        <v>588</v>
      </c>
      <c r="Q1031" s="373" t="str">
        <f ca="1">IFERROR((VLOOKUP(A1031,GM_Table,8,FALSE)-SUMIFS(D:D,A:A,A1031,B:B,B1031,C:C,C1031)),"")</f>
        <v/>
      </c>
      <c r="R1031" s="373" t="str">
        <f ca="1">IFERROR(CONCATENATE(VLOOKUP(A1031,GM_Table,12,FALSE)," ",(VLOOKUP(A1031,GM_Table,13,FALSE))),"")</f>
        <v/>
      </c>
    </row>
    <row r="1032" spans="1:24" ht="15" x14ac:dyDescent="0.2">
      <c r="A1032" s="412" t="s">
        <v>3604</v>
      </c>
      <c r="B1032" s="9" t="s">
        <v>3290</v>
      </c>
      <c r="C1032" s="9" t="s">
        <v>3291</v>
      </c>
      <c r="D1032" s="188">
        <v>2.5</v>
      </c>
      <c r="E1032" s="447">
        <v>1583.75</v>
      </c>
      <c r="F1032" s="506">
        <v>1546.875</v>
      </c>
      <c r="G1032" s="448"/>
      <c r="H1032" s="449"/>
      <c r="I1032" s="450"/>
      <c r="J1032" s="398" t="b">
        <f>IF(ISBLANK(CertifiedCrop[[#This Row],[1. Identifiant interne d’exploitation agricole*]]),"",IF(ISERROR(MATCH(CertifiedCrop[[#This Row],[1. Identifiant interne d’exploitation agricole*]],GroupMember[1. Identifiant interne d’exploitation agricole*],0)),FALSE,TRUE))</f>
        <v>1</v>
      </c>
      <c r="K1032" s="398" t="b">
        <f t="array" ref="K1032">IF(ISBLANK(CertifiedCrop[[#This Row],[2. Produit agricole certifié*]]),"",IF(ISERROR(MATCH(1,(#REF!=CertifiedCrop[[#This Row],[2. Produit agricole certifié*]])*(#REF!=CertifiedCrop[[#This Row],[3. Variété**]]),0)),FALSE,TRUE))</f>
        <v>0</v>
      </c>
      <c r="L1032" s="374" t="str">
        <f t="shared" si="90"/>
        <v/>
      </c>
      <c r="M1032" s="374" t="str">
        <f t="shared" si="91"/>
        <v/>
      </c>
      <c r="N1032" s="414" t="str">
        <f t="shared" si="92"/>
        <v/>
      </c>
      <c r="O1032" s="451">
        <f t="shared" si="93"/>
        <v>633.5</v>
      </c>
      <c r="P1032" s="451">
        <f t="shared" si="94"/>
        <v>618.75</v>
      </c>
      <c r="Q1032" s="373" t="str">
        <f ca="1">IFERROR((VLOOKUP(A1032,GM_Table,8,FALSE)-SUMIFS(D:D,A:A,A1032,B:B,B1032,C:C,C1032)),"")</f>
        <v/>
      </c>
      <c r="R1032" s="373" t="str">
        <f ca="1">IFERROR(CONCATENATE(VLOOKUP(A1032,GM_Table,12,FALSE)," ",(VLOOKUP(A1032,GM_Table,13,FALSE))),"")</f>
        <v/>
      </c>
    </row>
    <row r="1033" spans="1:24" ht="15" x14ac:dyDescent="0.2">
      <c r="A1033" s="405" t="s">
        <v>3605</v>
      </c>
      <c r="B1033" s="9" t="s">
        <v>3290</v>
      </c>
      <c r="C1033" s="9" t="s">
        <v>3291</v>
      </c>
      <c r="D1033" s="343">
        <v>1.5</v>
      </c>
      <c r="E1033" s="447">
        <v>816.75</v>
      </c>
      <c r="F1033" s="506">
        <v>789</v>
      </c>
      <c r="G1033" s="448"/>
      <c r="H1033" s="449"/>
      <c r="I1033" s="450"/>
      <c r="J1033" s="398" t="b">
        <f>IF(ISBLANK(CertifiedCrop[[#This Row],[1. Identifiant interne d’exploitation agricole*]]),"",IF(ISERROR(MATCH(CertifiedCrop[[#This Row],[1. Identifiant interne d’exploitation agricole*]],GroupMember[1. Identifiant interne d’exploitation agricole*],0)),FALSE,TRUE))</f>
        <v>1</v>
      </c>
      <c r="K1033" s="398" t="b">
        <f t="array" ref="K1033">IF(ISBLANK(CertifiedCrop[[#This Row],[2. Produit agricole certifié*]]),"",IF(ISERROR(MATCH(1,(#REF!=CertifiedCrop[[#This Row],[2. Produit agricole certifié*]])*(#REF!=CertifiedCrop[[#This Row],[3. Variété**]]),0)),FALSE,TRUE))</f>
        <v>0</v>
      </c>
      <c r="L1033" s="374" t="str">
        <f t="shared" si="90"/>
        <v/>
      </c>
      <c r="M1033" s="374" t="str">
        <f t="shared" si="91"/>
        <v/>
      </c>
      <c r="N1033" s="414" t="str">
        <f t="shared" si="92"/>
        <v/>
      </c>
      <c r="O1033" s="451">
        <f t="shared" si="93"/>
        <v>544.5</v>
      </c>
      <c r="P1033" s="451">
        <f t="shared" si="94"/>
        <v>526</v>
      </c>
      <c r="Q1033" s="373" t="str">
        <f ca="1">IFERROR((VLOOKUP(A1033,GM_Table,8,FALSE)-SUMIFS(D:D,A:A,A1033,B:B,B1033,C:C,C1033)),"")</f>
        <v/>
      </c>
      <c r="R1033" s="373" t="str">
        <f ca="1">IFERROR(CONCATENATE(VLOOKUP(A1033,GM_Table,12,FALSE)," ",(VLOOKUP(A1033,GM_Table,13,FALSE))),"")</f>
        <v/>
      </c>
    </row>
    <row r="1034" spans="1:24" ht="15" x14ac:dyDescent="0.2">
      <c r="A1034" s="412" t="s">
        <v>3606</v>
      </c>
      <c r="B1034" s="9" t="s">
        <v>3290</v>
      </c>
      <c r="C1034" s="9" t="s">
        <v>3291</v>
      </c>
      <c r="D1034" s="188">
        <v>0.8</v>
      </c>
      <c r="E1034" s="447">
        <v>438.74285714285719</v>
      </c>
      <c r="F1034" s="506">
        <v>421.6</v>
      </c>
      <c r="G1034" s="448"/>
      <c r="H1034" s="449"/>
      <c r="I1034" s="450"/>
      <c r="J1034" s="398" t="b">
        <f>IF(ISBLANK(CertifiedCrop[[#This Row],[1. Identifiant interne d’exploitation agricole*]]),"",IF(ISERROR(MATCH(CertifiedCrop[[#This Row],[1. Identifiant interne d’exploitation agricole*]],GroupMember[1. Identifiant interne d’exploitation agricole*],0)),FALSE,TRUE))</f>
        <v>1</v>
      </c>
      <c r="K1034" s="398" t="b">
        <f t="array" ref="K1034">IF(ISBLANK(CertifiedCrop[[#This Row],[2. Produit agricole certifié*]]),"",IF(ISERROR(MATCH(1,(#REF!=CertifiedCrop[[#This Row],[2. Produit agricole certifié*]])*(#REF!=CertifiedCrop[[#This Row],[3. Variété**]]),0)),FALSE,TRUE))</f>
        <v>0</v>
      </c>
      <c r="L1034" s="374" t="str">
        <f t="shared" si="90"/>
        <v/>
      </c>
      <c r="M1034" s="374" t="str">
        <f t="shared" si="91"/>
        <v/>
      </c>
      <c r="N1034" s="414" t="str">
        <f t="shared" si="92"/>
        <v/>
      </c>
      <c r="O1034" s="451">
        <f t="shared" si="93"/>
        <v>548.42857142857144</v>
      </c>
      <c r="P1034" s="451">
        <f t="shared" si="94"/>
        <v>527</v>
      </c>
      <c r="Q1034" s="373" t="str">
        <f ca="1">IFERROR((VLOOKUP(A1034,GM_Table,8,FALSE)-SUMIFS(D:D,A:A,A1034,B:B,B1034,C:C,C1034)),"")</f>
        <v/>
      </c>
      <c r="R1034" s="373" t="str">
        <f ca="1">IFERROR(CONCATENATE(VLOOKUP(A1034,GM_Table,12,FALSE)," ",(VLOOKUP(A1034,GM_Table,13,FALSE))),"")</f>
        <v/>
      </c>
    </row>
    <row r="1035" spans="1:24" ht="15" x14ac:dyDescent="0.2">
      <c r="A1035" s="405" t="s">
        <v>3607</v>
      </c>
      <c r="B1035" s="9" t="s">
        <v>3290</v>
      </c>
      <c r="C1035" s="9" t="s">
        <v>3291</v>
      </c>
      <c r="D1035" s="343">
        <v>4</v>
      </c>
      <c r="E1035" s="447">
        <v>2249.3333333333335</v>
      </c>
      <c r="F1035" s="506">
        <v>2104</v>
      </c>
      <c r="G1035" s="448"/>
      <c r="H1035" s="449"/>
      <c r="I1035" s="450"/>
      <c r="J1035" s="398" t="b">
        <f>IF(ISBLANK(CertifiedCrop[[#This Row],[1. Identifiant interne d’exploitation agricole*]]),"",IF(ISERROR(MATCH(CertifiedCrop[[#This Row],[1. Identifiant interne d’exploitation agricole*]],GroupMember[1. Identifiant interne d’exploitation agricole*],0)),FALSE,TRUE))</f>
        <v>1</v>
      </c>
      <c r="K1035" s="398" t="b">
        <f t="array" ref="K1035">IF(ISBLANK(CertifiedCrop[[#This Row],[2. Produit agricole certifié*]]),"",IF(ISERROR(MATCH(1,(#REF!=CertifiedCrop[[#This Row],[2. Produit agricole certifié*]])*(#REF!=CertifiedCrop[[#This Row],[3. Variété**]]),0)),FALSE,TRUE))</f>
        <v>0</v>
      </c>
      <c r="L1035" s="374" t="str">
        <f t="shared" si="90"/>
        <v/>
      </c>
      <c r="M1035" s="374" t="str">
        <f t="shared" si="91"/>
        <v/>
      </c>
      <c r="N1035" s="414" t="str">
        <f t="shared" si="92"/>
        <v/>
      </c>
      <c r="O1035" s="451">
        <f t="shared" si="93"/>
        <v>562.33333333333337</v>
      </c>
      <c r="P1035" s="451">
        <f t="shared" si="94"/>
        <v>526</v>
      </c>
      <c r="Q1035" s="373" t="str">
        <f ca="1">IFERROR((VLOOKUP(A1035,GM_Table,8,FALSE)-SUMIFS(D:D,A:A,A1035,B:B,B1035,C:C,C1035)),"")</f>
        <v/>
      </c>
      <c r="R1035" s="373" t="str">
        <f ca="1">IFERROR(CONCATENATE(VLOOKUP(A1035,GM_Table,12,FALSE)," ",(VLOOKUP(A1035,GM_Table,13,FALSE))),"")</f>
        <v/>
      </c>
    </row>
    <row r="1036" spans="1:24" ht="15" x14ac:dyDescent="0.2">
      <c r="A1036" s="412" t="s">
        <v>3608</v>
      </c>
      <c r="B1036" s="9" t="s">
        <v>3290</v>
      </c>
      <c r="C1036" s="9" t="s">
        <v>3291</v>
      </c>
      <c r="D1036" s="188">
        <v>0.6</v>
      </c>
      <c r="E1036" s="447">
        <v>354.9</v>
      </c>
      <c r="F1036" s="506">
        <v>328.5</v>
      </c>
      <c r="G1036" s="448"/>
      <c r="H1036" s="449"/>
      <c r="I1036" s="450"/>
      <c r="J1036" s="398" t="b">
        <f>IF(ISBLANK(CertifiedCrop[[#This Row],[1. Identifiant interne d’exploitation agricole*]]),"",IF(ISERROR(MATCH(CertifiedCrop[[#This Row],[1. Identifiant interne d’exploitation agricole*]],GroupMember[1. Identifiant interne d’exploitation agricole*],0)),FALSE,TRUE))</f>
        <v>1</v>
      </c>
      <c r="K1036" s="398" t="b">
        <f t="array" ref="K1036">IF(ISBLANK(CertifiedCrop[[#This Row],[2. Produit agricole certifié*]]),"",IF(ISERROR(MATCH(1,(#REF!=CertifiedCrop[[#This Row],[2. Produit agricole certifié*]])*(#REF!=CertifiedCrop[[#This Row],[3. Variété**]]),0)),FALSE,TRUE))</f>
        <v>0</v>
      </c>
      <c r="L1036" s="374" t="str">
        <f t="shared" si="90"/>
        <v/>
      </c>
      <c r="M1036" s="374" t="str">
        <f t="shared" si="91"/>
        <v/>
      </c>
      <c r="N1036" s="414" t="str">
        <f t="shared" si="92"/>
        <v/>
      </c>
      <c r="O1036" s="451">
        <f t="shared" si="93"/>
        <v>591.5</v>
      </c>
      <c r="P1036" s="451">
        <f t="shared" si="94"/>
        <v>547.5</v>
      </c>
      <c r="Q1036" s="373" t="str">
        <f ca="1">IFERROR((VLOOKUP(A1036,GM_Table,8,FALSE)-SUMIFS(D:D,A:A,A1036,B:B,B1036,C:C,C1036)),"")</f>
        <v/>
      </c>
      <c r="R1036" s="373" t="str">
        <f ca="1">IFERROR(CONCATENATE(VLOOKUP(A1036,GM_Table,12,FALSE)," ",(VLOOKUP(A1036,GM_Table,13,FALSE))),"")</f>
        <v/>
      </c>
    </row>
    <row r="1037" spans="1:24" ht="15" x14ac:dyDescent="0.2">
      <c r="A1037" s="405" t="s">
        <v>3609</v>
      </c>
      <c r="B1037" s="9" t="s">
        <v>3290</v>
      </c>
      <c r="C1037" s="9" t="s">
        <v>3291</v>
      </c>
      <c r="D1037" s="343">
        <v>3</v>
      </c>
      <c r="E1037" s="447">
        <v>1885.5</v>
      </c>
      <c r="F1037" s="506">
        <v>1810.5</v>
      </c>
      <c r="G1037" s="448"/>
      <c r="H1037" s="449"/>
      <c r="I1037" s="450"/>
      <c r="J1037" s="398" t="b">
        <f>IF(ISBLANK(CertifiedCrop[[#This Row],[1. Identifiant interne d’exploitation agricole*]]),"",IF(ISERROR(MATCH(CertifiedCrop[[#This Row],[1. Identifiant interne d’exploitation agricole*]],GroupMember[1. Identifiant interne d’exploitation agricole*],0)),FALSE,TRUE))</f>
        <v>1</v>
      </c>
      <c r="K1037" s="398" t="b">
        <f t="array" ref="K1037">IF(ISBLANK(CertifiedCrop[[#This Row],[2. Produit agricole certifié*]]),"",IF(ISERROR(MATCH(1,(#REF!=CertifiedCrop[[#This Row],[2. Produit agricole certifié*]])*(#REF!=CertifiedCrop[[#This Row],[3. Variété**]]),0)),FALSE,TRUE))</f>
        <v>0</v>
      </c>
      <c r="L1037" s="374" t="str">
        <f t="shared" si="90"/>
        <v/>
      </c>
      <c r="M1037" s="374" t="str">
        <f t="shared" si="91"/>
        <v/>
      </c>
      <c r="N1037" s="414" t="str">
        <f t="shared" si="92"/>
        <v/>
      </c>
      <c r="O1037" s="451">
        <f t="shared" si="93"/>
        <v>628.5</v>
      </c>
      <c r="P1037" s="451">
        <f t="shared" si="94"/>
        <v>603.5</v>
      </c>
      <c r="Q1037" s="373" t="str">
        <f ca="1">IFERROR((VLOOKUP(A1037,GM_Table,8,FALSE)-SUMIFS(D:D,A:A,A1037,B:B,B1037,C:C,C1037)),"")</f>
        <v/>
      </c>
      <c r="R1037" s="373" t="str">
        <f ca="1">IFERROR(CONCATENATE(VLOOKUP(A1037,GM_Table,12,FALSE)," ",(VLOOKUP(A1037,GM_Table,13,FALSE))),"")</f>
        <v/>
      </c>
    </row>
    <row r="1038" spans="1:24" ht="15" x14ac:dyDescent="0.2">
      <c r="A1038" s="412" t="s">
        <v>3610</v>
      </c>
      <c r="B1038" s="9" t="s">
        <v>3290</v>
      </c>
      <c r="C1038" s="9" t="s">
        <v>3291</v>
      </c>
      <c r="D1038" s="188">
        <v>0.9</v>
      </c>
      <c r="E1038" s="447">
        <v>528.30000000000007</v>
      </c>
      <c r="F1038" s="506">
        <v>515.25</v>
      </c>
      <c r="G1038" s="448"/>
      <c r="H1038" s="449"/>
      <c r="I1038" s="450"/>
      <c r="J1038" s="398" t="b">
        <f>IF(ISBLANK(CertifiedCrop[[#This Row],[1. Identifiant interne d’exploitation agricole*]]),"",IF(ISERROR(MATCH(CertifiedCrop[[#This Row],[1. Identifiant interne d’exploitation agricole*]],GroupMember[1. Identifiant interne d’exploitation agricole*],0)),FALSE,TRUE))</f>
        <v>1</v>
      </c>
      <c r="K1038" s="398" t="b">
        <f t="array" ref="K1038">IF(ISBLANK(CertifiedCrop[[#This Row],[2. Produit agricole certifié*]]),"",IF(ISERROR(MATCH(1,(#REF!=CertifiedCrop[[#This Row],[2. Produit agricole certifié*]])*(#REF!=CertifiedCrop[[#This Row],[3. Variété**]]),0)),FALSE,TRUE))</f>
        <v>0</v>
      </c>
      <c r="L1038" s="374" t="str">
        <f t="shared" si="90"/>
        <v/>
      </c>
      <c r="M1038" s="374" t="str">
        <f t="shared" si="91"/>
        <v/>
      </c>
      <c r="N1038" s="414" t="str">
        <f t="shared" si="92"/>
        <v/>
      </c>
      <c r="O1038" s="451">
        <f t="shared" si="93"/>
        <v>587.00000000000011</v>
      </c>
      <c r="P1038" s="451">
        <f t="shared" si="94"/>
        <v>572.5</v>
      </c>
      <c r="Q1038" s="373" t="str">
        <f ca="1">IFERROR((VLOOKUP(A1038,GM_Table,8,FALSE)-SUMIFS(D:D,A:A,A1038,B:B,B1038,C:C,C1038)),"")</f>
        <v/>
      </c>
      <c r="R1038" s="373" t="str">
        <f ca="1">IFERROR(CONCATENATE(VLOOKUP(A1038,GM_Table,12,FALSE)," ",(VLOOKUP(A1038,GM_Table,13,FALSE))),"")</f>
        <v/>
      </c>
    </row>
    <row r="1039" spans="1:24" ht="15" x14ac:dyDescent="0.2">
      <c r="A1039" s="405" t="s">
        <v>3611</v>
      </c>
      <c r="B1039" s="9" t="s">
        <v>3290</v>
      </c>
      <c r="C1039" s="9" t="s">
        <v>3291</v>
      </c>
      <c r="D1039" s="343">
        <v>1.2</v>
      </c>
      <c r="E1039" s="447">
        <v>760.19999999999993</v>
      </c>
      <c r="F1039" s="506">
        <v>738</v>
      </c>
      <c r="G1039" s="448"/>
      <c r="H1039" s="449"/>
      <c r="I1039" s="450"/>
      <c r="J1039" s="398" t="b">
        <f>IF(ISBLANK(CertifiedCrop[[#This Row],[1. Identifiant interne d’exploitation agricole*]]),"",IF(ISERROR(MATCH(CertifiedCrop[[#This Row],[1. Identifiant interne d’exploitation agricole*]],GroupMember[1. Identifiant interne d’exploitation agricole*],0)),FALSE,TRUE))</f>
        <v>1</v>
      </c>
      <c r="K1039" s="398" t="b">
        <f t="array" ref="K1039">IF(ISBLANK(CertifiedCrop[[#This Row],[2. Produit agricole certifié*]]),"",IF(ISERROR(MATCH(1,(#REF!=CertifiedCrop[[#This Row],[2. Produit agricole certifié*]])*(#REF!=CertifiedCrop[[#This Row],[3. Variété**]]),0)),FALSE,TRUE))</f>
        <v>0</v>
      </c>
      <c r="L1039" s="374" t="str">
        <f t="shared" si="90"/>
        <v/>
      </c>
      <c r="M1039" s="374" t="str">
        <f t="shared" si="91"/>
        <v/>
      </c>
      <c r="N1039" s="414" t="str">
        <f t="shared" si="92"/>
        <v/>
      </c>
      <c r="O1039" s="451">
        <f t="shared" si="93"/>
        <v>633.5</v>
      </c>
      <c r="P1039" s="451">
        <f t="shared" si="94"/>
        <v>615</v>
      </c>
      <c r="Q1039" s="373" t="str">
        <f ca="1">IFERROR((VLOOKUP(A1039,GM_Table,8,FALSE)-SUMIFS(D:D,A:A,A1039,B:B,B1039,C:C,C1039)),"")</f>
        <v/>
      </c>
      <c r="R1039" s="373" t="str">
        <f ca="1">IFERROR(CONCATENATE(VLOOKUP(A1039,GM_Table,12,FALSE)," ",(VLOOKUP(A1039,GM_Table,13,FALSE))),"")</f>
        <v/>
      </c>
    </row>
    <row r="1040" spans="1:24" ht="15" x14ac:dyDescent="0.2">
      <c r="A1040" s="412" t="s">
        <v>3612</v>
      </c>
      <c r="B1040" s="9" t="s">
        <v>3290</v>
      </c>
      <c r="C1040" s="9" t="s">
        <v>3291</v>
      </c>
      <c r="D1040" s="188">
        <v>1.4</v>
      </c>
      <c r="E1040" s="447">
        <v>736.86666666666667</v>
      </c>
      <c r="F1040" s="506">
        <v>690.19999999999993</v>
      </c>
      <c r="G1040" s="448"/>
      <c r="H1040" s="449"/>
      <c r="I1040" s="450"/>
      <c r="J1040" s="398" t="b">
        <f>IF(ISBLANK(CertifiedCrop[[#This Row],[1. Identifiant interne d’exploitation agricole*]]),"",IF(ISERROR(MATCH(CertifiedCrop[[#This Row],[1. Identifiant interne d’exploitation agricole*]],GroupMember[1. Identifiant interne d’exploitation agricole*],0)),FALSE,TRUE))</f>
        <v>1</v>
      </c>
      <c r="K1040" s="398" t="b">
        <f t="array" ref="K1040">IF(ISBLANK(CertifiedCrop[[#This Row],[2. Produit agricole certifié*]]),"",IF(ISERROR(MATCH(1,(#REF!=CertifiedCrop[[#This Row],[2. Produit agricole certifié*]])*(#REF!=CertifiedCrop[[#This Row],[3. Variété**]]),0)),FALSE,TRUE))</f>
        <v>0</v>
      </c>
      <c r="L1040" s="374" t="str">
        <f t="shared" si="90"/>
        <v/>
      </c>
      <c r="M1040" s="374" t="str">
        <f t="shared" si="91"/>
        <v/>
      </c>
      <c r="N1040" s="414" t="str">
        <f t="shared" si="92"/>
        <v/>
      </c>
      <c r="O1040" s="451">
        <f t="shared" si="93"/>
        <v>526.33333333333337</v>
      </c>
      <c r="P1040" s="451">
        <f t="shared" si="94"/>
        <v>493</v>
      </c>
      <c r="Q1040" s="373" t="str">
        <f ca="1">IFERROR((VLOOKUP(A1040,GM_Table,8,FALSE)-SUMIFS(D:D,A:A,A1040,B:B,B1040,C:C,C1040)),"")</f>
        <v/>
      </c>
      <c r="R1040" s="373" t="str">
        <f ca="1">IFERROR(CONCATENATE(VLOOKUP(A1040,GM_Table,12,FALSE)," ",(VLOOKUP(A1040,GM_Table,13,FALSE))),"")</f>
        <v/>
      </c>
    </row>
    <row r="1041" spans="1:18" ht="15" x14ac:dyDescent="0.2">
      <c r="A1041" s="405" t="s">
        <v>3613</v>
      </c>
      <c r="B1041" s="9" t="s">
        <v>3290</v>
      </c>
      <c r="C1041" s="9" t="s">
        <v>3291</v>
      </c>
      <c r="D1041" s="343">
        <v>7.9</v>
      </c>
      <c r="E1041" s="447">
        <v>4672.8500000000004</v>
      </c>
      <c r="F1041" s="506">
        <v>4329.2</v>
      </c>
      <c r="G1041" s="448"/>
      <c r="H1041" s="449"/>
      <c r="I1041" s="450"/>
      <c r="J1041" s="398" t="b">
        <f>IF(ISBLANK(CertifiedCrop[[#This Row],[1. Identifiant interne d’exploitation agricole*]]),"",IF(ISERROR(MATCH(CertifiedCrop[[#This Row],[1. Identifiant interne d’exploitation agricole*]],GroupMember[1. Identifiant interne d’exploitation agricole*],0)),FALSE,TRUE))</f>
        <v>1</v>
      </c>
      <c r="K1041" s="398" t="b">
        <f t="array" ref="K1041">IF(ISBLANK(CertifiedCrop[[#This Row],[2. Produit agricole certifié*]]),"",IF(ISERROR(MATCH(1,(#REF!=CertifiedCrop[[#This Row],[2. Produit agricole certifié*]])*(#REF!=CertifiedCrop[[#This Row],[3. Variété**]]),0)),FALSE,TRUE))</f>
        <v>0</v>
      </c>
      <c r="L1041" s="374" t="str">
        <f t="shared" si="90"/>
        <v/>
      </c>
      <c r="M1041" s="374" t="str">
        <f t="shared" si="91"/>
        <v/>
      </c>
      <c r="N1041" s="414" t="str">
        <f t="shared" si="92"/>
        <v/>
      </c>
      <c r="O1041" s="451">
        <f t="shared" si="93"/>
        <v>591.5</v>
      </c>
      <c r="P1041" s="451">
        <f t="shared" si="94"/>
        <v>548</v>
      </c>
      <c r="Q1041" s="373" t="str">
        <f ca="1">IFERROR((VLOOKUP(A1041,GM_Table,8,FALSE)-SUMIFS(D:D,A:A,A1041,B:B,B1041,C:C,C1041)),"")</f>
        <v/>
      </c>
      <c r="R1041" s="373" t="str">
        <f ca="1">IFERROR(CONCATENATE(VLOOKUP(A1041,GM_Table,12,FALSE)," ",(VLOOKUP(A1041,GM_Table,13,FALSE))),"")</f>
        <v/>
      </c>
    </row>
    <row r="1042" spans="1:18" ht="15" x14ac:dyDescent="0.2">
      <c r="A1042" s="412" t="s">
        <v>3614</v>
      </c>
      <c r="B1042" s="9" t="s">
        <v>3290</v>
      </c>
      <c r="C1042" s="9" t="s">
        <v>3291</v>
      </c>
      <c r="D1042" s="188">
        <v>1.8</v>
      </c>
      <c r="E1042" s="447">
        <v>1066.7368421052631</v>
      </c>
      <c r="F1042" s="506">
        <v>996.63157894736855</v>
      </c>
      <c r="G1042" s="448"/>
      <c r="H1042" s="449"/>
      <c r="I1042" s="450"/>
      <c r="J1042" s="398" t="b">
        <f>IF(ISBLANK(CertifiedCrop[[#This Row],[1. Identifiant interne d’exploitation agricole*]]),"",IF(ISERROR(MATCH(CertifiedCrop[[#This Row],[1. Identifiant interne d’exploitation agricole*]],GroupMember[1. Identifiant interne d’exploitation agricole*],0)),FALSE,TRUE))</f>
        <v>1</v>
      </c>
      <c r="K1042" s="398" t="b">
        <f t="array" ref="K1042">IF(ISBLANK(CertifiedCrop[[#This Row],[2. Produit agricole certifié*]]),"",IF(ISERROR(MATCH(1,(#REF!=CertifiedCrop[[#This Row],[2. Produit agricole certifié*]])*(#REF!=CertifiedCrop[[#This Row],[3. Variété**]]),0)),FALSE,TRUE))</f>
        <v>0</v>
      </c>
      <c r="L1042" s="374" t="str">
        <f t="shared" si="90"/>
        <v/>
      </c>
      <c r="M1042" s="374" t="str">
        <f t="shared" si="91"/>
        <v/>
      </c>
      <c r="N1042" s="414" t="str">
        <f t="shared" si="92"/>
        <v/>
      </c>
      <c r="O1042" s="451">
        <f t="shared" si="93"/>
        <v>592.63157894736844</v>
      </c>
      <c r="P1042" s="451">
        <f t="shared" si="94"/>
        <v>553.68421052631584</v>
      </c>
      <c r="Q1042" s="373" t="str">
        <f ca="1">IFERROR((VLOOKUP(A1042,GM_Table,8,FALSE)-SUMIFS(D:D,A:A,A1042,B:B,B1042,C:C,C1042)),"")</f>
        <v/>
      </c>
      <c r="R1042" s="373" t="str">
        <f ca="1">IFERROR(CONCATENATE(VLOOKUP(A1042,GM_Table,12,FALSE)," ",(VLOOKUP(A1042,GM_Table,13,FALSE))),"")</f>
        <v/>
      </c>
    </row>
    <row r="1043" spans="1:18" ht="15" x14ac:dyDescent="0.2">
      <c r="A1043" s="405" t="s">
        <v>3615</v>
      </c>
      <c r="B1043" s="9" t="s">
        <v>3290</v>
      </c>
      <c r="C1043" s="9" t="s">
        <v>3291</v>
      </c>
      <c r="D1043" s="343">
        <v>1</v>
      </c>
      <c r="E1043" s="447">
        <v>636.6</v>
      </c>
      <c r="F1043" s="506">
        <v>613.79999999999995</v>
      </c>
      <c r="G1043" s="448"/>
      <c r="H1043" s="449"/>
      <c r="I1043" s="450"/>
      <c r="J1043" s="398" t="b">
        <f>IF(ISBLANK(CertifiedCrop[[#This Row],[1. Identifiant interne d’exploitation agricole*]]),"",IF(ISERROR(MATCH(CertifiedCrop[[#This Row],[1. Identifiant interne d’exploitation agricole*]],GroupMember[1. Identifiant interne d’exploitation agricole*],0)),FALSE,TRUE))</f>
        <v>1</v>
      </c>
      <c r="K1043" s="398" t="b">
        <f t="array" ref="K1043">IF(ISBLANK(CertifiedCrop[[#This Row],[2. Produit agricole certifié*]]),"",IF(ISERROR(MATCH(1,(#REF!=CertifiedCrop[[#This Row],[2. Produit agricole certifié*]])*(#REF!=CertifiedCrop[[#This Row],[3. Variété**]]),0)),FALSE,TRUE))</f>
        <v>0</v>
      </c>
      <c r="L1043" s="374" t="str">
        <f t="shared" si="90"/>
        <v/>
      </c>
      <c r="M1043" s="374" t="str">
        <f t="shared" si="91"/>
        <v/>
      </c>
      <c r="N1043" s="414" t="str">
        <f t="shared" si="92"/>
        <v/>
      </c>
      <c r="O1043" s="451">
        <f t="shared" si="93"/>
        <v>636.6</v>
      </c>
      <c r="P1043" s="451">
        <f t="shared" si="94"/>
        <v>613.79999999999995</v>
      </c>
      <c r="Q1043" s="373" t="str">
        <f ca="1">IFERROR((VLOOKUP(A1043,GM_Table,8,FALSE)-SUMIFS(D:D,A:A,A1043,B:B,B1043,C:C,C1043)),"")</f>
        <v/>
      </c>
      <c r="R1043" s="373" t="str">
        <f ca="1">IFERROR(CONCATENATE(VLOOKUP(A1043,GM_Table,12,FALSE)," ",(VLOOKUP(A1043,GM_Table,13,FALSE))),"")</f>
        <v/>
      </c>
    </row>
    <row r="1044" spans="1:18" ht="15" x14ac:dyDescent="0.2">
      <c r="A1044" s="412" t="s">
        <v>3616</v>
      </c>
      <c r="B1044" s="9" t="s">
        <v>3290</v>
      </c>
      <c r="C1044" s="9" t="s">
        <v>3291</v>
      </c>
      <c r="D1044" s="188">
        <v>2.9</v>
      </c>
      <c r="E1044" s="447">
        <v>1593.1290322580646</v>
      </c>
      <c r="F1044" s="506">
        <v>1576.2903225806449</v>
      </c>
      <c r="G1044" s="448"/>
      <c r="H1044" s="449"/>
      <c r="I1044" s="450"/>
      <c r="J1044" s="398" t="b">
        <f>IF(ISBLANK(CertifiedCrop[[#This Row],[1. Identifiant interne d’exploitation agricole*]]),"",IF(ISERROR(MATCH(CertifiedCrop[[#This Row],[1. Identifiant interne d’exploitation agricole*]],GroupMember[1. Identifiant interne d’exploitation agricole*],0)),FALSE,TRUE))</f>
        <v>1</v>
      </c>
      <c r="K1044" s="398" t="b">
        <f t="array" ref="K1044">IF(ISBLANK(CertifiedCrop[[#This Row],[2. Produit agricole certifié*]]),"",IF(ISERROR(MATCH(1,(#REF!=CertifiedCrop[[#This Row],[2. Produit agricole certifié*]])*(#REF!=CertifiedCrop[[#This Row],[3. Variété**]]),0)),FALSE,TRUE))</f>
        <v>0</v>
      </c>
      <c r="L1044" s="374" t="str">
        <f t="shared" si="90"/>
        <v/>
      </c>
      <c r="M1044" s="374" t="str">
        <f t="shared" si="91"/>
        <v/>
      </c>
      <c r="N1044" s="414" t="str">
        <f t="shared" si="92"/>
        <v/>
      </c>
      <c r="O1044" s="451">
        <f t="shared" si="93"/>
        <v>549.35483870967744</v>
      </c>
      <c r="P1044" s="451">
        <f t="shared" si="94"/>
        <v>543.54838709677415</v>
      </c>
      <c r="Q1044" s="373" t="str">
        <f ca="1">IFERROR((VLOOKUP(A1044,GM_Table,8,FALSE)-SUMIFS(D:D,A:A,A1044,B:B,B1044,C:C,C1044)),"")</f>
        <v/>
      </c>
      <c r="R1044" s="373" t="str">
        <f ca="1">IFERROR(CONCATENATE(VLOOKUP(A1044,GM_Table,12,FALSE)," ",(VLOOKUP(A1044,GM_Table,13,FALSE))),"")</f>
        <v/>
      </c>
    </row>
    <row r="1045" spans="1:18" ht="15" x14ac:dyDescent="0.2">
      <c r="A1045" s="405" t="s">
        <v>3617</v>
      </c>
      <c r="B1045" s="9" t="s">
        <v>3290</v>
      </c>
      <c r="C1045" s="9" t="s">
        <v>3291</v>
      </c>
      <c r="D1045" s="343">
        <v>1.7</v>
      </c>
      <c r="E1045" s="447">
        <v>935.88541666666674</v>
      </c>
      <c r="F1045" s="506">
        <v>888.95833333333348</v>
      </c>
      <c r="G1045" s="448"/>
      <c r="H1045" s="449"/>
      <c r="I1045" s="450"/>
      <c r="J1045" s="398" t="b">
        <f>IF(ISBLANK(CertifiedCrop[[#This Row],[1. Identifiant interne d’exploitation agricole*]]),"",IF(ISERROR(MATCH(CertifiedCrop[[#This Row],[1. Identifiant interne d’exploitation agricole*]],GroupMember[1. Identifiant interne d’exploitation agricole*],0)),FALSE,TRUE))</f>
        <v>1</v>
      </c>
      <c r="K1045" s="398" t="b">
        <f t="array" ref="K1045">IF(ISBLANK(CertifiedCrop[[#This Row],[2. Produit agricole certifié*]]),"",IF(ISERROR(MATCH(1,(#REF!=CertifiedCrop[[#This Row],[2. Produit agricole certifié*]])*(#REF!=CertifiedCrop[[#This Row],[3. Variété**]]),0)),FALSE,TRUE))</f>
        <v>0</v>
      </c>
      <c r="L1045" s="374" t="str">
        <f t="shared" si="90"/>
        <v/>
      </c>
      <c r="M1045" s="374" t="str">
        <f t="shared" si="91"/>
        <v/>
      </c>
      <c r="N1045" s="414" t="str">
        <f t="shared" si="92"/>
        <v/>
      </c>
      <c r="O1045" s="451">
        <f t="shared" si="93"/>
        <v>550.52083333333337</v>
      </c>
      <c r="P1045" s="451">
        <f t="shared" si="94"/>
        <v>522.91666666666674</v>
      </c>
      <c r="Q1045" s="373" t="str">
        <f ca="1">IFERROR((VLOOKUP(A1045,GM_Table,8,FALSE)-SUMIFS(D:D,A:A,A1045,B:B,B1045,C:C,C1045)),"")</f>
        <v/>
      </c>
      <c r="R1045" s="373" t="str">
        <f ca="1">IFERROR(CONCATENATE(VLOOKUP(A1045,GM_Table,12,FALSE)," ",(VLOOKUP(A1045,GM_Table,13,FALSE))),"")</f>
        <v/>
      </c>
    </row>
    <row r="1046" spans="1:18" ht="15" x14ac:dyDescent="0.2">
      <c r="A1046" s="412" t="s">
        <v>3618</v>
      </c>
      <c r="B1046" s="9" t="s">
        <v>3290</v>
      </c>
      <c r="C1046" s="9" t="s">
        <v>3291</v>
      </c>
      <c r="D1046" s="188">
        <v>2.2999999999999998</v>
      </c>
      <c r="E1046" s="447">
        <v>1203.5616438356165</v>
      </c>
      <c r="F1046" s="506">
        <v>1153.1506849315067</v>
      </c>
      <c r="G1046" s="448"/>
      <c r="H1046" s="449"/>
      <c r="I1046" s="450"/>
      <c r="J1046" s="398" t="b">
        <f>IF(ISBLANK(CertifiedCrop[[#This Row],[1. Identifiant interne d’exploitation agricole*]]),"",IF(ISERROR(MATCH(CertifiedCrop[[#This Row],[1. Identifiant interne d’exploitation agricole*]],GroupMember[1. Identifiant interne d’exploitation agricole*],0)),FALSE,TRUE))</f>
        <v>1</v>
      </c>
      <c r="K1046" s="398" t="b">
        <f t="array" ref="K1046">IF(ISBLANK(CertifiedCrop[[#This Row],[2. Produit agricole certifié*]]),"",IF(ISERROR(MATCH(1,(#REF!=CertifiedCrop[[#This Row],[2. Produit agricole certifié*]])*(#REF!=CertifiedCrop[[#This Row],[3. Variété**]]),0)),FALSE,TRUE))</f>
        <v>0</v>
      </c>
      <c r="L1046" s="374" t="str">
        <f t="shared" si="90"/>
        <v/>
      </c>
      <c r="M1046" s="374" t="str">
        <f t="shared" si="91"/>
        <v/>
      </c>
      <c r="N1046" s="414" t="str">
        <f t="shared" si="92"/>
        <v/>
      </c>
      <c r="O1046" s="451">
        <f t="shared" si="93"/>
        <v>523.28767123287673</v>
      </c>
      <c r="P1046" s="451">
        <f t="shared" si="94"/>
        <v>501.36986301369859</v>
      </c>
      <c r="Q1046" s="373" t="str">
        <f ca="1">IFERROR((VLOOKUP(A1046,GM_Table,8,FALSE)-SUMIFS(D:D,A:A,A1046,B:B,B1046,C:C,C1046)),"")</f>
        <v/>
      </c>
      <c r="R1046" s="373" t="str">
        <f ca="1">IFERROR(CONCATENATE(VLOOKUP(A1046,GM_Table,12,FALSE)," ",(VLOOKUP(A1046,GM_Table,13,FALSE))),"")</f>
        <v/>
      </c>
    </row>
    <row r="1047" spans="1:18" ht="15" x14ac:dyDescent="0.2">
      <c r="A1047" s="405" t="s">
        <v>3619</v>
      </c>
      <c r="B1047" s="9" t="s">
        <v>3290</v>
      </c>
      <c r="C1047" s="9" t="s">
        <v>3291</v>
      </c>
      <c r="D1047" s="343">
        <v>3.9</v>
      </c>
      <c r="E1047" s="447">
        <v>2400.4651162790697</v>
      </c>
      <c r="F1047" s="506">
        <v>2312.7906976744184</v>
      </c>
      <c r="G1047" s="448"/>
      <c r="H1047" s="449"/>
      <c r="I1047" s="450"/>
      <c r="J1047" s="398" t="b">
        <f>IF(ISBLANK(CertifiedCrop[[#This Row],[1. Identifiant interne d’exploitation agricole*]]),"",IF(ISERROR(MATCH(CertifiedCrop[[#This Row],[1. Identifiant interne d’exploitation agricole*]],GroupMember[1. Identifiant interne d’exploitation agricole*],0)),FALSE,TRUE))</f>
        <v>1</v>
      </c>
      <c r="K1047" s="398" t="b">
        <f t="array" ref="K1047">IF(ISBLANK(CertifiedCrop[[#This Row],[2. Produit agricole certifié*]]),"",IF(ISERROR(MATCH(1,(#REF!=CertifiedCrop[[#This Row],[2. Produit agricole certifié*]])*(#REF!=CertifiedCrop[[#This Row],[3. Variété**]]),0)),FALSE,TRUE))</f>
        <v>0</v>
      </c>
      <c r="L1047" s="374" t="str">
        <f t="shared" si="90"/>
        <v/>
      </c>
      <c r="M1047" s="374" t="str">
        <f t="shared" si="91"/>
        <v/>
      </c>
      <c r="N1047" s="414" t="str">
        <f t="shared" si="92"/>
        <v/>
      </c>
      <c r="O1047" s="451">
        <f t="shared" si="93"/>
        <v>615.50387596899225</v>
      </c>
      <c r="P1047" s="451">
        <f t="shared" si="94"/>
        <v>593.02325581395348</v>
      </c>
      <c r="Q1047" s="373" t="str">
        <f ca="1">IFERROR((VLOOKUP(A1047,GM_Table,8,FALSE)-SUMIFS(D:D,A:A,A1047,B:B,B1047,C:C,C1047)),"")</f>
        <v/>
      </c>
      <c r="R1047" s="373" t="str">
        <f ca="1">IFERROR(CONCATENATE(VLOOKUP(A1047,GM_Table,12,FALSE)," ",(VLOOKUP(A1047,GM_Table,13,FALSE))),"")</f>
        <v/>
      </c>
    </row>
    <row r="1048" spans="1:18" ht="15" x14ac:dyDescent="0.2">
      <c r="A1048" s="412" t="s">
        <v>3620</v>
      </c>
      <c r="B1048" s="9" t="s">
        <v>3290</v>
      </c>
      <c r="C1048" s="9" t="s">
        <v>3291</v>
      </c>
      <c r="D1048" s="188">
        <v>5.5</v>
      </c>
      <c r="E1048" s="447">
        <v>3031.6265060240962</v>
      </c>
      <c r="F1048" s="506">
        <v>2998.4939759036151</v>
      </c>
      <c r="G1048" s="448"/>
      <c r="H1048" s="449"/>
      <c r="I1048" s="450"/>
      <c r="J1048" s="398" t="b">
        <f>IF(ISBLANK(CertifiedCrop[[#This Row],[1. Identifiant interne d’exploitation agricole*]]),"",IF(ISERROR(MATCH(CertifiedCrop[[#This Row],[1. Identifiant interne d’exploitation agricole*]],GroupMember[1. Identifiant interne d’exploitation agricole*],0)),FALSE,TRUE))</f>
        <v>1</v>
      </c>
      <c r="K1048" s="398" t="b">
        <f t="array" ref="K1048">IF(ISBLANK(CertifiedCrop[[#This Row],[2. Produit agricole certifié*]]),"",IF(ISERROR(MATCH(1,(#REF!=CertifiedCrop[[#This Row],[2. Produit agricole certifié*]])*(#REF!=CertifiedCrop[[#This Row],[3. Variété**]]),0)),FALSE,TRUE))</f>
        <v>0</v>
      </c>
      <c r="L1048" s="374" t="str">
        <f t="shared" si="90"/>
        <v/>
      </c>
      <c r="M1048" s="374" t="str">
        <f t="shared" si="91"/>
        <v/>
      </c>
      <c r="N1048" s="414" t="str">
        <f t="shared" si="92"/>
        <v/>
      </c>
      <c r="O1048" s="451">
        <f t="shared" si="93"/>
        <v>551.20481927710841</v>
      </c>
      <c r="P1048" s="451">
        <f t="shared" si="94"/>
        <v>545.18072289156635</v>
      </c>
      <c r="Q1048" s="373" t="str">
        <f ca="1">IFERROR((VLOOKUP(A1048,GM_Table,8,FALSE)-SUMIFS(D:D,A:A,A1048,B:B,B1048,C:C,C1048)),"")</f>
        <v/>
      </c>
      <c r="R1048" s="373" t="str">
        <f ca="1">IFERROR(CONCATENATE(VLOOKUP(A1048,GM_Table,12,FALSE)," ",(VLOOKUP(A1048,GM_Table,13,FALSE))),"")</f>
        <v/>
      </c>
    </row>
    <row r="1049" spans="1:18" ht="15" x14ac:dyDescent="0.2">
      <c r="A1049" s="405" t="s">
        <v>3621</v>
      </c>
      <c r="B1049" s="9" t="s">
        <v>3290</v>
      </c>
      <c r="C1049" s="9" t="s">
        <v>3291</v>
      </c>
      <c r="D1049" s="343">
        <v>2.4</v>
      </c>
      <c r="E1049" s="447">
        <v>1440</v>
      </c>
      <c r="F1049" s="506">
        <v>1377.831325301205</v>
      </c>
      <c r="G1049" s="448"/>
      <c r="H1049" s="449"/>
      <c r="I1049" s="450"/>
      <c r="J1049" s="398" t="b">
        <f>IF(ISBLANK(CertifiedCrop[[#This Row],[1. Identifiant interne d’exploitation agricole*]]),"",IF(ISERROR(MATCH(CertifiedCrop[[#This Row],[1. Identifiant interne d’exploitation agricole*]],GroupMember[1. Identifiant interne d’exploitation agricole*],0)),FALSE,TRUE))</f>
        <v>1</v>
      </c>
      <c r="K1049" s="398" t="b">
        <f t="array" ref="K1049">IF(ISBLANK(CertifiedCrop[[#This Row],[2. Produit agricole certifié*]]),"",IF(ISERROR(MATCH(1,(#REF!=CertifiedCrop[[#This Row],[2. Produit agricole certifié*]])*(#REF!=CertifiedCrop[[#This Row],[3. Variété**]]),0)),FALSE,TRUE))</f>
        <v>0</v>
      </c>
      <c r="L1049" s="374" t="str">
        <f t="shared" si="90"/>
        <v/>
      </c>
      <c r="M1049" s="374" t="str">
        <f t="shared" si="91"/>
        <v/>
      </c>
      <c r="N1049" s="414" t="str">
        <f t="shared" si="92"/>
        <v/>
      </c>
      <c r="O1049" s="451">
        <f t="shared" si="93"/>
        <v>600</v>
      </c>
      <c r="P1049" s="451">
        <f t="shared" si="94"/>
        <v>574.09638554216872</v>
      </c>
      <c r="Q1049" s="373" t="str">
        <f ca="1">IFERROR((VLOOKUP(A1049,GM_Table,8,FALSE)-SUMIFS(D:D,A:A,A1049,B:B,B1049,C:C,C1049)),"")</f>
        <v/>
      </c>
      <c r="R1049" s="373" t="str">
        <f ca="1">IFERROR(CONCATENATE(VLOOKUP(A1049,GM_Table,12,FALSE)," ",(VLOOKUP(A1049,GM_Table,13,FALSE))),"")</f>
        <v/>
      </c>
    </row>
    <row r="1050" spans="1:18" ht="15" x14ac:dyDescent="0.2">
      <c r="A1050" s="412" t="s">
        <v>3622</v>
      </c>
      <c r="B1050" s="9" t="s">
        <v>3290</v>
      </c>
      <c r="C1050" s="9" t="s">
        <v>3291</v>
      </c>
      <c r="D1050" s="188">
        <v>2.9</v>
      </c>
      <c r="E1050" s="447">
        <v>1715.0537634408602</v>
      </c>
      <c r="F1050" s="506">
        <v>1587.2043010752686</v>
      </c>
      <c r="G1050" s="448"/>
      <c r="H1050" s="449"/>
      <c r="I1050" s="450"/>
      <c r="J1050" s="398" t="b">
        <f>IF(ISBLANK(CertifiedCrop[[#This Row],[1. Identifiant interne d’exploitation agricole*]]),"",IF(ISERROR(MATCH(CertifiedCrop[[#This Row],[1. Identifiant interne d’exploitation agricole*]],GroupMember[1. Identifiant interne d’exploitation agricole*],0)),FALSE,TRUE))</f>
        <v>1</v>
      </c>
      <c r="K1050" s="398" t="b">
        <f t="array" ref="K1050">IF(ISBLANK(CertifiedCrop[[#This Row],[2. Produit agricole certifié*]]),"",IF(ISERROR(MATCH(1,(#REF!=CertifiedCrop[[#This Row],[2. Produit agricole certifié*]])*(#REF!=CertifiedCrop[[#This Row],[3. Variété**]]),0)),FALSE,TRUE))</f>
        <v>0</v>
      </c>
      <c r="L1050" s="374" t="str">
        <f t="shared" si="90"/>
        <v/>
      </c>
      <c r="M1050" s="374" t="str">
        <f t="shared" si="91"/>
        <v/>
      </c>
      <c r="N1050" s="414" t="str">
        <f t="shared" si="92"/>
        <v/>
      </c>
      <c r="O1050" s="451">
        <f t="shared" si="93"/>
        <v>591.39784946236557</v>
      </c>
      <c r="P1050" s="451">
        <f t="shared" si="94"/>
        <v>547.31182795698919</v>
      </c>
      <c r="Q1050" s="373" t="str">
        <f ca="1">IFERROR((VLOOKUP(A1050,GM_Table,8,FALSE)-SUMIFS(D:D,A:A,A1050,B:B,B1050,C:C,C1050)),"")</f>
        <v/>
      </c>
      <c r="R1050" s="373" t="str">
        <f ca="1">IFERROR(CONCATENATE(VLOOKUP(A1050,GM_Table,12,FALSE)," ",(VLOOKUP(A1050,GM_Table,13,FALSE))),"")</f>
        <v/>
      </c>
    </row>
    <row r="1051" spans="1:18" ht="15" x14ac:dyDescent="0.2">
      <c r="A1051" s="405" t="s">
        <v>3623</v>
      </c>
      <c r="B1051" s="9" t="s">
        <v>3290</v>
      </c>
      <c r="C1051" s="9" t="s">
        <v>3291</v>
      </c>
      <c r="D1051" s="343">
        <v>2.2000000000000002</v>
      </c>
      <c r="E1051" s="447">
        <v>1166.6666666666667</v>
      </c>
      <c r="F1051" s="506">
        <v>1092.2666666666669</v>
      </c>
      <c r="G1051" s="448"/>
      <c r="H1051" s="449"/>
      <c r="I1051" s="450"/>
      <c r="J1051" s="398" t="b">
        <f>IF(ISBLANK(CertifiedCrop[[#This Row],[1. Identifiant interne d’exploitation agricole*]]),"",IF(ISERROR(MATCH(CertifiedCrop[[#This Row],[1. Identifiant interne d’exploitation agricole*]],GroupMember[1. Identifiant interne d’exploitation agricole*],0)),FALSE,TRUE))</f>
        <v>1</v>
      </c>
      <c r="K1051" s="398" t="b">
        <f t="array" ref="K1051">IF(ISBLANK(CertifiedCrop[[#This Row],[2. Produit agricole certifié*]]),"",IF(ISERROR(MATCH(1,(#REF!=CertifiedCrop[[#This Row],[2. Produit agricole certifié*]])*(#REF!=CertifiedCrop[[#This Row],[3. Variété**]]),0)),FALSE,TRUE))</f>
        <v>0</v>
      </c>
      <c r="L1051" s="374" t="str">
        <f t="shared" si="90"/>
        <v/>
      </c>
      <c r="M1051" s="374" t="str">
        <f t="shared" si="91"/>
        <v/>
      </c>
      <c r="N1051" s="414" t="str">
        <f t="shared" si="92"/>
        <v/>
      </c>
      <c r="O1051" s="451">
        <f t="shared" si="93"/>
        <v>530.30303030303025</v>
      </c>
      <c r="P1051" s="451">
        <f t="shared" si="94"/>
        <v>496.48484848484856</v>
      </c>
      <c r="Q1051" s="373" t="str">
        <f ca="1">IFERROR((VLOOKUP(A1051,GM_Table,8,FALSE)-SUMIFS(D:D,A:A,A1051,B:B,B1051,C:C,C1051)),"")</f>
        <v/>
      </c>
      <c r="R1051" s="373" t="str">
        <f ca="1">IFERROR(CONCATENATE(VLOOKUP(A1051,GM_Table,12,FALSE)," ",(VLOOKUP(A1051,GM_Table,13,FALSE))),"")</f>
        <v/>
      </c>
    </row>
    <row r="1052" spans="1:18" ht="15" x14ac:dyDescent="0.2">
      <c r="A1052" s="412" t="s">
        <v>3624</v>
      </c>
      <c r="B1052" s="9" t="s">
        <v>3290</v>
      </c>
      <c r="C1052" s="9" t="s">
        <v>3291</v>
      </c>
      <c r="D1052" s="188">
        <v>4.9000000000000004</v>
      </c>
      <c r="E1052" s="447">
        <v>2601.0526315789475</v>
      </c>
      <c r="F1052" s="506">
        <v>2593.6842105263158</v>
      </c>
      <c r="G1052" s="448"/>
      <c r="H1052" s="449"/>
      <c r="I1052" s="450"/>
      <c r="J1052" s="398" t="b">
        <f>IF(ISBLANK(CertifiedCrop[[#This Row],[1. Identifiant interne d’exploitation agricole*]]),"",IF(ISERROR(MATCH(CertifiedCrop[[#This Row],[1. Identifiant interne d’exploitation agricole*]],GroupMember[1. Identifiant interne d’exploitation agricole*],0)),FALSE,TRUE))</f>
        <v>1</v>
      </c>
      <c r="K1052" s="398" t="b">
        <f t="array" ref="K1052">IF(ISBLANK(CertifiedCrop[[#This Row],[2. Produit agricole certifié*]]),"",IF(ISERROR(MATCH(1,(#REF!=CertifiedCrop[[#This Row],[2. Produit agricole certifié*]])*(#REF!=CertifiedCrop[[#This Row],[3. Variété**]]),0)),FALSE,TRUE))</f>
        <v>0</v>
      </c>
      <c r="L1052" s="374" t="str">
        <f t="shared" si="90"/>
        <v/>
      </c>
      <c r="M1052" s="374" t="str">
        <f t="shared" si="91"/>
        <v/>
      </c>
      <c r="N1052" s="414" t="str">
        <f t="shared" si="92"/>
        <v/>
      </c>
      <c r="O1052" s="451">
        <f t="shared" si="93"/>
        <v>530.82706766917295</v>
      </c>
      <c r="P1052" s="451">
        <f t="shared" si="94"/>
        <v>529.32330827067665</v>
      </c>
      <c r="Q1052" s="373" t="str">
        <f ca="1">IFERROR((VLOOKUP(A1052,GM_Table,8,FALSE)-SUMIFS(D:D,A:A,A1052,B:B,B1052,C:C,C1052)),"")</f>
        <v/>
      </c>
      <c r="R1052" s="373" t="str">
        <f ca="1">IFERROR(CONCATENATE(VLOOKUP(A1052,GM_Table,12,FALSE)," ",(VLOOKUP(A1052,GM_Table,13,FALSE))),"")</f>
        <v/>
      </c>
    </row>
    <row r="1053" spans="1:18" ht="15" x14ac:dyDescent="0.2">
      <c r="A1053" s="405" t="s">
        <v>3625</v>
      </c>
      <c r="B1053" s="9" t="s">
        <v>3290</v>
      </c>
      <c r="C1053" s="9" t="s">
        <v>3291</v>
      </c>
      <c r="D1053" s="343">
        <v>0.9</v>
      </c>
      <c r="E1053" s="447">
        <v>566.59090909090912</v>
      </c>
      <c r="F1053" s="506">
        <v>553.09090909090912</v>
      </c>
      <c r="G1053" s="448"/>
      <c r="H1053" s="449"/>
      <c r="I1053" s="450"/>
      <c r="J1053" s="398" t="b">
        <f>IF(ISBLANK(CertifiedCrop[[#This Row],[1. Identifiant interne d’exploitation agricole*]]),"",IF(ISERROR(MATCH(CertifiedCrop[[#This Row],[1. Identifiant interne d’exploitation agricole*]],GroupMember[1. Identifiant interne d’exploitation agricole*],0)),FALSE,TRUE))</f>
        <v>1</v>
      </c>
      <c r="K1053" s="398" t="b">
        <f t="array" ref="K1053">IF(ISBLANK(CertifiedCrop[[#This Row],[2. Produit agricole certifié*]]),"",IF(ISERROR(MATCH(1,(#REF!=CertifiedCrop[[#This Row],[2. Produit agricole certifié*]])*(#REF!=CertifiedCrop[[#This Row],[3. Variété**]]),0)),FALSE,TRUE))</f>
        <v>0</v>
      </c>
      <c r="L1053" s="374" t="str">
        <f t="shared" si="90"/>
        <v/>
      </c>
      <c r="M1053" s="374" t="str">
        <f t="shared" si="91"/>
        <v/>
      </c>
      <c r="N1053" s="414" t="str">
        <f t="shared" si="92"/>
        <v/>
      </c>
      <c r="O1053" s="451">
        <f t="shared" si="93"/>
        <v>629.54545454545462</v>
      </c>
      <c r="P1053" s="451">
        <f t="shared" si="94"/>
        <v>614.54545454545462</v>
      </c>
      <c r="Q1053" s="373" t="str">
        <f ca="1">IFERROR((VLOOKUP(A1053,GM_Table,8,FALSE)-SUMIFS(D:D,A:A,A1053,B:B,B1053,C:C,C1053)),"")</f>
        <v/>
      </c>
      <c r="R1053" s="373" t="str">
        <f ca="1">IFERROR(CONCATENATE(VLOOKUP(A1053,GM_Table,12,FALSE)," ",(VLOOKUP(A1053,GM_Table,13,FALSE))),"")</f>
        <v/>
      </c>
    </row>
    <row r="1054" spans="1:18" ht="15" x14ac:dyDescent="0.2">
      <c r="A1054" s="412" t="s">
        <v>3626</v>
      </c>
      <c r="B1054" s="9" t="s">
        <v>3290</v>
      </c>
      <c r="C1054" s="9" t="s">
        <v>3291</v>
      </c>
      <c r="D1054" s="188">
        <v>9.1999999999999993</v>
      </c>
      <c r="E1054" s="447">
        <v>5682.3529411764703</v>
      </c>
      <c r="F1054" s="506">
        <v>5520</v>
      </c>
      <c r="G1054" s="448"/>
      <c r="H1054" s="449"/>
      <c r="I1054" s="450"/>
      <c r="J1054" s="398" t="b">
        <f>IF(ISBLANK(CertifiedCrop[[#This Row],[1. Identifiant interne d’exploitation agricole*]]),"",IF(ISERROR(MATCH(CertifiedCrop[[#This Row],[1. Identifiant interne d’exploitation agricole*]],GroupMember[1. Identifiant interne d’exploitation agricole*],0)),FALSE,TRUE))</f>
        <v>1</v>
      </c>
      <c r="K1054" s="398" t="b">
        <f t="array" ref="K1054">IF(ISBLANK(CertifiedCrop[[#This Row],[2. Produit agricole certifié*]]),"",IF(ISERROR(MATCH(1,(#REF!=CertifiedCrop[[#This Row],[2. Produit agricole certifié*]])*(#REF!=CertifiedCrop[[#This Row],[3. Variété**]]),0)),FALSE,TRUE))</f>
        <v>0</v>
      </c>
      <c r="L1054" s="374" t="str">
        <f t="shared" si="90"/>
        <v/>
      </c>
      <c r="M1054" s="374" t="str">
        <f t="shared" si="91"/>
        <v/>
      </c>
      <c r="N1054" s="414" t="str">
        <f t="shared" si="92"/>
        <v/>
      </c>
      <c r="O1054" s="451">
        <f t="shared" si="93"/>
        <v>617.64705882352939</v>
      </c>
      <c r="P1054" s="451">
        <f t="shared" si="94"/>
        <v>600</v>
      </c>
      <c r="Q1054" s="373" t="str">
        <f ca="1">IFERROR((VLOOKUP(A1054,GM_Table,8,FALSE)-SUMIFS(D:D,A:A,A1054,B:B,B1054,C:C,C1054)),"")</f>
        <v/>
      </c>
      <c r="R1054" s="373" t="str">
        <f ca="1">IFERROR(CONCATENATE(VLOOKUP(A1054,GM_Table,12,FALSE)," ",(VLOOKUP(A1054,GM_Table,13,FALSE))),"")</f>
        <v/>
      </c>
    </row>
    <row r="1055" spans="1:18" ht="15" x14ac:dyDescent="0.2">
      <c r="A1055" s="405" t="s">
        <v>3627</v>
      </c>
      <c r="B1055" s="9" t="s">
        <v>3290</v>
      </c>
      <c r="C1055" s="9" t="s">
        <v>3291</v>
      </c>
      <c r="D1055" s="343">
        <v>1.1000000000000001</v>
      </c>
      <c r="E1055" s="447">
        <v>695.85689045936408</v>
      </c>
      <c r="F1055" s="506">
        <v>670.68904593639581</v>
      </c>
      <c r="G1055" s="448"/>
      <c r="H1055" s="449"/>
      <c r="I1055" s="450"/>
      <c r="J1055" s="398" t="b">
        <f>IF(ISBLANK(CertifiedCrop[[#This Row],[1. Identifiant interne d’exploitation agricole*]]),"",IF(ISERROR(MATCH(CertifiedCrop[[#This Row],[1. Identifiant interne d’exploitation agricole*]],GroupMember[1. Identifiant interne d’exploitation agricole*],0)),FALSE,TRUE))</f>
        <v>1</v>
      </c>
      <c r="K1055" s="398" t="b">
        <f t="array" ref="K1055">IF(ISBLANK(CertifiedCrop[[#This Row],[2. Produit agricole certifié*]]),"",IF(ISERROR(MATCH(1,(#REF!=CertifiedCrop[[#This Row],[2. Produit agricole certifié*]])*(#REF!=CertifiedCrop[[#This Row],[3. Variété**]]),0)),FALSE,TRUE))</f>
        <v>0</v>
      </c>
      <c r="L1055" s="374" t="str">
        <f t="shared" si="90"/>
        <v/>
      </c>
      <c r="M1055" s="374" t="str">
        <f t="shared" si="91"/>
        <v/>
      </c>
      <c r="N1055" s="414" t="str">
        <f t="shared" si="92"/>
        <v/>
      </c>
      <c r="O1055" s="451">
        <f t="shared" si="93"/>
        <v>632.59717314487636</v>
      </c>
      <c r="P1055" s="451">
        <f t="shared" si="94"/>
        <v>609.71731448763251</v>
      </c>
      <c r="Q1055" s="373" t="str">
        <f ca="1">IFERROR((VLOOKUP(A1055,GM_Table,8,FALSE)-SUMIFS(D:D,A:A,A1055,B:B,B1055,C:C,C1055)),"")</f>
        <v/>
      </c>
      <c r="R1055" s="373" t="str">
        <f ca="1">IFERROR(CONCATENATE(VLOOKUP(A1055,GM_Table,12,FALSE)," ",(VLOOKUP(A1055,GM_Table,13,FALSE))),"")</f>
        <v/>
      </c>
    </row>
    <row r="1056" spans="1:18" ht="15" x14ac:dyDescent="0.2">
      <c r="A1056" s="412" t="s">
        <v>3628</v>
      </c>
      <c r="B1056" s="9" t="s">
        <v>3290</v>
      </c>
      <c r="C1056" s="9" t="s">
        <v>3291</v>
      </c>
      <c r="D1056" s="188">
        <v>0.9</v>
      </c>
      <c r="E1056" s="447">
        <v>532</v>
      </c>
      <c r="F1056" s="506">
        <v>510.99999999999994</v>
      </c>
      <c r="G1056" s="448"/>
      <c r="H1056" s="449"/>
      <c r="I1056" s="450"/>
      <c r="J1056" s="398" t="b">
        <f>IF(ISBLANK(CertifiedCrop[[#This Row],[1. Identifiant interne d’exploitation agricole*]]),"",IF(ISERROR(MATCH(CertifiedCrop[[#This Row],[1. Identifiant interne d’exploitation agricole*]],GroupMember[1. Identifiant interne d’exploitation agricole*],0)),FALSE,TRUE))</f>
        <v>1</v>
      </c>
      <c r="K1056" s="398" t="b">
        <f t="array" ref="K1056">IF(ISBLANK(CertifiedCrop[[#This Row],[2. Produit agricole certifié*]]),"",IF(ISERROR(MATCH(1,(#REF!=CertifiedCrop[[#This Row],[2. Produit agricole certifié*]])*(#REF!=CertifiedCrop[[#This Row],[3. Variété**]]),0)),FALSE,TRUE))</f>
        <v>0</v>
      </c>
      <c r="L1056" s="374" t="str">
        <f t="shared" si="90"/>
        <v/>
      </c>
      <c r="M1056" s="374" t="str">
        <f t="shared" si="91"/>
        <v/>
      </c>
      <c r="N1056" s="414" t="str">
        <f t="shared" si="92"/>
        <v/>
      </c>
      <c r="O1056" s="451">
        <f t="shared" si="93"/>
        <v>591.11111111111109</v>
      </c>
      <c r="P1056" s="451">
        <f t="shared" si="94"/>
        <v>567.77777777777771</v>
      </c>
      <c r="Q1056" s="373" t="str">
        <f ca="1">IFERROR((VLOOKUP(A1056,GM_Table,8,FALSE)-SUMIFS(D:D,A:A,A1056,B:B,B1056,C:C,C1056)),"")</f>
        <v/>
      </c>
      <c r="R1056" s="373" t="str">
        <f ca="1">IFERROR(CONCATENATE(VLOOKUP(A1056,GM_Table,12,FALSE)," ",(VLOOKUP(A1056,GM_Table,13,FALSE))),"")</f>
        <v/>
      </c>
    </row>
    <row r="1057" spans="1:18" ht="15" x14ac:dyDescent="0.2">
      <c r="A1057" s="405" t="s">
        <v>3629</v>
      </c>
      <c r="B1057" s="9" t="s">
        <v>3290</v>
      </c>
      <c r="C1057" s="9" t="s">
        <v>3291</v>
      </c>
      <c r="D1057" s="343">
        <v>2.9</v>
      </c>
      <c r="E1057" s="447">
        <v>1683.4146341463415</v>
      </c>
      <c r="F1057" s="506">
        <v>1616.219512195122</v>
      </c>
      <c r="G1057" s="448"/>
      <c r="H1057" s="449"/>
      <c r="I1057" s="450"/>
      <c r="J1057" s="398" t="b">
        <f>IF(ISBLANK(CertifiedCrop[[#This Row],[1. Identifiant interne d’exploitation agricole*]]),"",IF(ISERROR(MATCH(CertifiedCrop[[#This Row],[1. Identifiant interne d’exploitation agricole*]],GroupMember[1. Identifiant interne d’exploitation agricole*],0)),FALSE,TRUE))</f>
        <v>1</v>
      </c>
      <c r="K1057" s="398" t="b">
        <f t="array" ref="K1057">IF(ISBLANK(CertifiedCrop[[#This Row],[2. Produit agricole certifié*]]),"",IF(ISERROR(MATCH(1,(#REF!=CertifiedCrop[[#This Row],[2. Produit agricole certifié*]])*(#REF!=CertifiedCrop[[#This Row],[3. Variété**]]),0)),FALSE,TRUE))</f>
        <v>0</v>
      </c>
      <c r="L1057" s="374" t="str">
        <f t="shared" si="90"/>
        <v/>
      </c>
      <c r="M1057" s="374" t="str">
        <f t="shared" si="91"/>
        <v/>
      </c>
      <c r="N1057" s="414" t="str">
        <f t="shared" si="92"/>
        <v/>
      </c>
      <c r="O1057" s="451">
        <f t="shared" si="93"/>
        <v>580.48780487804879</v>
      </c>
      <c r="P1057" s="451">
        <f t="shared" si="94"/>
        <v>557.31707317073176</v>
      </c>
      <c r="Q1057" s="373" t="str">
        <f ca="1">IFERROR((VLOOKUP(A1057,GM_Table,8,FALSE)-SUMIFS(D:D,A:A,A1057,B:B,B1057,C:C,C1057)),"")</f>
        <v/>
      </c>
      <c r="R1057" s="373" t="str">
        <f ca="1">IFERROR(CONCATENATE(VLOOKUP(A1057,GM_Table,12,FALSE)," ",(VLOOKUP(A1057,GM_Table,13,FALSE))),"")</f>
        <v/>
      </c>
    </row>
    <row r="1058" spans="1:18" ht="15" x14ac:dyDescent="0.2">
      <c r="A1058" s="412" t="s">
        <v>3630</v>
      </c>
      <c r="B1058" s="9" t="s">
        <v>3290</v>
      </c>
      <c r="C1058" s="9" t="s">
        <v>3291</v>
      </c>
      <c r="D1058" s="188">
        <v>2</v>
      </c>
      <c r="E1058" s="447">
        <v>1152.3809523809523</v>
      </c>
      <c r="F1058" s="506">
        <v>1108.843537414966</v>
      </c>
      <c r="G1058" s="448"/>
      <c r="H1058" s="449"/>
      <c r="I1058" s="450"/>
      <c r="J1058" s="398" t="b">
        <f>IF(ISBLANK(CertifiedCrop[[#This Row],[1. Identifiant interne d’exploitation agricole*]]),"",IF(ISERROR(MATCH(CertifiedCrop[[#This Row],[1. Identifiant interne d’exploitation agricole*]],GroupMember[1. Identifiant interne d’exploitation agricole*],0)),FALSE,TRUE))</f>
        <v>1</v>
      </c>
      <c r="K1058" s="398" t="b">
        <f t="array" ref="K1058">IF(ISBLANK(CertifiedCrop[[#This Row],[2. Produit agricole certifié*]]),"",IF(ISERROR(MATCH(1,(#REF!=CertifiedCrop[[#This Row],[2. Produit agricole certifié*]])*(#REF!=CertifiedCrop[[#This Row],[3. Variété**]]),0)),FALSE,TRUE))</f>
        <v>0</v>
      </c>
      <c r="L1058" s="374" t="str">
        <f t="shared" si="90"/>
        <v/>
      </c>
      <c r="M1058" s="374" t="str">
        <f t="shared" si="91"/>
        <v/>
      </c>
      <c r="N1058" s="414" t="str">
        <f t="shared" si="92"/>
        <v/>
      </c>
      <c r="O1058" s="451">
        <f t="shared" si="93"/>
        <v>576.19047619047615</v>
      </c>
      <c r="P1058" s="451">
        <f t="shared" si="94"/>
        <v>554.42176870748301</v>
      </c>
      <c r="Q1058" s="373" t="str">
        <f ca="1">IFERROR((VLOOKUP(A1058,GM_Table,8,FALSE)-SUMIFS(D:D,A:A,A1058,B:B,B1058,C:C,C1058)),"")</f>
        <v/>
      </c>
      <c r="R1058" s="373" t="str">
        <f ca="1">IFERROR(CONCATENATE(VLOOKUP(A1058,GM_Table,12,FALSE)," ",(VLOOKUP(A1058,GM_Table,13,FALSE))),"")</f>
        <v/>
      </c>
    </row>
    <row r="1059" spans="1:18" ht="15" x14ac:dyDescent="0.2">
      <c r="A1059" s="405" t="s">
        <v>3631</v>
      </c>
      <c r="B1059" s="9" t="s">
        <v>3290</v>
      </c>
      <c r="C1059" s="9" t="s">
        <v>3291</v>
      </c>
      <c r="D1059" s="343">
        <v>1.3</v>
      </c>
      <c r="E1059" s="447">
        <v>710.17667844522964</v>
      </c>
      <c r="F1059" s="506">
        <v>677.56183745583041</v>
      </c>
      <c r="G1059" s="448"/>
      <c r="H1059" s="449"/>
      <c r="I1059" s="450"/>
      <c r="J1059" s="398" t="b">
        <f>IF(ISBLANK(CertifiedCrop[[#This Row],[1. Identifiant interne d’exploitation agricole*]]),"",IF(ISERROR(MATCH(CertifiedCrop[[#This Row],[1. Identifiant interne d’exploitation agricole*]],GroupMember[1. Identifiant interne d’exploitation agricole*],0)),FALSE,TRUE))</f>
        <v>1</v>
      </c>
      <c r="K1059" s="398" t="b">
        <f t="array" ref="K1059">IF(ISBLANK(CertifiedCrop[[#This Row],[2. Produit agricole certifié*]]),"",IF(ISERROR(MATCH(1,(#REF!=CertifiedCrop[[#This Row],[2. Produit agricole certifié*]])*(#REF!=CertifiedCrop[[#This Row],[3. Variété**]]),0)),FALSE,TRUE))</f>
        <v>0</v>
      </c>
      <c r="L1059" s="374" t="str">
        <f t="shared" si="90"/>
        <v/>
      </c>
      <c r="M1059" s="374" t="str">
        <f t="shared" si="91"/>
        <v/>
      </c>
      <c r="N1059" s="414" t="str">
        <f t="shared" si="92"/>
        <v/>
      </c>
      <c r="O1059" s="451">
        <f t="shared" si="93"/>
        <v>546.28975265017664</v>
      </c>
      <c r="P1059" s="451">
        <f t="shared" si="94"/>
        <v>521.20141342756187</v>
      </c>
      <c r="Q1059" s="373" t="str">
        <f ca="1">IFERROR((VLOOKUP(A1059,GM_Table,8,FALSE)-SUMIFS(D:D,A:A,A1059,B:B,B1059,C:C,C1059)),"")</f>
        <v/>
      </c>
      <c r="R1059" s="373" t="str">
        <f ca="1">IFERROR(CONCATENATE(VLOOKUP(A1059,GM_Table,12,FALSE)," ",(VLOOKUP(A1059,GM_Table,13,FALSE))),"")</f>
        <v/>
      </c>
    </row>
    <row r="1060" spans="1:18" ht="15" x14ac:dyDescent="0.2">
      <c r="A1060" s="412" t="s">
        <v>3632</v>
      </c>
      <c r="B1060" s="9" t="s">
        <v>3290</v>
      </c>
      <c r="C1060" s="9" t="s">
        <v>3291</v>
      </c>
      <c r="D1060" s="188">
        <v>2.6</v>
      </c>
      <c r="E1060" s="447">
        <v>1540.4624277456649</v>
      </c>
      <c r="F1060" s="506">
        <v>1478.8439306358382</v>
      </c>
      <c r="G1060" s="448"/>
      <c r="H1060" s="449"/>
      <c r="I1060" s="450"/>
      <c r="J1060" s="398" t="b">
        <f>IF(ISBLANK(CertifiedCrop[[#This Row],[1. Identifiant interne d’exploitation agricole*]]),"",IF(ISERROR(MATCH(CertifiedCrop[[#This Row],[1. Identifiant interne d’exploitation agricole*]],GroupMember[1. Identifiant interne d’exploitation agricole*],0)),FALSE,TRUE))</f>
        <v>1</v>
      </c>
      <c r="K1060" s="398" t="b">
        <f t="array" ref="K1060">IF(ISBLANK(CertifiedCrop[[#This Row],[2. Produit agricole certifié*]]),"",IF(ISERROR(MATCH(1,(#REF!=CertifiedCrop[[#This Row],[2. Produit agricole certifié*]])*(#REF!=CertifiedCrop[[#This Row],[3. Variété**]]),0)),FALSE,TRUE))</f>
        <v>0</v>
      </c>
      <c r="L1060" s="374" t="str">
        <f t="shared" si="90"/>
        <v/>
      </c>
      <c r="M1060" s="374" t="str">
        <f t="shared" si="91"/>
        <v/>
      </c>
      <c r="N1060" s="414" t="str">
        <f t="shared" si="92"/>
        <v/>
      </c>
      <c r="O1060" s="451">
        <f t="shared" si="93"/>
        <v>592.48554913294799</v>
      </c>
      <c r="P1060" s="451">
        <f t="shared" si="94"/>
        <v>568.78612716763007</v>
      </c>
      <c r="Q1060" s="373" t="str">
        <f ca="1">IFERROR((VLOOKUP(A1060,GM_Table,8,FALSE)-SUMIFS(D:D,A:A,A1060,B:B,B1060,C:C,C1060)),"")</f>
        <v/>
      </c>
      <c r="R1060" s="373" t="str">
        <f ca="1">IFERROR(CONCATENATE(VLOOKUP(A1060,GM_Table,12,FALSE)," ",(VLOOKUP(A1060,GM_Table,13,FALSE))),"")</f>
        <v/>
      </c>
    </row>
    <row r="1061" spans="1:18" ht="15" x14ac:dyDescent="0.2">
      <c r="A1061" s="405" t="s">
        <v>3633</v>
      </c>
      <c r="B1061" s="9" t="s">
        <v>3290</v>
      </c>
      <c r="C1061" s="9" t="s">
        <v>3291</v>
      </c>
      <c r="D1061" s="343">
        <v>3.7</v>
      </c>
      <c r="E1061" s="447">
        <v>2360.4216867469881</v>
      </c>
      <c r="F1061" s="506">
        <v>2204.397590361446</v>
      </c>
      <c r="G1061" s="448"/>
      <c r="H1061" s="449"/>
      <c r="I1061" s="450"/>
      <c r="J1061" s="398" t="b">
        <f>IF(ISBLANK(CertifiedCrop[[#This Row],[1. Identifiant interne d’exploitation agricole*]]),"",IF(ISERROR(MATCH(CertifiedCrop[[#This Row],[1. Identifiant interne d’exploitation agricole*]],GroupMember[1. Identifiant interne d’exploitation agricole*],0)),FALSE,TRUE))</f>
        <v>1</v>
      </c>
      <c r="K1061" s="398" t="b">
        <f t="array" ref="K1061">IF(ISBLANK(CertifiedCrop[[#This Row],[2. Produit agricole certifié*]]),"",IF(ISERROR(MATCH(1,(#REF!=CertifiedCrop[[#This Row],[2. Produit agricole certifié*]])*(#REF!=CertifiedCrop[[#This Row],[3. Variété**]]),0)),FALSE,TRUE))</f>
        <v>0</v>
      </c>
      <c r="L1061" s="374" t="str">
        <f t="shared" si="90"/>
        <v/>
      </c>
      <c r="M1061" s="374" t="str">
        <f t="shared" si="91"/>
        <v/>
      </c>
      <c r="N1061" s="414" t="str">
        <f t="shared" si="92"/>
        <v/>
      </c>
      <c r="O1061" s="451">
        <f t="shared" si="93"/>
        <v>637.95180722891564</v>
      </c>
      <c r="P1061" s="451">
        <f t="shared" si="94"/>
        <v>595.7831325301205</v>
      </c>
      <c r="Q1061" s="373" t="str">
        <f ca="1">IFERROR((VLOOKUP(A1061,GM_Table,8,FALSE)-SUMIFS(D:D,A:A,A1061,B:B,B1061,C:C,C1061)),"")</f>
        <v/>
      </c>
      <c r="R1061" s="373" t="str">
        <f ca="1">IFERROR(CONCATENATE(VLOOKUP(A1061,GM_Table,12,FALSE)," ",(VLOOKUP(A1061,GM_Table,13,FALSE))),"")</f>
        <v/>
      </c>
    </row>
    <row r="1062" spans="1:18" ht="15" x14ac:dyDescent="0.2">
      <c r="A1062" s="412" t="s">
        <v>3634</v>
      </c>
      <c r="B1062" s="9" t="s">
        <v>3290</v>
      </c>
      <c r="C1062" s="9" t="s">
        <v>3291</v>
      </c>
      <c r="D1062" s="188">
        <v>3.4</v>
      </c>
      <c r="E1062" s="447">
        <v>2143.1840796019901</v>
      </c>
      <c r="F1062" s="506">
        <v>1953.7313432835824</v>
      </c>
      <c r="G1062" s="448"/>
      <c r="H1062" s="449"/>
      <c r="I1062" s="450"/>
      <c r="J1062" s="398" t="b">
        <f>IF(ISBLANK(CertifiedCrop[[#This Row],[1. Identifiant interne d’exploitation agricole*]]),"",IF(ISERROR(MATCH(CertifiedCrop[[#This Row],[1. Identifiant interne d’exploitation agricole*]],GroupMember[1. Identifiant interne d’exploitation agricole*],0)),FALSE,TRUE))</f>
        <v>1</v>
      </c>
      <c r="K1062" s="398" t="b">
        <f t="array" ref="K1062">IF(ISBLANK(CertifiedCrop[[#This Row],[2. Produit agricole certifié*]]),"",IF(ISERROR(MATCH(1,(#REF!=CertifiedCrop[[#This Row],[2. Produit agricole certifié*]])*(#REF!=CertifiedCrop[[#This Row],[3. Variété**]]),0)),FALSE,TRUE))</f>
        <v>0</v>
      </c>
      <c r="L1062" s="374" t="str">
        <f t="shared" ref="L1062:L1081" si="95">IF((F1062-G1062)&lt;0,"!","")</f>
        <v/>
      </c>
      <c r="M1062" s="374" t="str">
        <f t="shared" ref="M1062:M1081" si="96">IFERROR(IF((F1062-G1062)/G1062&gt;25%,"!",IF((F1062-G1062)/G1062&lt;-25%,"!","")),"")</f>
        <v/>
      </c>
      <c r="N1062" s="414" t="str">
        <f t="shared" ref="N1062:N1081" si="97">IFERROR(IF((G1062-H1062)/H1062&gt;25%,"!",IF((G1062-H1062)/H1062&lt;-25%,"!","")),"")</f>
        <v/>
      </c>
      <c r="O1062" s="451">
        <f t="shared" ref="O1062:O1081" si="98">IFERROR(E1062/D1062,"")</f>
        <v>630.34825870646773</v>
      </c>
      <c r="P1062" s="451">
        <f t="shared" ref="P1062:P1081" si="99">IFERROR(F1062/D1062,"")</f>
        <v>574.62686567164189</v>
      </c>
      <c r="Q1062" s="373" t="str">
        <f ca="1">IFERROR((VLOOKUP(A1062,GM_Table,8,FALSE)-SUMIFS(D:D,A:A,A1062,B:B,B1062,C:C,C1062)),"")</f>
        <v/>
      </c>
      <c r="R1062" s="373" t="str">
        <f ca="1">IFERROR(CONCATENATE(VLOOKUP(A1062,GM_Table,12,FALSE)," ",(VLOOKUP(A1062,GM_Table,13,FALSE))),"")</f>
        <v/>
      </c>
    </row>
    <row r="1063" spans="1:18" ht="15" x14ac:dyDescent="0.2">
      <c r="A1063" s="405" t="s">
        <v>3635</v>
      </c>
      <c r="B1063" s="9" t="s">
        <v>3290</v>
      </c>
      <c r="C1063" s="9" t="s">
        <v>3291</v>
      </c>
      <c r="D1063" s="343">
        <v>1.6</v>
      </c>
      <c r="E1063" s="447">
        <v>870.78341013824888</v>
      </c>
      <c r="F1063" s="506">
        <v>800</v>
      </c>
      <c r="G1063" s="448"/>
      <c r="H1063" s="449"/>
      <c r="I1063" s="450"/>
      <c r="J1063" s="398" t="b">
        <f>IF(ISBLANK(CertifiedCrop[[#This Row],[1. Identifiant interne d’exploitation agricole*]]),"",IF(ISERROR(MATCH(CertifiedCrop[[#This Row],[1. Identifiant interne d’exploitation agricole*]],GroupMember[1. Identifiant interne d’exploitation agricole*],0)),FALSE,TRUE))</f>
        <v>1</v>
      </c>
      <c r="K1063" s="398" t="b">
        <f t="array" ref="K1063">IF(ISBLANK(CertifiedCrop[[#This Row],[2. Produit agricole certifié*]]),"",IF(ISERROR(MATCH(1,(#REF!=CertifiedCrop[[#This Row],[2. Produit agricole certifié*]])*(#REF!=CertifiedCrop[[#This Row],[3. Variété**]]),0)),FALSE,TRUE))</f>
        <v>0</v>
      </c>
      <c r="L1063" s="374" t="str">
        <f t="shared" si="95"/>
        <v/>
      </c>
      <c r="M1063" s="374" t="str">
        <f t="shared" si="96"/>
        <v/>
      </c>
      <c r="N1063" s="414" t="str">
        <f t="shared" si="97"/>
        <v/>
      </c>
      <c r="O1063" s="451">
        <f t="shared" si="98"/>
        <v>544.23963133640552</v>
      </c>
      <c r="P1063" s="451">
        <f t="shared" si="99"/>
        <v>500</v>
      </c>
      <c r="Q1063" s="373" t="str">
        <f ca="1">IFERROR((VLOOKUP(A1063,GM_Table,8,FALSE)-SUMIFS(D:D,A:A,A1063,B:B,B1063,C:C,C1063)),"")</f>
        <v/>
      </c>
      <c r="R1063" s="373" t="str">
        <f ca="1">IFERROR(CONCATENATE(VLOOKUP(A1063,GM_Table,12,FALSE)," ",(VLOOKUP(A1063,GM_Table,13,FALSE))),"")</f>
        <v/>
      </c>
    </row>
    <row r="1064" spans="1:18" ht="15" x14ac:dyDescent="0.2">
      <c r="A1064" s="412" t="s">
        <v>3636</v>
      </c>
      <c r="B1064" s="9" t="s">
        <v>3290</v>
      </c>
      <c r="C1064" s="9" t="s">
        <v>3291</v>
      </c>
      <c r="D1064" s="188">
        <v>1.2</v>
      </c>
      <c r="E1064" s="447">
        <v>661.83206106870227</v>
      </c>
      <c r="F1064" s="506">
        <v>639.38931297709917</v>
      </c>
      <c r="G1064" s="448"/>
      <c r="H1064" s="449"/>
      <c r="I1064" s="450"/>
      <c r="J1064" s="398" t="b">
        <f>IF(ISBLANK(CertifiedCrop[[#This Row],[1. Identifiant interne d’exploitation agricole*]]),"",IF(ISERROR(MATCH(CertifiedCrop[[#This Row],[1. Identifiant interne d’exploitation agricole*]],GroupMember[1. Identifiant interne d’exploitation agricole*],0)),FALSE,TRUE))</f>
        <v>1</v>
      </c>
      <c r="K1064" s="398" t="b">
        <f t="array" ref="K1064">IF(ISBLANK(CertifiedCrop[[#This Row],[2. Produit agricole certifié*]]),"",IF(ISERROR(MATCH(1,(#REF!=CertifiedCrop[[#This Row],[2. Produit agricole certifié*]])*(#REF!=CertifiedCrop[[#This Row],[3. Variété**]]),0)),FALSE,TRUE))</f>
        <v>0</v>
      </c>
      <c r="L1064" s="374" t="str">
        <f t="shared" si="95"/>
        <v/>
      </c>
      <c r="M1064" s="374" t="str">
        <f t="shared" si="96"/>
        <v/>
      </c>
      <c r="N1064" s="414" t="str">
        <f t="shared" si="97"/>
        <v/>
      </c>
      <c r="O1064" s="451">
        <f t="shared" si="98"/>
        <v>551.52671755725191</v>
      </c>
      <c r="P1064" s="451">
        <f t="shared" si="99"/>
        <v>532.82442748091603</v>
      </c>
      <c r="Q1064" s="373" t="str">
        <f ca="1">IFERROR((VLOOKUP(A1064,GM_Table,8,FALSE)-SUMIFS(D:D,A:A,A1064,B:B,B1064,C:C,C1064)),"")</f>
        <v/>
      </c>
      <c r="R1064" s="373" t="str">
        <f ca="1">IFERROR(CONCATENATE(VLOOKUP(A1064,GM_Table,12,FALSE)," ",(VLOOKUP(A1064,GM_Table,13,FALSE))),"")</f>
        <v/>
      </c>
    </row>
    <row r="1065" spans="1:18" ht="15" x14ac:dyDescent="0.2">
      <c r="A1065" s="405" t="s">
        <v>3637</v>
      </c>
      <c r="B1065" s="9" t="s">
        <v>3290</v>
      </c>
      <c r="C1065" s="9" t="s">
        <v>3291</v>
      </c>
      <c r="D1065" s="343">
        <v>5.0999999999999996</v>
      </c>
      <c r="E1065" s="447">
        <v>3062.6020408163263</v>
      </c>
      <c r="F1065" s="506">
        <v>2972.8316326530612</v>
      </c>
      <c r="G1065" s="448"/>
      <c r="H1065" s="449"/>
      <c r="I1065" s="450"/>
      <c r="J1065" s="398" t="b">
        <f>IF(ISBLANK(CertifiedCrop[[#This Row],[1. Identifiant interne d’exploitation agricole*]]),"",IF(ISERROR(MATCH(CertifiedCrop[[#This Row],[1. Identifiant interne d’exploitation agricole*]],GroupMember[1. Identifiant interne d’exploitation agricole*],0)),FALSE,TRUE))</f>
        <v>1</v>
      </c>
      <c r="K1065" s="398" t="b">
        <f t="array" ref="K1065">IF(ISBLANK(CertifiedCrop[[#This Row],[2. Produit agricole certifié*]]),"",IF(ISERROR(MATCH(1,(#REF!=CertifiedCrop[[#This Row],[2. Produit agricole certifié*]])*(#REF!=CertifiedCrop[[#This Row],[3. Variété**]]),0)),FALSE,TRUE))</f>
        <v>0</v>
      </c>
      <c r="L1065" s="374" t="str">
        <f t="shared" si="95"/>
        <v/>
      </c>
      <c r="M1065" s="374" t="str">
        <f t="shared" si="96"/>
        <v/>
      </c>
      <c r="N1065" s="414" t="str">
        <f t="shared" si="97"/>
        <v/>
      </c>
      <c r="O1065" s="451">
        <f t="shared" si="98"/>
        <v>600.51020408163265</v>
      </c>
      <c r="P1065" s="451">
        <f t="shared" si="99"/>
        <v>582.90816326530614</v>
      </c>
      <c r="Q1065" s="373" t="str">
        <f ca="1">IFERROR((VLOOKUP(A1065,GM_Table,8,FALSE)-SUMIFS(D:D,A:A,A1065,B:B,B1065,C:C,C1065)),"")</f>
        <v/>
      </c>
      <c r="R1065" s="373" t="str">
        <f ca="1">IFERROR(CONCATENATE(VLOOKUP(A1065,GM_Table,12,FALSE)," ",(VLOOKUP(A1065,GM_Table,13,FALSE))),"")</f>
        <v/>
      </c>
    </row>
    <row r="1066" spans="1:18" ht="15" x14ac:dyDescent="0.2">
      <c r="A1066" s="412" t="s">
        <v>3638</v>
      </c>
      <c r="B1066" s="9" t="s">
        <v>3290</v>
      </c>
      <c r="C1066" s="9" t="s">
        <v>3291</v>
      </c>
      <c r="D1066" s="188">
        <v>1.7</v>
      </c>
      <c r="E1066" s="447">
        <v>983.34862385321094</v>
      </c>
      <c r="F1066" s="506">
        <v>940.45871559633019</v>
      </c>
      <c r="G1066" s="448"/>
      <c r="H1066" s="449"/>
      <c r="I1066" s="450"/>
      <c r="J1066" s="398" t="b">
        <f>IF(ISBLANK(CertifiedCrop[[#This Row],[1. Identifiant interne d’exploitation agricole*]]),"",IF(ISERROR(MATCH(CertifiedCrop[[#This Row],[1. Identifiant interne d’exploitation agricole*]],GroupMember[1. Identifiant interne d’exploitation agricole*],0)),FALSE,TRUE))</f>
        <v>1</v>
      </c>
      <c r="K1066" s="398" t="b">
        <f t="array" ref="K1066">IF(ISBLANK(CertifiedCrop[[#This Row],[2. Produit agricole certifié*]]),"",IF(ISERROR(MATCH(1,(#REF!=CertifiedCrop[[#This Row],[2. Produit agricole certifié*]])*(#REF!=CertifiedCrop[[#This Row],[3. Variété**]]),0)),FALSE,TRUE))</f>
        <v>0</v>
      </c>
      <c r="L1066" s="374" t="str">
        <f t="shared" si="95"/>
        <v/>
      </c>
      <c r="M1066" s="374" t="str">
        <f t="shared" si="96"/>
        <v/>
      </c>
      <c r="N1066" s="414" t="str">
        <f t="shared" si="97"/>
        <v/>
      </c>
      <c r="O1066" s="451">
        <f t="shared" si="98"/>
        <v>578.44036697247702</v>
      </c>
      <c r="P1066" s="451">
        <f t="shared" si="99"/>
        <v>553.21100917431193</v>
      </c>
      <c r="Q1066" s="373" t="str">
        <f ca="1">IFERROR((VLOOKUP(A1066,GM_Table,8,FALSE)-SUMIFS(D:D,A:A,A1066,B:B,B1066,C:C,C1066)),"")</f>
        <v/>
      </c>
      <c r="R1066" s="373" t="str">
        <f ca="1">IFERROR(CONCATENATE(VLOOKUP(A1066,GM_Table,12,FALSE)," ",(VLOOKUP(A1066,GM_Table,13,FALSE))),"")</f>
        <v/>
      </c>
    </row>
    <row r="1067" spans="1:18" ht="15" x14ac:dyDescent="0.2">
      <c r="A1067" s="405" t="s">
        <v>3639</v>
      </c>
      <c r="B1067" s="9" t="s">
        <v>3290</v>
      </c>
      <c r="C1067" s="9" t="s">
        <v>3291</v>
      </c>
      <c r="D1067" s="343">
        <v>0.6</v>
      </c>
      <c r="E1067" s="447">
        <v>327.81250000000006</v>
      </c>
      <c r="F1067" s="506">
        <v>314.375</v>
      </c>
      <c r="G1067" s="448"/>
      <c r="H1067" s="449"/>
      <c r="I1067" s="450"/>
      <c r="J1067" s="398" t="b">
        <f>IF(ISBLANK(CertifiedCrop[[#This Row],[1. Identifiant interne d’exploitation agricole*]]),"",IF(ISERROR(MATCH(CertifiedCrop[[#This Row],[1. Identifiant interne d’exploitation agricole*]],GroupMember[1. Identifiant interne d’exploitation agricole*],0)),FALSE,TRUE))</f>
        <v>1</v>
      </c>
      <c r="K1067" s="398" t="b">
        <f t="array" ref="K1067">IF(ISBLANK(CertifiedCrop[[#This Row],[2. Produit agricole certifié*]]),"",IF(ISERROR(MATCH(1,(#REF!=CertifiedCrop[[#This Row],[2. Produit agricole certifié*]])*(#REF!=CertifiedCrop[[#This Row],[3. Variété**]]),0)),FALSE,TRUE))</f>
        <v>0</v>
      </c>
      <c r="L1067" s="374" t="str">
        <f t="shared" si="95"/>
        <v/>
      </c>
      <c r="M1067" s="374" t="str">
        <f t="shared" si="96"/>
        <v/>
      </c>
      <c r="N1067" s="414" t="str">
        <f t="shared" si="97"/>
        <v/>
      </c>
      <c r="O1067" s="451">
        <f t="shared" si="98"/>
        <v>546.35416666666674</v>
      </c>
      <c r="P1067" s="451">
        <f t="shared" si="99"/>
        <v>523.95833333333337</v>
      </c>
      <c r="Q1067" s="373" t="str">
        <f ca="1">IFERROR((VLOOKUP(A1067,GM_Table,8,FALSE)-SUMIFS(D:D,A:A,A1067,B:B,B1067,C:C,C1067)),"")</f>
        <v/>
      </c>
      <c r="R1067" s="373" t="str">
        <f ca="1">IFERROR(CONCATENATE(VLOOKUP(A1067,GM_Table,12,FALSE)," ",(VLOOKUP(A1067,GM_Table,13,FALSE))),"")</f>
        <v/>
      </c>
    </row>
    <row r="1068" spans="1:18" ht="15" x14ac:dyDescent="0.2">
      <c r="A1068" s="412" t="s">
        <v>3640</v>
      </c>
      <c r="B1068" s="9" t="s">
        <v>3290</v>
      </c>
      <c r="C1068" s="9" t="s">
        <v>3291</v>
      </c>
      <c r="D1068" s="188">
        <v>6.5</v>
      </c>
      <c r="E1068" s="447">
        <v>3728.7162162162163</v>
      </c>
      <c r="F1068" s="506">
        <v>3583.7837837837837</v>
      </c>
      <c r="G1068" s="448"/>
      <c r="H1068" s="449"/>
      <c r="I1068" s="450"/>
      <c r="J1068" s="398" t="b">
        <f>IF(ISBLANK(CertifiedCrop[[#This Row],[1. Identifiant interne d’exploitation agricole*]]),"",IF(ISERROR(MATCH(CertifiedCrop[[#This Row],[1. Identifiant interne d’exploitation agricole*]],GroupMember[1. Identifiant interne d’exploitation agricole*],0)),FALSE,TRUE))</f>
        <v>1</v>
      </c>
      <c r="K1068" s="398" t="b">
        <f t="array" ref="K1068">IF(ISBLANK(CertifiedCrop[[#This Row],[2. Produit agricole certifié*]]),"",IF(ISERROR(MATCH(1,(#REF!=CertifiedCrop[[#This Row],[2. Produit agricole certifié*]])*(#REF!=CertifiedCrop[[#This Row],[3. Variété**]]),0)),FALSE,TRUE))</f>
        <v>0</v>
      </c>
      <c r="L1068" s="374" t="str">
        <f t="shared" si="95"/>
        <v/>
      </c>
      <c r="M1068" s="374" t="str">
        <f t="shared" si="96"/>
        <v/>
      </c>
      <c r="N1068" s="414" t="str">
        <f t="shared" si="97"/>
        <v/>
      </c>
      <c r="O1068" s="451">
        <f t="shared" si="98"/>
        <v>573.64864864864865</v>
      </c>
      <c r="P1068" s="451">
        <f t="shared" si="99"/>
        <v>551.35135135135135</v>
      </c>
      <c r="Q1068" s="373" t="str">
        <f ca="1">IFERROR((VLOOKUP(A1068,GM_Table,8,FALSE)-SUMIFS(D:D,A:A,A1068,B:B,B1068,C:C,C1068)),"")</f>
        <v/>
      </c>
      <c r="R1068" s="373" t="str">
        <f ca="1">IFERROR(CONCATENATE(VLOOKUP(A1068,GM_Table,12,FALSE)," ",(VLOOKUP(A1068,GM_Table,13,FALSE))),"")</f>
        <v/>
      </c>
    </row>
    <row r="1069" spans="1:18" ht="15" x14ac:dyDescent="0.2">
      <c r="A1069" s="405" t="s">
        <v>3641</v>
      </c>
      <c r="B1069" s="9" t="s">
        <v>3290</v>
      </c>
      <c r="C1069" s="9" t="s">
        <v>3291</v>
      </c>
      <c r="D1069" s="343">
        <v>2.1</v>
      </c>
      <c r="E1069" s="447">
        <v>1190</v>
      </c>
      <c r="F1069" s="506">
        <v>1142.0224719101125</v>
      </c>
      <c r="G1069" s="448"/>
      <c r="H1069" s="449"/>
      <c r="I1069" s="450"/>
      <c r="J1069" s="398" t="b">
        <f>IF(ISBLANK(CertifiedCrop[[#This Row],[1. Identifiant interne d’exploitation agricole*]]),"",IF(ISERROR(MATCH(CertifiedCrop[[#This Row],[1. Identifiant interne d’exploitation agricole*]],GroupMember[1. Identifiant interne d’exploitation agricole*],0)),FALSE,TRUE))</f>
        <v>1</v>
      </c>
      <c r="K1069" s="398" t="b">
        <f t="array" ref="K1069">IF(ISBLANK(CertifiedCrop[[#This Row],[2. Produit agricole certifié*]]),"",IF(ISERROR(MATCH(1,(#REF!=CertifiedCrop[[#This Row],[2. Produit agricole certifié*]])*(#REF!=CertifiedCrop[[#This Row],[3. Variété**]]),0)),FALSE,TRUE))</f>
        <v>0</v>
      </c>
      <c r="L1069" s="374" t="str">
        <f t="shared" si="95"/>
        <v/>
      </c>
      <c r="M1069" s="374" t="str">
        <f t="shared" si="96"/>
        <v/>
      </c>
      <c r="N1069" s="414" t="str">
        <f t="shared" si="97"/>
        <v/>
      </c>
      <c r="O1069" s="451">
        <f t="shared" si="98"/>
        <v>566.66666666666663</v>
      </c>
      <c r="P1069" s="451">
        <f t="shared" si="99"/>
        <v>543.82022471910113</v>
      </c>
      <c r="Q1069" s="373" t="str">
        <f ca="1">IFERROR((VLOOKUP(A1069,GM_Table,8,FALSE)-SUMIFS(D:D,A:A,A1069,B:B,B1069,C:C,C1069)),"")</f>
        <v/>
      </c>
      <c r="R1069" s="373" t="str">
        <f ca="1">IFERROR(CONCATENATE(VLOOKUP(A1069,GM_Table,12,FALSE)," ",(VLOOKUP(A1069,GM_Table,13,FALSE))),"")</f>
        <v/>
      </c>
    </row>
    <row r="1070" spans="1:18" ht="15" x14ac:dyDescent="0.2">
      <c r="A1070" s="412" t="s">
        <v>3642</v>
      </c>
      <c r="B1070" s="9" t="s">
        <v>3290</v>
      </c>
      <c r="C1070" s="9" t="s">
        <v>3291</v>
      </c>
      <c r="D1070" s="188">
        <v>1.4</v>
      </c>
      <c r="E1070" s="447">
        <v>809.80392156862729</v>
      </c>
      <c r="F1070" s="506">
        <v>770.91503267973849</v>
      </c>
      <c r="G1070" s="448"/>
      <c r="H1070" s="449"/>
      <c r="I1070" s="450"/>
      <c r="J1070" s="398" t="b">
        <f>IF(ISBLANK(CertifiedCrop[[#This Row],[1. Identifiant interne d’exploitation agricole*]]),"",IF(ISERROR(MATCH(CertifiedCrop[[#This Row],[1. Identifiant interne d’exploitation agricole*]],GroupMember[1. Identifiant interne d’exploitation agricole*],0)),FALSE,TRUE))</f>
        <v>1</v>
      </c>
      <c r="K1070" s="398" t="b">
        <f t="array" ref="K1070">IF(ISBLANK(CertifiedCrop[[#This Row],[2. Produit agricole certifié*]]),"",IF(ISERROR(MATCH(1,(#REF!=CertifiedCrop[[#This Row],[2. Produit agricole certifié*]])*(#REF!=CertifiedCrop[[#This Row],[3. Variété**]]),0)),FALSE,TRUE))</f>
        <v>0</v>
      </c>
      <c r="L1070" s="374" t="str">
        <f t="shared" si="95"/>
        <v/>
      </c>
      <c r="M1070" s="374" t="str">
        <f t="shared" si="96"/>
        <v/>
      </c>
      <c r="N1070" s="414" t="str">
        <f t="shared" si="97"/>
        <v/>
      </c>
      <c r="O1070" s="451">
        <f t="shared" si="98"/>
        <v>578.43137254901956</v>
      </c>
      <c r="P1070" s="451">
        <f t="shared" si="99"/>
        <v>550.65359477124184</v>
      </c>
      <c r="Q1070" s="373" t="str">
        <f ca="1">IFERROR((VLOOKUP(A1070,GM_Table,8,FALSE)-SUMIFS(D:D,A:A,A1070,B:B,B1070,C:C,C1070)),"")</f>
        <v/>
      </c>
      <c r="R1070" s="373" t="str">
        <f ca="1">IFERROR(CONCATENATE(VLOOKUP(A1070,GM_Table,12,FALSE)," ",(VLOOKUP(A1070,GM_Table,13,FALSE))),"")</f>
        <v/>
      </c>
    </row>
    <row r="1071" spans="1:18" ht="15" x14ac:dyDescent="0.2">
      <c r="A1071" s="405" t="s">
        <v>3643</v>
      </c>
      <c r="B1071" s="9" t="s">
        <v>3290</v>
      </c>
      <c r="C1071" s="9" t="s">
        <v>3291</v>
      </c>
      <c r="D1071" s="343">
        <v>2.6</v>
      </c>
      <c r="E1071" s="447">
        <v>1649.7489539748954</v>
      </c>
      <c r="F1071" s="506">
        <v>1549.6652719665271</v>
      </c>
      <c r="G1071" s="448"/>
      <c r="H1071" s="449"/>
      <c r="I1071" s="450"/>
      <c r="J1071" s="398" t="b">
        <f>IF(ISBLANK(CertifiedCrop[[#This Row],[1. Identifiant interne d’exploitation agricole*]]),"",IF(ISERROR(MATCH(CertifiedCrop[[#This Row],[1. Identifiant interne d’exploitation agricole*]],GroupMember[1. Identifiant interne d’exploitation agricole*],0)),FALSE,TRUE))</f>
        <v>1</v>
      </c>
      <c r="K1071" s="398" t="b">
        <f t="array" ref="K1071">IF(ISBLANK(CertifiedCrop[[#This Row],[2. Produit agricole certifié*]]),"",IF(ISERROR(MATCH(1,(#REF!=CertifiedCrop[[#This Row],[2. Produit agricole certifié*]])*(#REF!=CertifiedCrop[[#This Row],[3. Variété**]]),0)),FALSE,TRUE))</f>
        <v>0</v>
      </c>
      <c r="L1071" s="374" t="str">
        <f t="shared" si="95"/>
        <v/>
      </c>
      <c r="M1071" s="374" t="str">
        <f t="shared" si="96"/>
        <v/>
      </c>
      <c r="N1071" s="414" t="str">
        <f t="shared" si="97"/>
        <v/>
      </c>
      <c r="O1071" s="451">
        <f t="shared" si="98"/>
        <v>634.51882845188277</v>
      </c>
      <c r="P1071" s="451">
        <f t="shared" si="99"/>
        <v>596.0251046025104</v>
      </c>
      <c r="Q1071" s="373" t="str">
        <f ca="1">IFERROR((VLOOKUP(A1071,GM_Table,8,FALSE)-SUMIFS(D:D,A:A,A1071,B:B,B1071,C:C,C1071)),"")</f>
        <v/>
      </c>
      <c r="R1071" s="373" t="str">
        <f ca="1">IFERROR(CONCATENATE(VLOOKUP(A1071,GM_Table,12,FALSE)," ",(VLOOKUP(A1071,GM_Table,13,FALSE))),"")</f>
        <v/>
      </c>
    </row>
    <row r="1072" spans="1:18" ht="15" x14ac:dyDescent="0.2">
      <c r="A1072" s="412" t="s">
        <v>3644</v>
      </c>
      <c r="B1072" s="9" t="s">
        <v>3290</v>
      </c>
      <c r="C1072" s="9" t="s">
        <v>3291</v>
      </c>
      <c r="D1072" s="188">
        <v>0.7</v>
      </c>
      <c r="E1072" s="447">
        <v>445.62711864406776</v>
      </c>
      <c r="F1072" s="506">
        <v>414.30508474576266</v>
      </c>
      <c r="G1072" s="448"/>
      <c r="H1072" s="449"/>
      <c r="I1072" s="450"/>
      <c r="J1072" s="398" t="b">
        <f>IF(ISBLANK(CertifiedCrop[[#This Row],[1. Identifiant interne d’exploitation agricole*]]),"",IF(ISERROR(MATCH(CertifiedCrop[[#This Row],[1. Identifiant interne d’exploitation agricole*]],GroupMember[1. Identifiant interne d’exploitation agricole*],0)),FALSE,TRUE))</f>
        <v>1</v>
      </c>
      <c r="K1072" s="398" t="b">
        <f t="array" ref="K1072">IF(ISBLANK(CertifiedCrop[[#This Row],[2. Produit agricole certifié*]]),"",IF(ISERROR(MATCH(1,(#REF!=CertifiedCrop[[#This Row],[2. Produit agricole certifié*]])*(#REF!=CertifiedCrop[[#This Row],[3. Variété**]]),0)),FALSE,TRUE))</f>
        <v>0</v>
      </c>
      <c r="L1072" s="374" t="str">
        <f t="shared" si="95"/>
        <v/>
      </c>
      <c r="M1072" s="374" t="str">
        <f t="shared" si="96"/>
        <v/>
      </c>
      <c r="N1072" s="414" t="str">
        <f t="shared" si="97"/>
        <v/>
      </c>
      <c r="O1072" s="451">
        <f t="shared" si="98"/>
        <v>636.61016949152543</v>
      </c>
      <c r="P1072" s="451">
        <f t="shared" si="99"/>
        <v>591.86440677966095</v>
      </c>
      <c r="Q1072" s="373" t="str">
        <f ca="1">IFERROR((VLOOKUP(A1072,GM_Table,8,FALSE)-SUMIFS(D:D,A:A,A1072,B:B,B1072,C:C,C1072)),"")</f>
        <v/>
      </c>
      <c r="R1072" s="373" t="str">
        <f ca="1">IFERROR(CONCATENATE(VLOOKUP(A1072,GM_Table,12,FALSE)," ",(VLOOKUP(A1072,GM_Table,13,FALSE))),"")</f>
        <v/>
      </c>
    </row>
    <row r="1073" spans="1:18" ht="15" x14ac:dyDescent="0.2">
      <c r="A1073" s="405" t="s">
        <v>3645</v>
      </c>
      <c r="B1073" s="9" t="s">
        <v>3290</v>
      </c>
      <c r="C1073" s="9" t="s">
        <v>3291</v>
      </c>
      <c r="D1073" s="343">
        <v>2.9</v>
      </c>
      <c r="E1073" s="447">
        <v>1584.0860215053763</v>
      </c>
      <c r="F1073" s="506">
        <v>1562.2580645161288</v>
      </c>
      <c r="G1073" s="448"/>
      <c r="H1073" s="449"/>
      <c r="I1073" s="450"/>
      <c r="J1073" s="398" t="b">
        <f>IF(ISBLANK(CertifiedCrop[[#This Row],[1. Identifiant interne d’exploitation agricole*]]),"",IF(ISERROR(MATCH(CertifiedCrop[[#This Row],[1. Identifiant interne d’exploitation agricole*]],GroupMember[1. Identifiant interne d’exploitation agricole*],0)),FALSE,TRUE))</f>
        <v>1</v>
      </c>
      <c r="K1073" s="398" t="b">
        <f t="array" ref="K1073">IF(ISBLANK(CertifiedCrop[[#This Row],[2. Produit agricole certifié*]]),"",IF(ISERROR(MATCH(1,(#REF!=CertifiedCrop[[#This Row],[2. Produit agricole certifié*]])*(#REF!=CertifiedCrop[[#This Row],[3. Variété**]]),0)),FALSE,TRUE))</f>
        <v>0</v>
      </c>
      <c r="L1073" s="374" t="str">
        <f t="shared" si="95"/>
        <v/>
      </c>
      <c r="M1073" s="374" t="str">
        <f t="shared" si="96"/>
        <v/>
      </c>
      <c r="N1073" s="414" t="str">
        <f t="shared" si="97"/>
        <v/>
      </c>
      <c r="O1073" s="451">
        <f t="shared" si="98"/>
        <v>546.23655913978496</v>
      </c>
      <c r="P1073" s="451">
        <f t="shared" si="99"/>
        <v>538.70967741935476</v>
      </c>
      <c r="Q1073" s="373" t="str">
        <f ca="1">IFERROR((VLOOKUP(A1073,GM_Table,8,FALSE)-SUMIFS(D:D,A:A,A1073,B:B,B1073,C:C,C1073)),"")</f>
        <v/>
      </c>
      <c r="R1073" s="373" t="str">
        <f ca="1">IFERROR(CONCATENATE(VLOOKUP(A1073,GM_Table,12,FALSE)," ",(VLOOKUP(A1073,GM_Table,13,FALSE))),"")</f>
        <v/>
      </c>
    </row>
    <row r="1074" spans="1:18" ht="15" x14ac:dyDescent="0.2">
      <c r="A1074" s="412" t="s">
        <v>3646</v>
      </c>
      <c r="B1074" s="9" t="s">
        <v>3290</v>
      </c>
      <c r="C1074" s="9" t="s">
        <v>3291</v>
      </c>
      <c r="D1074" s="188">
        <v>0.6</v>
      </c>
      <c r="E1074" s="447">
        <v>337.71428571428572</v>
      </c>
      <c r="F1074" s="506">
        <v>321.14285714285711</v>
      </c>
      <c r="G1074" s="448"/>
      <c r="H1074" s="449"/>
      <c r="I1074" s="450"/>
      <c r="J1074" s="398" t="b">
        <f>IF(ISBLANK(CertifiedCrop[[#This Row],[1. Identifiant interne d’exploitation agricole*]]),"",IF(ISERROR(MATCH(CertifiedCrop[[#This Row],[1. Identifiant interne d’exploitation agricole*]],GroupMember[1. Identifiant interne d’exploitation agricole*],0)),FALSE,TRUE))</f>
        <v>1</v>
      </c>
      <c r="K1074" s="398" t="b">
        <f t="array" ref="K1074">IF(ISBLANK(CertifiedCrop[[#This Row],[2. Produit agricole certifié*]]),"",IF(ISERROR(MATCH(1,(#REF!=CertifiedCrop[[#This Row],[2. Produit agricole certifié*]])*(#REF!=CertifiedCrop[[#This Row],[3. Variété**]]),0)),FALSE,TRUE))</f>
        <v>0</v>
      </c>
      <c r="L1074" s="374" t="str">
        <f t="shared" si="95"/>
        <v/>
      </c>
      <c r="M1074" s="374" t="str">
        <f t="shared" si="96"/>
        <v/>
      </c>
      <c r="N1074" s="414" t="str">
        <f t="shared" si="97"/>
        <v/>
      </c>
      <c r="O1074" s="451">
        <f t="shared" si="98"/>
        <v>562.85714285714289</v>
      </c>
      <c r="P1074" s="451">
        <f t="shared" si="99"/>
        <v>535.23809523809518</v>
      </c>
      <c r="Q1074" s="373" t="str">
        <f ca="1">IFERROR((VLOOKUP(A1074,GM_Table,8,FALSE)-SUMIFS(D:D,A:A,A1074,B:B,B1074,C:C,C1074)),"")</f>
        <v/>
      </c>
      <c r="R1074" s="373" t="str">
        <f ca="1">IFERROR(CONCATENATE(VLOOKUP(A1074,GM_Table,12,FALSE)," ",(VLOOKUP(A1074,GM_Table,13,FALSE))),"")</f>
        <v/>
      </c>
    </row>
    <row r="1075" spans="1:18" ht="15" x14ac:dyDescent="0.2">
      <c r="A1075" s="405" t="s">
        <v>3647</v>
      </c>
      <c r="B1075" s="9" t="s">
        <v>3290</v>
      </c>
      <c r="C1075" s="9" t="s">
        <v>3291</v>
      </c>
      <c r="D1075" s="343">
        <v>2.2999999999999998</v>
      </c>
      <c r="E1075" s="447">
        <v>1457.2262773722625</v>
      </c>
      <c r="F1075" s="506">
        <v>1387.5547445255472</v>
      </c>
      <c r="G1075" s="448"/>
      <c r="H1075" s="449"/>
      <c r="I1075" s="450"/>
      <c r="J1075" s="398" t="b">
        <f>IF(ISBLANK(CertifiedCrop[[#This Row],[1. Identifiant interne d’exploitation agricole*]]),"",IF(ISERROR(MATCH(CertifiedCrop[[#This Row],[1. Identifiant interne d’exploitation agricole*]],GroupMember[1. Identifiant interne d’exploitation agricole*],0)),FALSE,TRUE))</f>
        <v>1</v>
      </c>
      <c r="K1075" s="398" t="b">
        <f t="array" ref="K1075">IF(ISBLANK(CertifiedCrop[[#This Row],[2. Produit agricole certifié*]]),"",IF(ISERROR(MATCH(1,(#REF!=CertifiedCrop[[#This Row],[2. Produit agricole certifié*]])*(#REF!=CertifiedCrop[[#This Row],[3. Variété**]]),0)),FALSE,TRUE))</f>
        <v>0</v>
      </c>
      <c r="L1075" s="374" t="str">
        <f t="shared" si="95"/>
        <v/>
      </c>
      <c r="M1075" s="374" t="str">
        <f t="shared" si="96"/>
        <v/>
      </c>
      <c r="N1075" s="414" t="str">
        <f t="shared" si="97"/>
        <v/>
      </c>
      <c r="O1075" s="451">
        <f t="shared" si="98"/>
        <v>633.57664233576634</v>
      </c>
      <c r="P1075" s="451">
        <f t="shared" si="99"/>
        <v>603.28467153284669</v>
      </c>
      <c r="Q1075" s="373" t="str">
        <f ca="1">IFERROR((VLOOKUP(A1075,GM_Table,8,FALSE)-SUMIFS(D:D,A:A,A1075,B:B,B1075,C:C,C1075)),"")</f>
        <v/>
      </c>
      <c r="R1075" s="373" t="str">
        <f ca="1">IFERROR(CONCATENATE(VLOOKUP(A1075,GM_Table,12,FALSE)," ",(VLOOKUP(A1075,GM_Table,13,FALSE))),"")</f>
        <v/>
      </c>
    </row>
    <row r="1076" spans="1:18" ht="15" x14ac:dyDescent="0.2">
      <c r="A1076" s="412" t="s">
        <v>3648</v>
      </c>
      <c r="B1076" s="9" t="s">
        <v>3290</v>
      </c>
      <c r="C1076" s="9" t="s">
        <v>3291</v>
      </c>
      <c r="D1076" s="188">
        <v>2.2000000000000002</v>
      </c>
      <c r="E1076" s="447">
        <v>1138.365122615804</v>
      </c>
      <c r="F1076" s="506">
        <v>1037.656675749319</v>
      </c>
      <c r="G1076" s="448"/>
      <c r="H1076" s="449"/>
      <c r="I1076" s="450"/>
      <c r="J1076" s="398" t="b">
        <f>IF(ISBLANK(CertifiedCrop[[#This Row],[1. Identifiant interne d’exploitation agricole*]]),"",IF(ISERROR(MATCH(CertifiedCrop[[#This Row],[1. Identifiant interne d’exploitation agricole*]],GroupMember[1. Identifiant interne d’exploitation agricole*],0)),FALSE,TRUE))</f>
        <v>1</v>
      </c>
      <c r="K1076" s="398" t="b">
        <f t="array" ref="K1076">IF(ISBLANK(CertifiedCrop[[#This Row],[2. Produit agricole certifié*]]),"",IF(ISERROR(MATCH(1,(#REF!=CertifiedCrop[[#This Row],[2. Produit agricole certifié*]])*(#REF!=CertifiedCrop[[#This Row],[3. Variété**]]),0)),FALSE,TRUE))</f>
        <v>0</v>
      </c>
      <c r="L1076" s="374" t="str">
        <f t="shared" si="95"/>
        <v/>
      </c>
      <c r="M1076" s="374" t="str">
        <f t="shared" si="96"/>
        <v/>
      </c>
      <c r="N1076" s="414" t="str">
        <f t="shared" si="97"/>
        <v/>
      </c>
      <c r="O1076" s="451">
        <f t="shared" si="98"/>
        <v>517.4386920980927</v>
      </c>
      <c r="P1076" s="451">
        <f t="shared" si="99"/>
        <v>471.66212534059952</v>
      </c>
      <c r="Q1076" s="373" t="str">
        <f ca="1">IFERROR((VLOOKUP(A1076,GM_Table,8,FALSE)-SUMIFS(D:D,A:A,A1076,B:B,B1076,C:C,C1076)),"")</f>
        <v/>
      </c>
      <c r="R1076" s="373" t="str">
        <f ca="1">IFERROR(CONCATENATE(VLOOKUP(A1076,GM_Table,12,FALSE)," ",(VLOOKUP(A1076,GM_Table,13,FALSE))),"")</f>
        <v/>
      </c>
    </row>
    <row r="1077" spans="1:18" ht="15" x14ac:dyDescent="0.2">
      <c r="A1077" s="405" t="s">
        <v>3649</v>
      </c>
      <c r="B1077" s="9" t="s">
        <v>3290</v>
      </c>
      <c r="C1077" s="9" t="s">
        <v>3291</v>
      </c>
      <c r="D1077" s="343">
        <v>9.5</v>
      </c>
      <c r="E1077" s="447">
        <v>5547.4963181148751</v>
      </c>
      <c r="F1077" s="506">
        <v>5193.5198821796757</v>
      </c>
      <c r="G1077" s="448"/>
      <c r="H1077" s="449"/>
      <c r="I1077" s="450"/>
      <c r="J1077" s="398" t="b">
        <f>IF(ISBLANK(CertifiedCrop[[#This Row],[1. Identifiant interne d’exploitation agricole*]]),"",IF(ISERROR(MATCH(CertifiedCrop[[#This Row],[1. Identifiant interne d’exploitation agricole*]],GroupMember[1. Identifiant interne d’exploitation agricole*],0)),FALSE,TRUE))</f>
        <v>1</v>
      </c>
      <c r="K1077" s="398" t="b">
        <f t="array" ref="K1077">IF(ISBLANK(CertifiedCrop[[#This Row],[2. Produit agricole certifié*]]),"",IF(ISERROR(MATCH(1,(#REF!=CertifiedCrop[[#This Row],[2. Produit agricole certifié*]])*(#REF!=CertifiedCrop[[#This Row],[3. Variété**]]),0)),FALSE,TRUE))</f>
        <v>0</v>
      </c>
      <c r="L1077" s="374" t="str">
        <f t="shared" si="95"/>
        <v/>
      </c>
      <c r="M1077" s="374" t="str">
        <f t="shared" si="96"/>
        <v/>
      </c>
      <c r="N1077" s="414" t="str">
        <f t="shared" si="97"/>
        <v/>
      </c>
      <c r="O1077" s="451">
        <f t="shared" si="98"/>
        <v>583.94698085419736</v>
      </c>
      <c r="P1077" s="451">
        <f t="shared" si="99"/>
        <v>546.68630338733431</v>
      </c>
      <c r="Q1077" s="373" t="str">
        <f ca="1">IFERROR((VLOOKUP(A1077,GM_Table,8,FALSE)-SUMIFS(D:D,A:A,A1077,B:B,B1077,C:C,C1077)),"")</f>
        <v/>
      </c>
      <c r="R1077" s="373" t="str">
        <f ca="1">IFERROR(CONCATENATE(VLOOKUP(A1077,GM_Table,12,FALSE)," ",(VLOOKUP(A1077,GM_Table,13,FALSE))),"")</f>
        <v/>
      </c>
    </row>
    <row r="1078" spans="1:18" ht="15" x14ac:dyDescent="0.2">
      <c r="A1078" s="412" t="s">
        <v>3650</v>
      </c>
      <c r="B1078" s="9" t="s">
        <v>3290</v>
      </c>
      <c r="C1078" s="9" t="s">
        <v>3291</v>
      </c>
      <c r="D1078" s="188">
        <v>15.4</v>
      </c>
      <c r="E1078" s="447">
        <v>9116.7359667359688</v>
      </c>
      <c r="F1078" s="506">
        <v>9704.2411642411644</v>
      </c>
      <c r="G1078" s="448"/>
      <c r="H1078" s="449"/>
      <c r="I1078" s="450"/>
      <c r="J1078" s="398" t="b">
        <f>IF(ISBLANK(CertifiedCrop[[#This Row],[1. Identifiant interne d’exploitation agricole*]]),"",IF(ISERROR(MATCH(CertifiedCrop[[#This Row],[1. Identifiant interne d’exploitation agricole*]],GroupMember[1. Identifiant interne d’exploitation agricole*],0)),FALSE,TRUE))</f>
        <v>1</v>
      </c>
      <c r="K1078" s="398" t="b">
        <f t="array" ref="K1078">IF(ISBLANK(CertifiedCrop[[#This Row],[2. Produit agricole certifié*]]),"",IF(ISERROR(MATCH(1,(#REF!=CertifiedCrop[[#This Row],[2. Produit agricole certifié*]])*(#REF!=CertifiedCrop[[#This Row],[3. Variété**]]),0)),FALSE,TRUE))</f>
        <v>0</v>
      </c>
      <c r="L1078" s="374" t="str">
        <f t="shared" si="95"/>
        <v/>
      </c>
      <c r="M1078" s="374" t="str">
        <f t="shared" si="96"/>
        <v/>
      </c>
      <c r="N1078" s="414" t="str">
        <f t="shared" si="97"/>
        <v/>
      </c>
      <c r="O1078" s="451">
        <f t="shared" si="98"/>
        <v>591.99584199584217</v>
      </c>
      <c r="P1078" s="451">
        <f t="shared" si="99"/>
        <v>630.14553014553019</v>
      </c>
      <c r="Q1078" s="373" t="str">
        <f ca="1">IFERROR((VLOOKUP(A1078,GM_Table,8,FALSE)-SUMIFS(D:D,A:A,A1078,B:B,B1078,C:C,C1078)),"")</f>
        <v/>
      </c>
      <c r="R1078" s="373" t="str">
        <f ca="1">IFERROR(CONCATENATE(VLOOKUP(A1078,GM_Table,12,FALSE)," ",(VLOOKUP(A1078,GM_Table,13,FALSE))),"")</f>
        <v/>
      </c>
    </row>
    <row r="1079" spans="1:18" ht="15" x14ac:dyDescent="0.2">
      <c r="A1079" s="405" t="s">
        <v>3651</v>
      </c>
      <c r="B1079" s="9" t="s">
        <v>3290</v>
      </c>
      <c r="C1079" s="9" t="s">
        <v>3291</v>
      </c>
      <c r="D1079" s="343">
        <v>2.1</v>
      </c>
      <c r="E1079" s="447">
        <v>1191.4189189189187</v>
      </c>
      <c r="F1079" s="506">
        <v>1164.4594594594594</v>
      </c>
      <c r="G1079" s="448"/>
      <c r="H1079" s="449"/>
      <c r="I1079" s="450"/>
      <c r="J1079" s="398" t="b">
        <f>IF(ISBLANK(CertifiedCrop[[#This Row],[1. Identifiant interne d’exploitation agricole*]]),"",IF(ISERROR(MATCH(CertifiedCrop[[#This Row],[1. Identifiant interne d’exploitation agricole*]],GroupMember[1. Identifiant interne d’exploitation agricole*],0)),FALSE,TRUE))</f>
        <v>1</v>
      </c>
      <c r="K1079" s="398" t="b">
        <f t="array" ref="K1079">IF(ISBLANK(CertifiedCrop[[#This Row],[2. Produit agricole certifié*]]),"",IF(ISERROR(MATCH(1,(#REF!=CertifiedCrop[[#This Row],[2. Produit agricole certifié*]])*(#REF!=CertifiedCrop[[#This Row],[3. Variété**]]),0)),FALSE,TRUE))</f>
        <v>0</v>
      </c>
      <c r="L1079" s="374" t="str">
        <f t="shared" si="95"/>
        <v/>
      </c>
      <c r="M1079" s="374" t="str">
        <f t="shared" si="96"/>
        <v/>
      </c>
      <c r="N1079" s="414" t="str">
        <f t="shared" si="97"/>
        <v/>
      </c>
      <c r="O1079" s="451">
        <f t="shared" si="98"/>
        <v>567.34234234234225</v>
      </c>
      <c r="P1079" s="451">
        <f t="shared" si="99"/>
        <v>554.50450450450444</v>
      </c>
      <c r="Q1079" s="373" t="str">
        <f ca="1">IFERROR((VLOOKUP(A1079,GM_Table,8,FALSE)-SUMIFS(D:D,A:A,A1079,B:B,B1079,C:C,C1079)),"")</f>
        <v/>
      </c>
      <c r="R1079" s="373" t="str">
        <f ca="1">IFERROR(CONCATENATE(VLOOKUP(A1079,GM_Table,12,FALSE)," ",(VLOOKUP(A1079,GM_Table,13,FALSE))),"")</f>
        <v/>
      </c>
    </row>
    <row r="1080" spans="1:18" ht="15" x14ac:dyDescent="0.2">
      <c r="A1080" s="412" t="s">
        <v>3652</v>
      </c>
      <c r="B1080" s="9" t="s">
        <v>3290</v>
      </c>
      <c r="C1080" s="9" t="s">
        <v>3291</v>
      </c>
      <c r="D1080" s="188">
        <v>1.3</v>
      </c>
      <c r="E1080" s="447">
        <v>816.08695652173913</v>
      </c>
      <c r="F1080" s="506">
        <v>775.65217391304338</v>
      </c>
      <c r="G1080" s="448"/>
      <c r="H1080" s="449"/>
      <c r="I1080" s="450"/>
      <c r="J1080" s="398" t="b">
        <f>IF(ISBLANK(CertifiedCrop[[#This Row],[1. Identifiant interne d’exploitation agricole*]]),"",IF(ISERROR(MATCH(CertifiedCrop[[#This Row],[1. Identifiant interne d’exploitation agricole*]],GroupMember[1. Identifiant interne d’exploitation agricole*],0)),FALSE,TRUE))</f>
        <v>1</v>
      </c>
      <c r="K1080" s="398" t="b">
        <f t="array" ref="K1080">IF(ISBLANK(CertifiedCrop[[#This Row],[2. Produit agricole certifié*]]),"",IF(ISERROR(MATCH(1,(#REF!=CertifiedCrop[[#This Row],[2. Produit agricole certifié*]])*(#REF!=CertifiedCrop[[#This Row],[3. Variété**]]),0)),FALSE,TRUE))</f>
        <v>0</v>
      </c>
      <c r="L1080" s="374" t="str">
        <f t="shared" si="95"/>
        <v/>
      </c>
      <c r="M1080" s="374" t="str">
        <f t="shared" si="96"/>
        <v/>
      </c>
      <c r="N1080" s="414" t="str">
        <f t="shared" si="97"/>
        <v/>
      </c>
      <c r="O1080" s="451">
        <f t="shared" si="98"/>
        <v>627.75919732441469</v>
      </c>
      <c r="P1080" s="451">
        <f t="shared" si="99"/>
        <v>596.65551839464877</v>
      </c>
      <c r="Q1080" s="373" t="str">
        <f ca="1">IFERROR((VLOOKUP(A1080,GM_Table,8,FALSE)-SUMIFS(D:D,A:A,A1080,B:B,B1080,C:C,C1080)),"")</f>
        <v/>
      </c>
      <c r="R1080" s="373" t="str">
        <f ca="1">IFERROR(CONCATENATE(VLOOKUP(A1080,GM_Table,12,FALSE)," ",(VLOOKUP(A1080,GM_Table,13,FALSE))),"")</f>
        <v/>
      </c>
    </row>
    <row r="1081" spans="1:18" ht="15" x14ac:dyDescent="0.2">
      <c r="A1081" s="503" t="s">
        <v>3653</v>
      </c>
      <c r="B1081" s="9" t="s">
        <v>3290</v>
      </c>
      <c r="C1081" s="9" t="s">
        <v>3291</v>
      </c>
      <c r="D1081" s="343">
        <v>2.2999999999999998</v>
      </c>
      <c r="E1081" s="452">
        <v>1253.3050847457628</v>
      </c>
      <c r="F1081" s="507">
        <v>1194.8305084745762</v>
      </c>
      <c r="G1081" s="453"/>
      <c r="H1081" s="454"/>
      <c r="I1081" s="455"/>
      <c r="J1081" s="442" t="b">
        <f>IF(ISBLANK(CertifiedCrop[[#This Row],[1. Identifiant interne d’exploitation agricole*]]),"",IF(ISERROR(MATCH(CertifiedCrop[[#This Row],[1. Identifiant interne d’exploitation agricole*]],GroupMember[1. Identifiant interne d’exploitation agricole*],0)),FALSE,TRUE))</f>
        <v>1</v>
      </c>
      <c r="K1081" s="442" t="b">
        <f t="array" ref="K1081">IF(ISBLANK(CertifiedCrop[[#This Row],[2. Produit agricole certifié*]]),"",IF(ISERROR(MATCH(1,(#REF!=CertifiedCrop[[#This Row],[2. Produit agricole certifié*]])*(#REF!=CertifiedCrop[[#This Row],[3. Variété**]]),0)),FALSE,TRUE))</f>
        <v>0</v>
      </c>
      <c r="L1081" s="456" t="str">
        <f t="shared" si="95"/>
        <v/>
      </c>
      <c r="M1081" s="456" t="str">
        <f t="shared" si="96"/>
        <v/>
      </c>
      <c r="N1081" s="457" t="str">
        <f t="shared" si="97"/>
        <v/>
      </c>
      <c r="O1081" s="458">
        <f t="shared" si="98"/>
        <v>544.9152542372882</v>
      </c>
      <c r="P1081" s="458">
        <f t="shared" si="99"/>
        <v>519.49152542372883</v>
      </c>
      <c r="Q1081" s="443" t="str">
        <f ca="1">IFERROR((VLOOKUP(A1081,GM_Table,8,FALSE)-SUMIFS(D:D,A:A,A1081,B:B,B1081,C:C,C1081)),"")</f>
        <v/>
      </c>
      <c r="R1081" s="443" t="str">
        <f ca="1">IFERROR(CONCATENATE(VLOOKUP(A1081,GM_Table,12,FALSE)," ",(VLOOKUP(A1081,GM_Table,13,FALSE))),"")</f>
        <v/>
      </c>
    </row>
  </sheetData>
  <sheetProtection insertRows="0" deleteRows="0"/>
  <protectedRanges>
    <protectedRange algorithmName="SHA-512" hashValue="IRToZKdSKAYW4M45WrFYNNzBKmrjEpGOeNpX3+9WPcL1+rkg8TjIqS9I0+BUSUUtSBnT3PJM7pTKVCqSc3s8XA==" saltValue="XjtTmPo//DPDwKNIuSYhOw==" spinCount="100000" sqref="J1 J3:R1048576 N1:R1" name="DataValidation"/>
    <protectedRange algorithmName="SHA-512" hashValue="IRToZKdSKAYW4M45WrFYNNzBKmrjEpGOeNpX3+9WPcL1+rkg8TjIqS9I0+BUSUUtSBnT3PJM7pTKVCqSc3s8XA==" saltValue="XjtTmPo//DPDwKNIuSYhOw==" spinCount="100000" sqref="J2:R2" name="DataValidation_1"/>
    <protectedRange algorithmName="SHA-512" hashValue="IRToZKdSKAYW4M45WrFYNNzBKmrjEpGOeNpX3+9WPcL1+rkg8TjIqS9I0+BUSUUtSBnT3PJM7pTKVCqSc3s8XA==" saltValue="XjtTmPo//DPDwKNIuSYhOw==" spinCount="100000" sqref="K1:M1" name="DataValidation_2"/>
    <protectedRange sqref="A3:A22" name="AllowUserToFilter_1_1"/>
    <protectedRange sqref="A23" name="AllowUserToFilter_4_1"/>
    <protectedRange sqref="A24" name="AllowUserToFilter_6_1"/>
    <protectedRange sqref="A25" name="AllowUserToFilter_8_1"/>
    <protectedRange sqref="A26" name="AllowUserToFilter_11_1"/>
    <protectedRange sqref="A27:A28" name="AllowUserToFilter_12_1"/>
    <protectedRange sqref="A29:A32" name="AllowUserToFilter_13"/>
    <protectedRange sqref="A33" name="AllowUserToFilter_13_1"/>
    <protectedRange sqref="A34:A65" name="AllowUserToFilter_14_1"/>
    <protectedRange sqref="A66" name="AllowUserToFilter_15"/>
    <protectedRange sqref="A67:A73" name="AllowUserToFilter_16"/>
    <protectedRange sqref="A74" name="AllowUserToFilter_14_1_1"/>
    <protectedRange sqref="A75" name="AllowUserToFilter_17"/>
    <protectedRange sqref="A76:A688" name="AllowUserToFilter_18"/>
  </protectedRanges>
  <mergeCells count="1">
    <mergeCell ref="A1:I1"/>
  </mergeCells>
  <conditionalFormatting sqref="L3:L1081">
    <cfRule type="cellIs" dxfId="68" priority="6" operator="lessThan">
      <formula>0</formula>
    </cfRule>
  </conditionalFormatting>
  <conditionalFormatting sqref="L3:N1081">
    <cfRule type="containsText" dxfId="67" priority="105" operator="containsText" text="!">
      <formula>NOT(ISERROR(SEARCH("!",L3)))</formula>
    </cfRule>
  </conditionalFormatting>
  <conditionalFormatting sqref="Q3:Q1081">
    <cfRule type="cellIs" dxfId="66" priority="3" operator="equal">
      <formula>0</formula>
    </cfRule>
  </conditionalFormatting>
  <conditionalFormatting sqref="O3:O1081">
    <cfRule type="top10" dxfId="65" priority="14" percent="1" rank="10"/>
  </conditionalFormatting>
  <conditionalFormatting sqref="P3:P1081">
    <cfRule type="top10" dxfId="64" priority="104" percent="1" rank="10"/>
  </conditionalFormatting>
  <conditionalFormatting sqref="J3:K1081">
    <cfRule type="containsText" dxfId="63" priority="1" operator="containsText" text="FALSE">
      <formula>NOT(ISERROR(SEARCH("FALSE",J3)))</formula>
    </cfRule>
  </conditionalFormatting>
  <dataValidations xWindow="200" yWindow="579" count="16">
    <dataValidation allowBlank="1" showErrorMessage="1" promptTitle="Harvest estimation" prompt="Please put the correct value" sqref="E3 E10 E17 E23" xr:uid="{00000000-0002-0000-0200-000000000000}"/>
    <dataValidation allowBlank="1" showInputMessage="1" showErrorMessage="1" promptTitle="Top performers" prompt="The yield is kg of estimated harvest (5.) per hectare (4.)._x000a_Most of the group members would have similar yields. _x000a_Here, the 10% highest values are highlighted in yellow, as the difference may indicate an error in the data. _x000a_Please verify them." sqref="O2" xr:uid="{00000000-0002-0000-0200-000001000000}"/>
    <dataValidation allowBlank="1" showInputMessage="1" showErrorMessage="1" promptTitle="Sold=&gt;Harvest" prompt="A farmer cannot sell more certified product than harvested in the previous year._x000a__x000a_If you see an !, please check the numbers again." sqref="L2" xr:uid="{00000000-0002-0000-0200-000002000000}"/>
    <dataValidation allowBlank="1" showInputMessage="1" showErrorMessage="1" promptTitle="This year - last year harvest" prompt="The harvest changes from year to year, but large changes may indicate a mistake in the data. In here we indicate changes higher than 25%._x000a__x000a_Please double-check the harvest data (5. and 6.) if the cell is yellow." sqref="M2" xr:uid="{00000000-0002-0000-0200-000003000000}"/>
    <dataValidation allowBlank="1" showInputMessage="1" showErrorMessage="1" promptTitle="Sold previous year - 2 years ago" prompt="The amount of product that the group member sells to the group may change from year to year, but a large difference may indicate an error in the data. _x000a__x000a_If the cell is yellow, please double-check the sale/delivery data (7. and 8.)." sqref="N2" xr:uid="{00000000-0002-0000-0200-000004000000}"/>
    <dataValidation allowBlank="1" showInputMessage="1" showErrorMessage="1" promptTitle="Top performers " prompt="The yield is kg of last year's harvest (6.) per hectare (4.)._x000a_Most of the group members would have similar yields. _x000a__x000a_Here, the 10% highest values are highlighted in yellow, as the difference may indicate an error in the data. _x000a_Please verify them" sqref="P2" xr:uid="{00000000-0002-0000-0200-000005000000}"/>
    <dataValidation allowBlank="1" showInputMessage="1" showErrorMessage="1" promptTitle="Check the farm area" prompt="This column compares the sum of the certified area for a group member with the total farm area. _x000a_Positive if the farm has forests or pastur or non-certified crops (e.g. corn)._x000a_Negative if intercropping e.g. coffee and pepper._x000a__x000a_Please check yellow cells." sqref="Q2" xr:uid="{00000000-0002-0000-0200-000006000000}"/>
    <dataValidation allowBlank="1" showInputMessage="1" showErrorMessage="1" promptTitle="Please select an option" prompt="Copy-pasting may generate errors when uploading the file. Make sure no typos are present. " sqref="B2" xr:uid="{00000000-0002-0000-0200-000007000000}"/>
    <dataValidation allowBlank="1" showInputMessage="1" showErrorMessage="1" promptTitle="Mandatory if available" prompt="Copy-pasting may generate errors when uploading the file. Make sure no typos are present. " sqref="C2" xr:uid="{00000000-0002-0000-0200-000008000000}"/>
    <dataValidation allowBlank="1" showInputMessage="1" showErrorMessage="1" promptTitle="Certified Volume Current Year" prompt="This represents the Certified Volume for current year._x000a__x000a_Use format of the cell as &quot;Number&quot;" sqref="E2" xr:uid="{00000000-0002-0000-0200-000009000000}"/>
    <dataValidation allowBlank="1" showInputMessage="1" showErrorMessage="1" promptTitle="Certified Harvest Previous Year" prompt="This represents the actual volume certified for the specific crop in the previous year. _x000a__x000a_Use format of the cell as &quot;Number&quot;" sqref="F2" xr:uid="{00000000-0002-0000-0200-00000A000000}"/>
    <dataValidation allowBlank="1" showInputMessage="1" showErrorMessage="1" promptTitle="Mandatory Information" prompt="This represents the certified volume sold/delivered by the member to the Group._x000a__x000a_Use format of the cell as &quot;Number&quot;" sqref="G2" xr:uid="{00000000-0002-0000-0200-00000B000000}"/>
    <dataValidation allowBlank="1" showInputMessage="1" showErrorMessage="1" prompt="Make sure to use the same ID presented on tab 1. Group member, column A_x000a__x000a_If a group member produces more than one crop (e.g. coffee and oranges), or variety (arabica and robusta), in different places must be the same ID with the same Group Member." sqref="A2" xr:uid="{00000000-0002-0000-0200-00000C000000}"/>
    <dataValidation allowBlank="1" showInputMessage="1" showErrorMessage="1" promptTitle="Mandatory Information" prompt="All of the farm area covered by this crop, e.g. coffee, even if these are several farm units._x000a__x000a_Use format of the cell as &quot;Number&quot;" sqref="D2" xr:uid="{00000000-0002-0000-0200-00000D000000}"/>
    <dataValidation allowBlank="1" showInputMessage="1" showErrorMessage="1" prompt="Use format of the cell as &quot;Number&quot;" sqref="H2:I2" xr:uid="{00000000-0002-0000-0200-00000E000000}"/>
    <dataValidation allowBlank="1" showInputMessage="1" showErrorMessage="1" promptTitle="No need to fill in" prompt="The information indicate here will be automatically presented. There is no need to fill in the colunms._x000a__x000a_You need to interpretate it was described below." sqref="M1" xr:uid="{00000000-0002-0000-0200-00000F000000}"/>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94BA29"/>
  </sheetPr>
  <dimension ref="A1:K1081"/>
  <sheetViews>
    <sheetView topLeftCell="A1055" zoomScale="80" zoomScaleNormal="80" workbookViewId="0">
      <pane xSplit="1" topLeftCell="B1055" activePane="topRight" state="frozen"/>
      <selection activeCell="B4" sqref="B4"/>
      <selection pane="topRight" activeCell="A3" sqref="A3:A1081"/>
    </sheetView>
  </sheetViews>
  <sheetFormatPr defaultColWidth="8.7421875" defaultRowHeight="12.75" x14ac:dyDescent="0.15"/>
  <cols>
    <col min="1" max="1" width="25.55859375" style="5" customWidth="1"/>
    <col min="2" max="2" width="23.5390625" style="5" customWidth="1"/>
    <col min="3" max="3" width="20.984375" style="7" customWidth="1"/>
    <col min="4" max="4" width="24.34765625" style="8" customWidth="1"/>
    <col min="5" max="5" width="26.23046875" style="8" customWidth="1"/>
    <col min="6" max="6" width="30.40234375" style="3" customWidth="1"/>
    <col min="7" max="7" width="18.0234375" style="3" customWidth="1"/>
    <col min="8" max="8" width="21.25390625" style="3" customWidth="1"/>
    <col min="9" max="9" width="24.75" style="3" customWidth="1"/>
    <col min="10" max="10" width="29.32421875" style="3" customWidth="1"/>
    <col min="11" max="16384" width="8.7421875" style="5"/>
  </cols>
  <sheetData>
    <row r="1" spans="1:11" s="70" customFormat="1" ht="16.5" x14ac:dyDescent="0.2">
      <c r="A1" s="542" t="s">
        <v>166</v>
      </c>
      <c r="B1" s="542"/>
      <c r="C1" s="542"/>
      <c r="D1" s="542"/>
      <c r="E1" s="542"/>
      <c r="F1" s="69"/>
      <c r="G1" s="543" t="s">
        <v>170</v>
      </c>
      <c r="H1" s="544"/>
      <c r="I1" s="544"/>
      <c r="J1" s="544"/>
    </row>
    <row r="2" spans="1:11" s="70" customFormat="1" ht="59.25" x14ac:dyDescent="0.2">
      <c r="A2" s="68" t="s">
        <v>100</v>
      </c>
      <c r="B2" s="75" t="s">
        <v>162</v>
      </c>
      <c r="C2" s="76" t="s">
        <v>163</v>
      </c>
      <c r="D2" s="75" t="s">
        <v>164</v>
      </c>
      <c r="E2" s="75" t="s">
        <v>165</v>
      </c>
      <c r="F2" s="60" t="s">
        <v>152</v>
      </c>
      <c r="G2" s="69" t="s">
        <v>167</v>
      </c>
      <c r="H2" s="135" t="s">
        <v>168</v>
      </c>
      <c r="I2" s="69" t="s">
        <v>169</v>
      </c>
      <c r="J2" s="69" t="s">
        <v>160</v>
      </c>
      <c r="K2" s="74" t="s">
        <v>171</v>
      </c>
    </row>
    <row r="3" spans="1:11" ht="15" x14ac:dyDescent="0.2">
      <c r="A3" s="145" t="s">
        <v>667</v>
      </c>
      <c r="B3" s="145" t="s">
        <v>667</v>
      </c>
      <c r="C3" s="264">
        <v>3</v>
      </c>
      <c r="D3" s="265">
        <v>6.9065000000000003</v>
      </c>
      <c r="E3" s="265">
        <v>-7.9451999999999998</v>
      </c>
      <c r="F3" s="122" t="b">
        <f>IF(ISBLANK(FarmUnit[[#This Row],[1. Identifiant interne d’exploitation agricole*]]),"",IF(ISERROR(MATCH(FarmUnit[[#This Row],[1. Identifiant interne d’exploitation agricole*]],GroupMember[1. Identifiant interne d’exploitation agricole*],0)),FALSE,TRUE))</f>
        <v>1</v>
      </c>
      <c r="G3" s="4">
        <f t="shared" ref="G3:G50" si="0">IF(D3=0,"",D3)</f>
        <v>6.9065000000000003</v>
      </c>
      <c r="H3" s="4">
        <f t="shared" ref="H3:H50" si="1">IF(E3=0,"",E3)</f>
        <v>-7.9451999999999998</v>
      </c>
      <c r="I3" s="20" t="str">
        <f t="array" ref="I3">IF(ISBLANK(C3),"",IF(C3=MAX(IF(FarmUnit[1. Identifiant interne d’exploitation agricole*]=A3,FarmUnit[3. Superficie de l’unité agricole (ha)*])),"!","-"))</f>
        <v>!</v>
      </c>
      <c r="J3" s="9" t="str">
        <f t="shared" ref="J3:J50" ca="1" si="2">IFERROR(CONCATENATE(VLOOKUP(A3,GM_Table,12,FALSE)," ",(VLOOKUP(A3,GM_Table,13,FALSE))),"")</f>
        <v/>
      </c>
    </row>
    <row r="4" spans="1:11" ht="15" x14ac:dyDescent="0.2">
      <c r="A4" s="145" t="s">
        <v>678</v>
      </c>
      <c r="B4" s="145" t="s">
        <v>678</v>
      </c>
      <c r="C4" s="264">
        <v>2.2599999999999998</v>
      </c>
      <c r="D4" s="265">
        <v>6.9416000000000002</v>
      </c>
      <c r="E4" s="265">
        <v>-8.0561000000000007</v>
      </c>
      <c r="F4" s="122" t="b">
        <f>IF(ISBLANK(FarmUnit[[#This Row],[1. Identifiant interne d’exploitation agricole*]]),"",IF(ISERROR(MATCH(FarmUnit[[#This Row],[1. Identifiant interne d’exploitation agricole*]],GroupMember[1. Identifiant interne d’exploitation agricole*],0)),FALSE,TRUE))</f>
        <v>1</v>
      </c>
      <c r="G4" s="4">
        <f t="shared" si="0"/>
        <v>6.9416000000000002</v>
      </c>
      <c r="H4" s="4">
        <f t="shared" si="1"/>
        <v>-8.0561000000000007</v>
      </c>
      <c r="I4" s="20" t="str">
        <f t="array" ref="I4">IF(ISBLANK(C4),"",IF(C4=MAX(IF(FarmUnit[1. Identifiant interne d’exploitation agricole*]=A4,FarmUnit[3. Superficie de l’unité agricole (ha)*])),"!","-"))</f>
        <v>!</v>
      </c>
      <c r="J4" s="9" t="str">
        <f t="shared" ca="1" si="2"/>
        <v/>
      </c>
    </row>
    <row r="5" spans="1:11" ht="15" x14ac:dyDescent="0.2">
      <c r="A5" s="145" t="s">
        <v>681</v>
      </c>
      <c r="B5" s="145" t="s">
        <v>681</v>
      </c>
      <c r="C5" s="264">
        <v>3</v>
      </c>
      <c r="D5" s="265">
        <v>6.9055999999999997</v>
      </c>
      <c r="E5" s="265">
        <v>-7.9452999999999996</v>
      </c>
      <c r="F5" s="122" t="b">
        <f>IF(ISBLANK(FarmUnit[[#This Row],[1. Identifiant interne d’exploitation agricole*]]),"",IF(ISERROR(MATCH(FarmUnit[[#This Row],[1. Identifiant interne d’exploitation agricole*]],GroupMember[1. Identifiant interne d’exploitation agricole*],0)),FALSE,TRUE))</f>
        <v>1</v>
      </c>
      <c r="G5" s="4">
        <f t="shared" si="0"/>
        <v>6.9055999999999997</v>
      </c>
      <c r="H5" s="4">
        <f t="shared" si="1"/>
        <v>-7.9452999999999996</v>
      </c>
      <c r="I5" s="20" t="str">
        <f t="array" ref="I5">IF(ISBLANK(C5),"",IF(C5=MAX(IF(FarmUnit[1. Identifiant interne d’exploitation agricole*]=A5,FarmUnit[3. Superficie de l’unité agricole (ha)*])),"!","-"))</f>
        <v>!</v>
      </c>
      <c r="J5" s="9" t="str">
        <f t="shared" ca="1" si="2"/>
        <v/>
      </c>
    </row>
    <row r="6" spans="1:11" ht="15" x14ac:dyDescent="0.2">
      <c r="A6" s="145" t="s">
        <v>685</v>
      </c>
      <c r="B6" s="145" t="s">
        <v>685</v>
      </c>
      <c r="C6" s="264">
        <v>3</v>
      </c>
      <c r="D6" s="265">
        <v>6.9147999999999996</v>
      </c>
      <c r="E6" s="265">
        <v>-7.9903000000000004</v>
      </c>
      <c r="F6" s="122" t="b">
        <f>IF(ISBLANK(FarmUnit[[#This Row],[1. Identifiant interne d’exploitation agricole*]]),"",IF(ISERROR(MATCH(FarmUnit[[#This Row],[1. Identifiant interne d’exploitation agricole*]],GroupMember[1. Identifiant interne d’exploitation agricole*],0)),FALSE,TRUE))</f>
        <v>1</v>
      </c>
      <c r="G6" s="4">
        <f t="shared" si="0"/>
        <v>6.9147999999999996</v>
      </c>
      <c r="H6" s="4">
        <f t="shared" si="1"/>
        <v>-7.9903000000000004</v>
      </c>
      <c r="I6" s="20" t="str">
        <f t="array" ref="I6">IF(ISBLANK(C6),"",IF(C6=MAX(IF(FarmUnit[1. Identifiant interne d’exploitation agricole*]=A6,FarmUnit[3. Superficie de l’unité agricole (ha)*])),"!","-"))</f>
        <v>!</v>
      </c>
      <c r="J6" s="9" t="str">
        <f t="shared" ca="1" si="2"/>
        <v/>
      </c>
    </row>
    <row r="7" spans="1:11" ht="15" x14ac:dyDescent="0.2">
      <c r="A7" s="145" t="s">
        <v>690</v>
      </c>
      <c r="B7" s="145" t="s">
        <v>690</v>
      </c>
      <c r="C7" s="264">
        <v>2.64</v>
      </c>
      <c r="D7" s="266">
        <v>7.1196999999999999</v>
      </c>
      <c r="E7" s="266">
        <v>-8.0010999999999992</v>
      </c>
      <c r="F7" s="122" t="b">
        <f>IF(ISBLANK(FarmUnit[[#This Row],[1. Identifiant interne d’exploitation agricole*]]),"",IF(ISERROR(MATCH(FarmUnit[[#This Row],[1. Identifiant interne d’exploitation agricole*]],GroupMember[1. Identifiant interne d’exploitation agricole*],0)),FALSE,TRUE))</f>
        <v>1</v>
      </c>
      <c r="G7" s="4">
        <f t="shared" si="0"/>
        <v>7.1196999999999999</v>
      </c>
      <c r="H7" s="4">
        <f t="shared" si="1"/>
        <v>-8.0010999999999992</v>
      </c>
      <c r="I7" s="20" t="str">
        <f t="array" ref="I7">IF(ISBLANK(C7),"",IF(C7=MAX(IF(FarmUnit[1. Identifiant interne d’exploitation agricole*]=A7,FarmUnit[3. Superficie de l’unité agricole (ha)*])),"!","-"))</f>
        <v>!</v>
      </c>
      <c r="J7" s="9" t="str">
        <f t="shared" ca="1" si="2"/>
        <v/>
      </c>
    </row>
    <row r="8" spans="1:11" ht="15" x14ac:dyDescent="0.2">
      <c r="A8" s="145" t="s">
        <v>693</v>
      </c>
      <c r="B8" s="145" t="s">
        <v>693</v>
      </c>
      <c r="C8" s="264">
        <v>5</v>
      </c>
      <c r="D8" s="265">
        <v>6.9063999999999997</v>
      </c>
      <c r="E8" s="265">
        <v>-7.9421999999999997</v>
      </c>
      <c r="F8" s="122" t="b">
        <f>IF(ISBLANK(FarmUnit[[#This Row],[1. Identifiant interne d’exploitation agricole*]]),"",IF(ISERROR(MATCH(FarmUnit[[#This Row],[1. Identifiant interne d’exploitation agricole*]],GroupMember[1. Identifiant interne d’exploitation agricole*],0)),FALSE,TRUE))</f>
        <v>1</v>
      </c>
      <c r="G8" s="4">
        <f t="shared" si="0"/>
        <v>6.9063999999999997</v>
      </c>
      <c r="H8" s="4">
        <f t="shared" si="1"/>
        <v>-7.9421999999999997</v>
      </c>
      <c r="I8" s="20" t="str">
        <f t="array" ref="I8">IF(ISBLANK(C8),"",IF(C8=MAX(IF(FarmUnit[1. Identifiant interne d’exploitation agricole*]=A8,FarmUnit[3. Superficie de l’unité agricole (ha)*])),"!","-"))</f>
        <v>!</v>
      </c>
      <c r="J8" s="9" t="str">
        <f t="shared" ca="1" si="2"/>
        <v/>
      </c>
    </row>
    <row r="9" spans="1:11" ht="15" x14ac:dyDescent="0.2">
      <c r="A9" s="145" t="s">
        <v>696</v>
      </c>
      <c r="B9" s="145" t="s">
        <v>696</v>
      </c>
      <c r="C9" s="264">
        <v>2.62</v>
      </c>
      <c r="D9" s="265">
        <v>7.1730999999999998</v>
      </c>
      <c r="E9" s="265">
        <v>-8.1242000000000001</v>
      </c>
      <c r="F9" s="122" t="b">
        <f>IF(ISBLANK(FarmUnit[[#This Row],[1. Identifiant interne d’exploitation agricole*]]),"",IF(ISERROR(MATCH(FarmUnit[[#This Row],[1. Identifiant interne d’exploitation agricole*]],GroupMember[1. Identifiant interne d’exploitation agricole*],0)),FALSE,TRUE))</f>
        <v>1</v>
      </c>
      <c r="G9" s="4">
        <f t="shared" si="0"/>
        <v>7.1730999999999998</v>
      </c>
      <c r="H9" s="4">
        <f t="shared" si="1"/>
        <v>-8.1242000000000001</v>
      </c>
      <c r="I9" s="20" t="str">
        <f t="array" ref="I9">IF(ISBLANK(C9),"",IF(C9=MAX(IF(FarmUnit[1. Identifiant interne d’exploitation agricole*]=A9,FarmUnit[3. Superficie de l’unité agricole (ha)*])),"!","-"))</f>
        <v>!</v>
      </c>
      <c r="J9" s="9" t="str">
        <f t="shared" ca="1" si="2"/>
        <v/>
      </c>
    </row>
    <row r="10" spans="1:11" ht="15" x14ac:dyDescent="0.2">
      <c r="A10" s="145" t="s">
        <v>700</v>
      </c>
      <c r="B10" s="145" t="s">
        <v>700</v>
      </c>
      <c r="C10" s="264">
        <v>3</v>
      </c>
      <c r="D10" s="265">
        <v>6.8898000000000001</v>
      </c>
      <c r="E10" s="265">
        <v>-7.9432</v>
      </c>
      <c r="F10" s="122" t="b">
        <f>IF(ISBLANK(FarmUnit[[#This Row],[1. Identifiant interne d’exploitation agricole*]]),"",IF(ISERROR(MATCH(FarmUnit[[#This Row],[1. Identifiant interne d’exploitation agricole*]],GroupMember[1. Identifiant interne d’exploitation agricole*],0)),FALSE,TRUE))</f>
        <v>1</v>
      </c>
      <c r="G10" s="4">
        <f t="shared" si="0"/>
        <v>6.8898000000000001</v>
      </c>
      <c r="H10" s="4">
        <f t="shared" si="1"/>
        <v>-7.9432</v>
      </c>
      <c r="I10" s="20" t="str">
        <f t="array" ref="I10">IF(ISBLANK(C10),"",IF(C10=MAX(IF(FarmUnit[1. Identifiant interne d’exploitation agricole*]=A10,FarmUnit[3. Superficie de l’unité agricole (ha)*])),"!","-"))</f>
        <v>!</v>
      </c>
      <c r="J10" s="9" t="str">
        <f t="shared" ca="1" si="2"/>
        <v/>
      </c>
    </row>
    <row r="11" spans="1:11" ht="15" x14ac:dyDescent="0.2">
      <c r="A11" s="145" t="s">
        <v>703</v>
      </c>
      <c r="B11" s="145" t="s">
        <v>703</v>
      </c>
      <c r="C11" s="264">
        <v>1.84</v>
      </c>
      <c r="D11" s="265">
        <v>6.8920000000000003</v>
      </c>
      <c r="E11" s="265">
        <v>-7.9446000000000003</v>
      </c>
      <c r="F11" s="122" t="b">
        <f>IF(ISBLANK(FarmUnit[[#This Row],[1. Identifiant interne d’exploitation agricole*]]),"",IF(ISERROR(MATCH(FarmUnit[[#This Row],[1. Identifiant interne d’exploitation agricole*]],GroupMember[1. Identifiant interne d’exploitation agricole*],0)),FALSE,TRUE))</f>
        <v>1</v>
      </c>
      <c r="G11" s="4">
        <f t="shared" si="0"/>
        <v>6.8920000000000003</v>
      </c>
      <c r="H11" s="4">
        <f t="shared" si="1"/>
        <v>-7.9446000000000003</v>
      </c>
      <c r="I11" s="20" t="str">
        <f t="array" ref="I11">IF(ISBLANK(C11),"",IF(C11=MAX(IF(FarmUnit[1. Identifiant interne d’exploitation agricole*]=A11,FarmUnit[3. Superficie de l’unité agricole (ha)*])),"!","-"))</f>
        <v>!</v>
      </c>
      <c r="J11" s="9" t="str">
        <f t="shared" ca="1" si="2"/>
        <v/>
      </c>
    </row>
    <row r="12" spans="1:11" ht="15" x14ac:dyDescent="0.2">
      <c r="A12" s="145" t="s">
        <v>706</v>
      </c>
      <c r="B12" s="145" t="s">
        <v>706</v>
      </c>
      <c r="C12" s="264">
        <v>2.79</v>
      </c>
      <c r="D12" s="265">
        <v>6.9</v>
      </c>
      <c r="E12" s="265">
        <v>-7.9470999999999998</v>
      </c>
      <c r="F12" s="122" t="b">
        <f>IF(ISBLANK(FarmUnit[[#This Row],[1. Identifiant interne d’exploitation agricole*]]),"",IF(ISERROR(MATCH(FarmUnit[[#This Row],[1. Identifiant interne d’exploitation agricole*]],GroupMember[1. Identifiant interne d’exploitation agricole*],0)),FALSE,TRUE))</f>
        <v>1</v>
      </c>
      <c r="G12" s="4">
        <f t="shared" si="0"/>
        <v>6.9</v>
      </c>
      <c r="H12" s="4">
        <f t="shared" si="1"/>
        <v>-7.9470999999999998</v>
      </c>
      <c r="I12" s="20" t="str">
        <f t="array" ref="I12">IF(ISBLANK(C12),"",IF(C12=MAX(IF(FarmUnit[1. Identifiant interne d’exploitation agricole*]=A12,FarmUnit[3. Superficie de l’unité agricole (ha)*])),"!","-"))</f>
        <v>!</v>
      </c>
      <c r="J12" s="9" t="str">
        <f t="shared" ca="1" si="2"/>
        <v/>
      </c>
    </row>
    <row r="13" spans="1:11" ht="15" x14ac:dyDescent="0.2">
      <c r="A13" s="145" t="s">
        <v>710</v>
      </c>
      <c r="B13" s="145" t="s">
        <v>710</v>
      </c>
      <c r="C13" s="264">
        <v>3</v>
      </c>
      <c r="D13" s="265">
        <v>6.9101999999999997</v>
      </c>
      <c r="E13" s="265">
        <v>-7.9585999999999997</v>
      </c>
      <c r="F13" s="122" t="b">
        <f>IF(ISBLANK(FarmUnit[[#This Row],[1. Identifiant interne d’exploitation agricole*]]),"",IF(ISERROR(MATCH(FarmUnit[[#This Row],[1. Identifiant interne d’exploitation agricole*]],GroupMember[1. Identifiant interne d’exploitation agricole*],0)),FALSE,TRUE))</f>
        <v>1</v>
      </c>
      <c r="G13" s="4">
        <f t="shared" si="0"/>
        <v>6.9101999999999997</v>
      </c>
      <c r="H13" s="4">
        <f t="shared" si="1"/>
        <v>-7.9585999999999997</v>
      </c>
      <c r="I13" s="20" t="str">
        <f t="array" ref="I13">IF(ISBLANK(C13),"",IF(C13=MAX(IF(FarmUnit[1. Identifiant interne d’exploitation agricole*]=A13,FarmUnit[3. Superficie de l’unité agricole (ha)*])),"!","-"))</f>
        <v>!</v>
      </c>
      <c r="J13" s="9" t="str">
        <f t="shared" ca="1" si="2"/>
        <v/>
      </c>
    </row>
    <row r="14" spans="1:11" ht="15" x14ac:dyDescent="0.2">
      <c r="A14" s="145" t="s">
        <v>714</v>
      </c>
      <c r="B14" s="145" t="s">
        <v>714</v>
      </c>
      <c r="C14" s="264">
        <v>3.14</v>
      </c>
      <c r="D14" s="267">
        <v>6.9039000000000001</v>
      </c>
      <c r="E14" s="267">
        <v>-7.9471999999999996</v>
      </c>
      <c r="F14" s="122" t="b">
        <f>IF(ISBLANK(FarmUnit[[#This Row],[1. Identifiant interne d’exploitation agricole*]]),"",IF(ISERROR(MATCH(FarmUnit[[#This Row],[1. Identifiant interne d’exploitation agricole*]],GroupMember[1. Identifiant interne d’exploitation agricole*],0)),FALSE,TRUE))</f>
        <v>1</v>
      </c>
      <c r="G14" s="4">
        <f t="shared" si="0"/>
        <v>6.9039000000000001</v>
      </c>
      <c r="H14" s="4">
        <f t="shared" si="1"/>
        <v>-7.9471999999999996</v>
      </c>
      <c r="I14" s="20" t="str">
        <f t="array" ref="I14">IF(ISBLANK(C14),"",IF(C14=MAX(IF(FarmUnit[1. Identifiant interne d’exploitation agricole*]=A14,FarmUnit[3. Superficie de l’unité agricole (ha)*])),"!","-"))</f>
        <v>!</v>
      </c>
      <c r="J14" s="9" t="str">
        <f t="shared" ca="1" si="2"/>
        <v/>
      </c>
    </row>
    <row r="15" spans="1:11" ht="15" x14ac:dyDescent="0.2">
      <c r="A15" s="145" t="s">
        <v>718</v>
      </c>
      <c r="B15" s="145" t="s">
        <v>718</v>
      </c>
      <c r="C15" s="264">
        <v>3</v>
      </c>
      <c r="D15" s="265">
        <v>6.9077999999999999</v>
      </c>
      <c r="E15" s="265">
        <v>-7.9512999999999998</v>
      </c>
      <c r="F15" s="122" t="b">
        <f>IF(ISBLANK(FarmUnit[[#This Row],[1. Identifiant interne d’exploitation agricole*]]),"",IF(ISERROR(MATCH(FarmUnit[[#This Row],[1. Identifiant interne d’exploitation agricole*]],GroupMember[1. Identifiant interne d’exploitation agricole*],0)),FALSE,TRUE))</f>
        <v>1</v>
      </c>
      <c r="G15" s="4">
        <f t="shared" si="0"/>
        <v>6.9077999999999999</v>
      </c>
      <c r="H15" s="4">
        <f t="shared" si="1"/>
        <v>-7.9512999999999998</v>
      </c>
      <c r="I15" s="20" t="str">
        <f t="array" ref="I15">IF(ISBLANK(C15),"",IF(C15=MAX(IF(FarmUnit[1. Identifiant interne d’exploitation agricole*]=A15,FarmUnit[3. Superficie de l’unité agricole (ha)*])),"!","-"))</f>
        <v>!</v>
      </c>
      <c r="J15" s="9" t="str">
        <f t="shared" ca="1" si="2"/>
        <v/>
      </c>
    </row>
    <row r="16" spans="1:11" ht="15" x14ac:dyDescent="0.2">
      <c r="A16" s="145" t="s">
        <v>721</v>
      </c>
      <c r="B16" s="145" t="s">
        <v>721</v>
      </c>
      <c r="C16" s="264">
        <v>1.05</v>
      </c>
      <c r="D16" s="265">
        <v>7.1471999999999998</v>
      </c>
      <c r="E16" s="265">
        <v>-8.1303000000000001</v>
      </c>
      <c r="F16" s="122" t="b">
        <f>IF(ISBLANK(FarmUnit[[#This Row],[1. Identifiant interne d’exploitation agricole*]]),"",IF(ISERROR(MATCH(FarmUnit[[#This Row],[1. Identifiant interne d’exploitation agricole*]],GroupMember[1. Identifiant interne d’exploitation agricole*],0)),FALSE,TRUE))</f>
        <v>1</v>
      </c>
      <c r="G16" s="4">
        <f t="shared" si="0"/>
        <v>7.1471999999999998</v>
      </c>
      <c r="H16" s="4">
        <f t="shared" si="1"/>
        <v>-8.1303000000000001</v>
      </c>
      <c r="I16" s="20" t="str">
        <f t="array" ref="I16">IF(ISBLANK(C16),"",IF(C16=MAX(IF(FarmUnit[1. Identifiant interne d’exploitation agricole*]=A16,FarmUnit[3. Superficie de l’unité agricole (ha)*])),"!","-"))</f>
        <v>!</v>
      </c>
      <c r="J16" s="9" t="str">
        <f t="shared" ca="1" si="2"/>
        <v/>
      </c>
    </row>
    <row r="17" spans="1:10" ht="15" x14ac:dyDescent="0.2">
      <c r="A17" s="145" t="s">
        <v>725</v>
      </c>
      <c r="B17" s="145" t="s">
        <v>725</v>
      </c>
      <c r="C17" s="264">
        <v>2.59</v>
      </c>
      <c r="D17" s="267">
        <v>6.89</v>
      </c>
      <c r="E17" s="267">
        <v>-7.9446000000000003</v>
      </c>
      <c r="F17" s="122" t="b">
        <f>IF(ISBLANK(FarmUnit[[#This Row],[1. Identifiant interne d’exploitation agricole*]]),"",IF(ISERROR(MATCH(FarmUnit[[#This Row],[1. Identifiant interne d’exploitation agricole*]],GroupMember[1. Identifiant interne d’exploitation agricole*],0)),FALSE,TRUE))</f>
        <v>1</v>
      </c>
      <c r="G17" s="4">
        <f t="shared" si="0"/>
        <v>6.89</v>
      </c>
      <c r="H17" s="4">
        <f t="shared" si="1"/>
        <v>-7.9446000000000003</v>
      </c>
      <c r="I17" s="20" t="str">
        <f t="array" ref="I17">IF(ISBLANK(C17),"",IF(C17=MAX(IF(FarmUnit[1. Identifiant interne d’exploitation agricole*]=A17,FarmUnit[3. Superficie de l’unité agricole (ha)*])),"!","-"))</f>
        <v>!</v>
      </c>
      <c r="J17" s="9" t="str">
        <f t="shared" ca="1" si="2"/>
        <v/>
      </c>
    </row>
    <row r="18" spans="1:10" ht="15" x14ac:dyDescent="0.2">
      <c r="A18" s="145" t="s">
        <v>728</v>
      </c>
      <c r="B18" s="145" t="s">
        <v>728</v>
      </c>
      <c r="C18" s="264">
        <v>3.51</v>
      </c>
      <c r="D18" s="265">
        <v>7.0769000000000002</v>
      </c>
      <c r="E18" s="265">
        <v>-8.1386000000000003</v>
      </c>
      <c r="F18" s="122" t="b">
        <f>IF(ISBLANK(FarmUnit[[#This Row],[1. Identifiant interne d’exploitation agricole*]]),"",IF(ISERROR(MATCH(FarmUnit[[#This Row],[1. Identifiant interne d’exploitation agricole*]],GroupMember[1. Identifiant interne d’exploitation agricole*],0)),FALSE,TRUE))</f>
        <v>1</v>
      </c>
      <c r="G18" s="4">
        <f t="shared" si="0"/>
        <v>7.0769000000000002</v>
      </c>
      <c r="H18" s="4">
        <f t="shared" si="1"/>
        <v>-8.1386000000000003</v>
      </c>
      <c r="I18" s="20" t="str">
        <f t="array" ref="I18">IF(ISBLANK(C18),"",IF(C18=MAX(IF(FarmUnit[1. Identifiant interne d’exploitation agricole*]=A18,FarmUnit[3. Superficie de l’unité agricole (ha)*])),"!","-"))</f>
        <v>!</v>
      </c>
      <c r="J18" s="9" t="str">
        <f t="shared" ca="1" si="2"/>
        <v/>
      </c>
    </row>
    <row r="19" spans="1:10" ht="15" x14ac:dyDescent="0.2">
      <c r="A19" s="145" t="s">
        <v>733</v>
      </c>
      <c r="B19" s="145" t="s">
        <v>733</v>
      </c>
      <c r="C19" s="264">
        <v>0.72</v>
      </c>
      <c r="D19" s="265">
        <v>7.0822000000000003</v>
      </c>
      <c r="E19" s="265">
        <v>-8.2070000000000007</v>
      </c>
      <c r="F19" s="122" t="b">
        <f>IF(ISBLANK(FarmUnit[[#This Row],[1. Identifiant interne d’exploitation agricole*]]),"",IF(ISERROR(MATCH(FarmUnit[[#This Row],[1. Identifiant interne d’exploitation agricole*]],GroupMember[1. Identifiant interne d’exploitation agricole*],0)),FALSE,TRUE))</f>
        <v>1</v>
      </c>
      <c r="G19" s="4">
        <f t="shared" si="0"/>
        <v>7.0822000000000003</v>
      </c>
      <c r="H19" s="4">
        <f t="shared" si="1"/>
        <v>-8.2070000000000007</v>
      </c>
      <c r="I19" s="20" t="str">
        <f t="array" ref="I19">IF(ISBLANK(C19),"",IF(C19=MAX(IF(FarmUnit[1. Identifiant interne d’exploitation agricole*]=A19,FarmUnit[3. Superficie de l’unité agricole (ha)*])),"!","-"))</f>
        <v>!</v>
      </c>
      <c r="J19" s="9" t="str">
        <f t="shared" ca="1" si="2"/>
        <v/>
      </c>
    </row>
    <row r="20" spans="1:10" ht="15" x14ac:dyDescent="0.2">
      <c r="A20" s="145" t="s">
        <v>737</v>
      </c>
      <c r="B20" s="145" t="s">
        <v>737</v>
      </c>
      <c r="C20" s="264">
        <v>1.1200000000000001</v>
      </c>
      <c r="D20" s="265">
        <v>7.0762</v>
      </c>
      <c r="E20" s="265">
        <v>-7.9652000000000003</v>
      </c>
      <c r="F20" s="122" t="b">
        <f>IF(ISBLANK(FarmUnit[[#This Row],[1. Identifiant interne d’exploitation agricole*]]),"",IF(ISERROR(MATCH(FarmUnit[[#This Row],[1. Identifiant interne d’exploitation agricole*]],GroupMember[1. Identifiant interne d’exploitation agricole*],0)),FALSE,TRUE))</f>
        <v>1</v>
      </c>
      <c r="G20" s="4">
        <f t="shared" si="0"/>
        <v>7.0762</v>
      </c>
      <c r="H20" s="4">
        <f t="shared" si="1"/>
        <v>-7.9652000000000003</v>
      </c>
      <c r="I20" s="20" t="str">
        <f t="array" ref="I20">IF(ISBLANK(C20),"",IF(C20=MAX(IF(FarmUnit[1. Identifiant interne d’exploitation agricole*]=A20,FarmUnit[3. Superficie de l’unité agricole (ha)*])),"!","-"))</f>
        <v>!</v>
      </c>
      <c r="J20" s="9" t="str">
        <f t="shared" ca="1" si="2"/>
        <v/>
      </c>
    </row>
    <row r="21" spans="1:10" ht="15" x14ac:dyDescent="0.2">
      <c r="A21" s="145" t="s">
        <v>741</v>
      </c>
      <c r="B21" s="145" t="s">
        <v>741</v>
      </c>
      <c r="C21" s="264">
        <v>1.75</v>
      </c>
      <c r="D21" s="265">
        <v>7.0281000000000002</v>
      </c>
      <c r="E21" s="265">
        <v>-7.9916999999999998</v>
      </c>
      <c r="F21" s="122" t="b">
        <f>IF(ISBLANK(FarmUnit[[#This Row],[1. Identifiant interne d’exploitation agricole*]]),"",IF(ISERROR(MATCH(FarmUnit[[#This Row],[1. Identifiant interne d’exploitation agricole*]],GroupMember[1. Identifiant interne d’exploitation agricole*],0)),FALSE,TRUE))</f>
        <v>1</v>
      </c>
      <c r="G21" s="4">
        <f t="shared" si="0"/>
        <v>7.0281000000000002</v>
      </c>
      <c r="H21" s="4">
        <f t="shared" si="1"/>
        <v>-7.9916999999999998</v>
      </c>
      <c r="I21" s="20" t="str">
        <f t="array" ref="I21">IF(ISBLANK(C21),"",IF(C21=MAX(IF(FarmUnit[1. Identifiant interne d’exploitation agricole*]=A21,FarmUnit[3. Superficie de l’unité agricole (ha)*])),"!","-"))</f>
        <v>!</v>
      </c>
      <c r="J21" s="9" t="str">
        <f t="shared" ca="1" si="2"/>
        <v/>
      </c>
    </row>
    <row r="22" spans="1:10" ht="15" x14ac:dyDescent="0.2">
      <c r="A22" s="145" t="s">
        <v>746</v>
      </c>
      <c r="B22" s="145" t="s">
        <v>746</v>
      </c>
      <c r="C22" s="264">
        <v>0.56999999999999995</v>
      </c>
      <c r="D22" s="265">
        <v>6.9015000000000004</v>
      </c>
      <c r="E22" s="265">
        <v>-7.9596999999999998</v>
      </c>
      <c r="F22" s="122" t="b">
        <f>IF(ISBLANK(FarmUnit[[#This Row],[1. Identifiant interne d’exploitation agricole*]]),"",IF(ISERROR(MATCH(FarmUnit[[#This Row],[1. Identifiant interne d’exploitation agricole*]],GroupMember[1. Identifiant interne d’exploitation agricole*],0)),FALSE,TRUE))</f>
        <v>1</v>
      </c>
      <c r="G22" s="4">
        <f t="shared" si="0"/>
        <v>6.9015000000000004</v>
      </c>
      <c r="H22" s="4">
        <f t="shared" si="1"/>
        <v>-7.9596999999999998</v>
      </c>
      <c r="I22" s="20" t="str">
        <f t="array" ref="I22">IF(ISBLANK(C22),"",IF(C22=MAX(IF(FarmUnit[1. Identifiant interne d’exploitation agricole*]=A22,FarmUnit[3. Superficie de l’unité agricole (ha)*])),"!","-"))</f>
        <v>!</v>
      </c>
      <c r="J22" s="9" t="str">
        <f t="shared" ca="1" si="2"/>
        <v/>
      </c>
    </row>
    <row r="23" spans="1:10" ht="15" x14ac:dyDescent="0.2">
      <c r="A23" s="145" t="s">
        <v>752</v>
      </c>
      <c r="B23" s="145" t="s">
        <v>752</v>
      </c>
      <c r="C23" s="264">
        <v>6.41</v>
      </c>
      <c r="D23" s="265">
        <v>7.0602999999999998</v>
      </c>
      <c r="E23" s="265">
        <v>-7.9718999999999998</v>
      </c>
      <c r="F23" s="122" t="b">
        <f>IF(ISBLANK(FarmUnit[[#This Row],[1. Identifiant interne d’exploitation agricole*]]),"",IF(ISERROR(MATCH(FarmUnit[[#This Row],[1. Identifiant interne d’exploitation agricole*]],GroupMember[1. Identifiant interne d’exploitation agricole*],0)),FALSE,TRUE))</f>
        <v>1</v>
      </c>
      <c r="G23" s="4">
        <f t="shared" si="0"/>
        <v>7.0602999999999998</v>
      </c>
      <c r="H23" s="4">
        <f t="shared" si="1"/>
        <v>-7.9718999999999998</v>
      </c>
      <c r="I23" s="20" t="str">
        <f t="array" ref="I23">IF(ISBLANK(C23),"",IF(C23=MAX(IF(FarmUnit[1. Identifiant interne d’exploitation agricole*]=A23,FarmUnit[3. Superficie de l’unité agricole (ha)*])),"!","-"))</f>
        <v>!</v>
      </c>
      <c r="J23" s="9" t="str">
        <f t="shared" ca="1" si="2"/>
        <v/>
      </c>
    </row>
    <row r="24" spans="1:10" ht="15" x14ac:dyDescent="0.2">
      <c r="A24" s="145" t="s">
        <v>756</v>
      </c>
      <c r="B24" s="145" t="s">
        <v>756</v>
      </c>
      <c r="C24" s="264">
        <v>5.07</v>
      </c>
      <c r="D24" s="266">
        <v>6.8864999999999998</v>
      </c>
      <c r="E24" s="266">
        <v>-7.9455999999999998</v>
      </c>
      <c r="F24" s="122" t="b">
        <f>IF(ISBLANK(FarmUnit[[#This Row],[1. Identifiant interne d’exploitation agricole*]]),"",IF(ISERROR(MATCH(FarmUnit[[#This Row],[1. Identifiant interne d’exploitation agricole*]],GroupMember[1. Identifiant interne d’exploitation agricole*],0)),FALSE,TRUE))</f>
        <v>1</v>
      </c>
      <c r="G24" s="4">
        <f t="shared" si="0"/>
        <v>6.8864999999999998</v>
      </c>
      <c r="H24" s="4">
        <f t="shared" si="1"/>
        <v>-7.9455999999999998</v>
      </c>
      <c r="I24" s="20" t="str">
        <f t="array" ref="I24">IF(ISBLANK(C24),"",IF(C24=MAX(IF(FarmUnit[1. Identifiant interne d’exploitation agricole*]=A24,FarmUnit[3. Superficie de l’unité agricole (ha)*])),"!","-"))</f>
        <v>!</v>
      </c>
      <c r="J24" s="9" t="str">
        <f t="shared" ca="1" si="2"/>
        <v/>
      </c>
    </row>
    <row r="25" spans="1:10" ht="15" x14ac:dyDescent="0.2">
      <c r="A25" s="145" t="s">
        <v>759</v>
      </c>
      <c r="B25" s="145" t="s">
        <v>759</v>
      </c>
      <c r="C25" s="264">
        <v>2.35</v>
      </c>
      <c r="D25" s="265">
        <v>6.8891</v>
      </c>
      <c r="E25" s="265">
        <v>-7.9408000000000003</v>
      </c>
      <c r="F25" s="122" t="b">
        <f>IF(ISBLANK(FarmUnit[[#This Row],[1. Identifiant interne d’exploitation agricole*]]),"",IF(ISERROR(MATCH(FarmUnit[[#This Row],[1. Identifiant interne d’exploitation agricole*]],GroupMember[1. Identifiant interne d’exploitation agricole*],0)),FALSE,TRUE))</f>
        <v>1</v>
      </c>
      <c r="G25" s="4">
        <f t="shared" si="0"/>
        <v>6.8891</v>
      </c>
      <c r="H25" s="4">
        <f t="shared" si="1"/>
        <v>-7.9408000000000003</v>
      </c>
      <c r="I25" s="20" t="str">
        <f t="array" ref="I25">IF(ISBLANK(C25),"",IF(C25=MAX(IF(FarmUnit[1. Identifiant interne d’exploitation agricole*]=A25,FarmUnit[3. Superficie de l’unité agricole (ha)*])),"!","-"))</f>
        <v>!</v>
      </c>
      <c r="J25" s="9" t="str">
        <f t="shared" ca="1" si="2"/>
        <v/>
      </c>
    </row>
    <row r="26" spans="1:10" ht="15" x14ac:dyDescent="0.2">
      <c r="A26" s="145" t="s">
        <v>762</v>
      </c>
      <c r="B26" s="145" t="s">
        <v>762</v>
      </c>
      <c r="C26" s="264">
        <v>7.82</v>
      </c>
      <c r="D26" s="265">
        <v>6.8868999999999998</v>
      </c>
      <c r="E26" s="265">
        <v>-8.1706000000000003</v>
      </c>
      <c r="F26" s="122" t="b">
        <f>IF(ISBLANK(FarmUnit[[#This Row],[1. Identifiant interne d’exploitation agricole*]]),"",IF(ISERROR(MATCH(FarmUnit[[#This Row],[1. Identifiant interne d’exploitation agricole*]],GroupMember[1. Identifiant interne d’exploitation agricole*],0)),FALSE,TRUE))</f>
        <v>1</v>
      </c>
      <c r="G26" s="4">
        <f t="shared" si="0"/>
        <v>6.8868999999999998</v>
      </c>
      <c r="H26" s="4">
        <f t="shared" si="1"/>
        <v>-8.1706000000000003</v>
      </c>
      <c r="I26" s="20" t="str">
        <f t="array" ref="I26">IF(ISBLANK(C26),"",IF(C26=MAX(IF(FarmUnit[1. Identifiant interne d’exploitation agricole*]=A26,FarmUnit[3. Superficie de l’unité agricole (ha)*])),"!","-"))</f>
        <v>!</v>
      </c>
      <c r="J26" s="9" t="str">
        <f t="shared" ca="1" si="2"/>
        <v/>
      </c>
    </row>
    <row r="27" spans="1:10" ht="15" x14ac:dyDescent="0.2">
      <c r="A27" s="145" t="s">
        <v>764</v>
      </c>
      <c r="B27" s="145" t="s">
        <v>764</v>
      </c>
      <c r="C27" s="264">
        <v>2.2400000000000002</v>
      </c>
      <c r="D27" s="265">
        <v>6.9810999999999996</v>
      </c>
      <c r="E27" s="265">
        <v>-8.1425000000000001</v>
      </c>
      <c r="F27" s="122" t="b">
        <f>IF(ISBLANK(FarmUnit[[#This Row],[1. Identifiant interne d’exploitation agricole*]]),"",IF(ISERROR(MATCH(FarmUnit[[#This Row],[1. Identifiant interne d’exploitation agricole*]],GroupMember[1. Identifiant interne d’exploitation agricole*],0)),FALSE,TRUE))</f>
        <v>1</v>
      </c>
      <c r="G27" s="4">
        <f t="shared" si="0"/>
        <v>6.9810999999999996</v>
      </c>
      <c r="H27" s="4">
        <f t="shared" si="1"/>
        <v>-8.1425000000000001</v>
      </c>
      <c r="I27" s="20" t="str">
        <f t="array" ref="I27">IF(ISBLANK(C27),"",IF(C27=MAX(IF(FarmUnit[1. Identifiant interne d’exploitation agricole*]=A27,FarmUnit[3. Superficie de l’unité agricole (ha)*])),"!","-"))</f>
        <v>!</v>
      </c>
      <c r="J27" s="9" t="str">
        <f t="shared" ca="1" si="2"/>
        <v/>
      </c>
    </row>
    <row r="28" spans="1:10" ht="15" x14ac:dyDescent="0.2">
      <c r="A28" s="145" t="s">
        <v>767</v>
      </c>
      <c r="B28" s="145" t="s">
        <v>767</v>
      </c>
      <c r="C28" s="264">
        <v>4</v>
      </c>
      <c r="D28" s="267">
        <v>6.9044999999999996</v>
      </c>
      <c r="E28" s="267">
        <v>-7.9611000000000001</v>
      </c>
      <c r="F28" s="122" t="b">
        <f>IF(ISBLANK(FarmUnit[[#This Row],[1. Identifiant interne d’exploitation agricole*]]),"",IF(ISERROR(MATCH(FarmUnit[[#This Row],[1. Identifiant interne d’exploitation agricole*]],GroupMember[1. Identifiant interne d’exploitation agricole*],0)),FALSE,TRUE))</f>
        <v>1</v>
      </c>
      <c r="G28" s="4">
        <f t="shared" si="0"/>
        <v>6.9044999999999996</v>
      </c>
      <c r="H28" s="4">
        <f t="shared" si="1"/>
        <v>-7.9611000000000001</v>
      </c>
      <c r="I28" s="20" t="str">
        <f t="array" ref="I28">IF(ISBLANK(C28),"",IF(C28=MAX(IF(FarmUnit[1. Identifiant interne d’exploitation agricole*]=A28,FarmUnit[3. Superficie de l’unité agricole (ha)*])),"!","-"))</f>
        <v>!</v>
      </c>
      <c r="J28" s="9" t="str">
        <f t="shared" ca="1" si="2"/>
        <v/>
      </c>
    </row>
    <row r="29" spans="1:10" ht="15" x14ac:dyDescent="0.2">
      <c r="A29" s="145" t="s">
        <v>771</v>
      </c>
      <c r="B29" s="145" t="s">
        <v>771</v>
      </c>
      <c r="C29" s="166">
        <v>4.29</v>
      </c>
      <c r="D29" s="265">
        <v>7.0972</v>
      </c>
      <c r="E29" s="265">
        <v>-7.9607999999999999</v>
      </c>
      <c r="F29" s="122" t="b">
        <f>IF(ISBLANK(FarmUnit[[#This Row],[1. Identifiant interne d’exploitation agricole*]]),"",IF(ISERROR(MATCH(FarmUnit[[#This Row],[1. Identifiant interne d’exploitation agricole*]],GroupMember[1. Identifiant interne d’exploitation agricole*],0)),FALSE,TRUE))</f>
        <v>1</v>
      </c>
      <c r="G29" s="4">
        <f t="shared" si="0"/>
        <v>7.0972</v>
      </c>
      <c r="H29" s="4">
        <f t="shared" si="1"/>
        <v>-7.9607999999999999</v>
      </c>
      <c r="I29" s="20" t="str">
        <f t="array" ref="I29">IF(ISBLANK(C29),"",IF(C29=MAX(IF(FarmUnit[1. Identifiant interne d’exploitation agricole*]=A29,FarmUnit[3. Superficie de l’unité agricole (ha)*])),"!","-"))</f>
        <v>!</v>
      </c>
      <c r="J29" s="9" t="str">
        <f t="shared" ca="1" si="2"/>
        <v/>
      </c>
    </row>
    <row r="30" spans="1:10" ht="15" x14ac:dyDescent="0.2">
      <c r="A30" s="145" t="s">
        <v>773</v>
      </c>
      <c r="B30" s="145" t="s">
        <v>773</v>
      </c>
      <c r="C30" s="166">
        <v>3.5</v>
      </c>
      <c r="D30" s="265">
        <v>6.9246999999999996</v>
      </c>
      <c r="E30" s="265">
        <v>-7.9587000000000003</v>
      </c>
      <c r="F30" s="122" t="b">
        <f>IF(ISBLANK(FarmUnit[[#This Row],[1. Identifiant interne d’exploitation agricole*]]),"",IF(ISERROR(MATCH(FarmUnit[[#This Row],[1. Identifiant interne d’exploitation agricole*]],GroupMember[1. Identifiant interne d’exploitation agricole*],0)),FALSE,TRUE))</f>
        <v>1</v>
      </c>
      <c r="G30" s="4">
        <f t="shared" si="0"/>
        <v>6.9246999999999996</v>
      </c>
      <c r="H30" s="4">
        <f t="shared" si="1"/>
        <v>-7.9587000000000003</v>
      </c>
      <c r="I30" s="20" t="str">
        <f t="array" ref="I30">IF(ISBLANK(C30),"",IF(C30=MAX(IF(FarmUnit[1. Identifiant interne d’exploitation agricole*]=A30,FarmUnit[3. Superficie de l’unité agricole (ha)*])),"!","-"))</f>
        <v>!</v>
      </c>
      <c r="J30" s="9" t="str">
        <f t="shared" ca="1" si="2"/>
        <v/>
      </c>
    </row>
    <row r="31" spans="1:10" ht="15" x14ac:dyDescent="0.2">
      <c r="A31" s="145" t="s">
        <v>775</v>
      </c>
      <c r="B31" s="145" t="s">
        <v>775</v>
      </c>
      <c r="C31" s="166">
        <v>1.38</v>
      </c>
      <c r="D31" s="265">
        <v>6.9977999999999998</v>
      </c>
      <c r="E31" s="265">
        <v>-8.0114000000000001</v>
      </c>
      <c r="F31" s="122" t="b">
        <f>IF(ISBLANK(FarmUnit[[#This Row],[1. Identifiant interne d’exploitation agricole*]]),"",IF(ISERROR(MATCH(FarmUnit[[#This Row],[1. Identifiant interne d’exploitation agricole*]],GroupMember[1. Identifiant interne d’exploitation agricole*],0)),FALSE,TRUE))</f>
        <v>1</v>
      </c>
      <c r="G31" s="4">
        <f t="shared" si="0"/>
        <v>6.9977999999999998</v>
      </c>
      <c r="H31" s="4">
        <f t="shared" si="1"/>
        <v>-8.0114000000000001</v>
      </c>
      <c r="I31" s="20" t="str">
        <f t="array" ref="I31">IF(ISBLANK(C31),"",IF(C31=MAX(IF(FarmUnit[1. Identifiant interne d’exploitation agricole*]=A31,FarmUnit[3. Superficie de l’unité agricole (ha)*])),"!","-"))</f>
        <v>!</v>
      </c>
      <c r="J31" s="9" t="str">
        <f t="shared" ca="1" si="2"/>
        <v/>
      </c>
    </row>
    <row r="32" spans="1:10" ht="15" x14ac:dyDescent="0.2">
      <c r="A32" s="145" t="s">
        <v>780</v>
      </c>
      <c r="B32" s="145" t="s">
        <v>780</v>
      </c>
      <c r="C32" s="166">
        <v>4.24</v>
      </c>
      <c r="D32" s="265">
        <v>7.1543999999999999</v>
      </c>
      <c r="E32" s="265">
        <v>-8.1225000000000005</v>
      </c>
      <c r="F32" s="122" t="b">
        <f>IF(ISBLANK(FarmUnit[[#This Row],[1. Identifiant interne d’exploitation agricole*]]),"",IF(ISERROR(MATCH(FarmUnit[[#This Row],[1. Identifiant interne d’exploitation agricole*]],GroupMember[1. Identifiant interne d’exploitation agricole*],0)),FALSE,TRUE))</f>
        <v>1</v>
      </c>
      <c r="G32" s="4">
        <f t="shared" si="0"/>
        <v>7.1543999999999999</v>
      </c>
      <c r="H32" s="4">
        <f t="shared" si="1"/>
        <v>-8.1225000000000005</v>
      </c>
      <c r="I32" s="20" t="str">
        <f t="array" ref="I32">IF(ISBLANK(C32),"",IF(C32=MAX(IF(FarmUnit[1. Identifiant interne d’exploitation agricole*]=A32,FarmUnit[3. Superficie de l’unité agricole (ha)*])),"!","-"))</f>
        <v>!</v>
      </c>
      <c r="J32" s="9" t="str">
        <f t="shared" ca="1" si="2"/>
        <v/>
      </c>
    </row>
    <row r="33" spans="1:10" ht="15" x14ac:dyDescent="0.2">
      <c r="A33" s="145" t="s">
        <v>785</v>
      </c>
      <c r="B33" s="145" t="s">
        <v>785</v>
      </c>
      <c r="C33" s="264">
        <v>4.0599999999999996</v>
      </c>
      <c r="D33" s="265">
        <v>7.0250000000000004</v>
      </c>
      <c r="E33" s="265">
        <v>-8.1702999999999992</v>
      </c>
      <c r="F33" s="122" t="b">
        <f>IF(ISBLANK(FarmUnit[[#This Row],[1. Identifiant interne d’exploitation agricole*]]),"",IF(ISERROR(MATCH(FarmUnit[[#This Row],[1. Identifiant interne d’exploitation agricole*]],GroupMember[1. Identifiant interne d’exploitation agricole*],0)),FALSE,TRUE))</f>
        <v>1</v>
      </c>
      <c r="G33" s="4">
        <f t="shared" si="0"/>
        <v>7.0250000000000004</v>
      </c>
      <c r="H33" s="4">
        <f t="shared" si="1"/>
        <v>-8.1702999999999992</v>
      </c>
      <c r="I33" s="20" t="str">
        <f t="array" ref="I33">IF(ISBLANK(C33),"",IF(C33=MAX(IF(FarmUnit[1. Identifiant interne d’exploitation agricole*]=A33,FarmUnit[3. Superficie de l’unité agricole (ha)*])),"!","-"))</f>
        <v>!</v>
      </c>
      <c r="J33" s="9" t="str">
        <f t="shared" ca="1" si="2"/>
        <v/>
      </c>
    </row>
    <row r="34" spans="1:10" ht="15" x14ac:dyDescent="0.2">
      <c r="A34" s="145" t="s">
        <v>789</v>
      </c>
      <c r="B34" s="145" t="s">
        <v>789</v>
      </c>
      <c r="C34" s="264">
        <v>3.5</v>
      </c>
      <c r="D34" s="265">
        <v>6.9078999999999997</v>
      </c>
      <c r="E34" s="265">
        <v>-7.9466000000000001</v>
      </c>
      <c r="F34" s="122" t="b">
        <f>IF(ISBLANK(FarmUnit[[#This Row],[1. Identifiant interne d’exploitation agricole*]]),"",IF(ISERROR(MATCH(FarmUnit[[#This Row],[1. Identifiant interne d’exploitation agricole*]],GroupMember[1. Identifiant interne d’exploitation agricole*],0)),FALSE,TRUE))</f>
        <v>1</v>
      </c>
      <c r="G34" s="4">
        <f t="shared" si="0"/>
        <v>6.9078999999999997</v>
      </c>
      <c r="H34" s="4">
        <f t="shared" si="1"/>
        <v>-7.9466000000000001</v>
      </c>
      <c r="I34" s="20" t="str">
        <f t="array" ref="I34">IF(ISBLANK(C34),"",IF(C34=MAX(IF(FarmUnit[1. Identifiant interne d’exploitation agricole*]=A34,FarmUnit[3. Superficie de l’unité agricole (ha)*])),"!","-"))</f>
        <v>!</v>
      </c>
      <c r="J34" s="9" t="str">
        <f t="shared" ca="1" si="2"/>
        <v/>
      </c>
    </row>
    <row r="35" spans="1:10" ht="15" x14ac:dyDescent="0.2">
      <c r="A35" s="145" t="s">
        <v>794</v>
      </c>
      <c r="B35" s="145" t="s">
        <v>794</v>
      </c>
      <c r="C35" s="264">
        <v>1.95</v>
      </c>
      <c r="D35" s="265">
        <v>7.1254</v>
      </c>
      <c r="E35" s="265">
        <v>-7.9535999999999998</v>
      </c>
      <c r="F35" s="122" t="b">
        <f>IF(ISBLANK(FarmUnit[[#This Row],[1. Identifiant interne d’exploitation agricole*]]),"",IF(ISERROR(MATCH(FarmUnit[[#This Row],[1. Identifiant interne d’exploitation agricole*]],GroupMember[1. Identifiant interne d’exploitation agricole*],0)),FALSE,TRUE))</f>
        <v>1</v>
      </c>
      <c r="G35" s="4">
        <f t="shared" si="0"/>
        <v>7.1254</v>
      </c>
      <c r="H35" s="4">
        <f t="shared" si="1"/>
        <v>-7.9535999999999998</v>
      </c>
      <c r="I35" s="20" t="str">
        <f t="array" ref="I35">IF(ISBLANK(C35),"",IF(C35=MAX(IF(FarmUnit[1. Identifiant interne d’exploitation agricole*]=A35,FarmUnit[3. Superficie de l’unité agricole (ha)*])),"!","-"))</f>
        <v>!</v>
      </c>
      <c r="J35" s="9" t="str">
        <f t="shared" ca="1" si="2"/>
        <v/>
      </c>
    </row>
    <row r="36" spans="1:10" ht="15" x14ac:dyDescent="0.2">
      <c r="A36" s="145" t="s">
        <v>798</v>
      </c>
      <c r="B36" s="145" t="s">
        <v>798</v>
      </c>
      <c r="C36" s="264">
        <v>2.33</v>
      </c>
      <c r="D36" s="267">
        <v>6.9077000000000002</v>
      </c>
      <c r="E36" s="267">
        <v>-7.9543999999999997</v>
      </c>
      <c r="F36" s="122" t="b">
        <f>IF(ISBLANK(FarmUnit[[#This Row],[1. Identifiant interne d’exploitation agricole*]]),"",IF(ISERROR(MATCH(FarmUnit[[#This Row],[1. Identifiant interne d’exploitation agricole*]],GroupMember[1. Identifiant interne d’exploitation agricole*],0)),FALSE,TRUE))</f>
        <v>1</v>
      </c>
      <c r="G36" s="4">
        <f t="shared" si="0"/>
        <v>6.9077000000000002</v>
      </c>
      <c r="H36" s="4">
        <f t="shared" si="1"/>
        <v>-7.9543999999999997</v>
      </c>
      <c r="I36" s="20" t="str">
        <f t="array" ref="I36">IF(ISBLANK(C36),"",IF(C36=MAX(IF(FarmUnit[1. Identifiant interne d’exploitation agricole*]=A36,FarmUnit[3. Superficie de l’unité agricole (ha)*])),"!","-"))</f>
        <v>!</v>
      </c>
      <c r="J36" s="9" t="str">
        <f t="shared" ca="1" si="2"/>
        <v/>
      </c>
    </row>
    <row r="37" spans="1:10" ht="15" x14ac:dyDescent="0.2">
      <c r="A37" s="145" t="s">
        <v>802</v>
      </c>
      <c r="B37" s="145" t="s">
        <v>802</v>
      </c>
      <c r="C37" s="264">
        <v>2.23</v>
      </c>
      <c r="D37" s="265">
        <v>6.9118000000000004</v>
      </c>
      <c r="E37" s="265">
        <v>-7.9316000000000004</v>
      </c>
      <c r="F37" s="122" t="b">
        <f>IF(ISBLANK(FarmUnit[[#This Row],[1. Identifiant interne d’exploitation agricole*]]),"",IF(ISERROR(MATCH(FarmUnit[[#This Row],[1. Identifiant interne d’exploitation agricole*]],GroupMember[1. Identifiant interne d’exploitation agricole*],0)),FALSE,TRUE))</f>
        <v>1</v>
      </c>
      <c r="G37" s="4">
        <f t="shared" si="0"/>
        <v>6.9118000000000004</v>
      </c>
      <c r="H37" s="4">
        <f t="shared" si="1"/>
        <v>-7.9316000000000004</v>
      </c>
      <c r="I37" s="20" t="str">
        <f t="array" ref="I37">IF(ISBLANK(C37),"",IF(C37=MAX(IF(FarmUnit[1. Identifiant interne d’exploitation agricole*]=A37,FarmUnit[3. Superficie de l’unité agricole (ha)*])),"!","-"))</f>
        <v>!</v>
      </c>
      <c r="J37" s="9" t="str">
        <f t="shared" ca="1" si="2"/>
        <v/>
      </c>
    </row>
    <row r="38" spans="1:10" ht="15" x14ac:dyDescent="0.2">
      <c r="A38" s="145" t="s">
        <v>807</v>
      </c>
      <c r="B38" s="145" t="s">
        <v>807</v>
      </c>
      <c r="C38" s="264">
        <v>2.2799999999999998</v>
      </c>
      <c r="D38" s="265">
        <v>6.9015000000000004</v>
      </c>
      <c r="E38" s="265">
        <v>-7.9621000000000004</v>
      </c>
      <c r="F38" s="122" t="b">
        <f>IF(ISBLANK(FarmUnit[[#This Row],[1. Identifiant interne d’exploitation agricole*]]),"",IF(ISERROR(MATCH(FarmUnit[[#This Row],[1. Identifiant interne d’exploitation agricole*]],GroupMember[1. Identifiant interne d’exploitation agricole*],0)),FALSE,TRUE))</f>
        <v>1</v>
      </c>
      <c r="G38" s="4">
        <f t="shared" si="0"/>
        <v>6.9015000000000004</v>
      </c>
      <c r="H38" s="4">
        <f t="shared" si="1"/>
        <v>-7.9621000000000004</v>
      </c>
      <c r="I38" s="20" t="str">
        <f t="array" ref="I38">IF(ISBLANK(C38),"",IF(C38=MAX(IF(FarmUnit[1. Identifiant interne d’exploitation agricole*]=A38,FarmUnit[3. Superficie de l’unité agricole (ha)*])),"!","-"))</f>
        <v>!</v>
      </c>
      <c r="J38" s="9" t="str">
        <f t="shared" ca="1" si="2"/>
        <v/>
      </c>
    </row>
    <row r="39" spans="1:10" ht="15" x14ac:dyDescent="0.2">
      <c r="A39" s="145" t="s">
        <v>812</v>
      </c>
      <c r="B39" s="145" t="s">
        <v>812</v>
      </c>
      <c r="C39" s="264">
        <v>0.91</v>
      </c>
      <c r="D39" s="267">
        <v>6.9082999999999997</v>
      </c>
      <c r="E39" s="267">
        <v>-7.9530000000000003</v>
      </c>
      <c r="F39" s="122" t="b">
        <f>IF(ISBLANK(FarmUnit[[#This Row],[1. Identifiant interne d’exploitation agricole*]]),"",IF(ISERROR(MATCH(FarmUnit[[#This Row],[1. Identifiant interne d’exploitation agricole*]],GroupMember[1. Identifiant interne d’exploitation agricole*],0)),FALSE,TRUE))</f>
        <v>1</v>
      </c>
      <c r="G39" s="4">
        <f t="shared" si="0"/>
        <v>6.9082999999999997</v>
      </c>
      <c r="H39" s="4">
        <f t="shared" si="1"/>
        <v>-7.9530000000000003</v>
      </c>
      <c r="I39" s="20" t="str">
        <f t="array" ref="I39">IF(ISBLANK(C39),"",IF(C39=MAX(IF(FarmUnit[1. Identifiant interne d’exploitation agricole*]=A39,FarmUnit[3. Superficie de l’unité agricole (ha)*])),"!","-"))</f>
        <v>!</v>
      </c>
      <c r="J39" s="9" t="str">
        <f t="shared" ca="1" si="2"/>
        <v/>
      </c>
    </row>
    <row r="40" spans="1:10" ht="15" x14ac:dyDescent="0.2">
      <c r="A40" s="145" t="s">
        <v>816</v>
      </c>
      <c r="B40" s="145" t="s">
        <v>816</v>
      </c>
      <c r="C40" s="264">
        <v>3</v>
      </c>
      <c r="D40" s="265">
        <v>6.9085000000000001</v>
      </c>
      <c r="E40" s="265">
        <v>-7.9532999999999996</v>
      </c>
      <c r="F40" s="122" t="b">
        <f>IF(ISBLANK(FarmUnit[[#This Row],[1. Identifiant interne d’exploitation agricole*]]),"",IF(ISERROR(MATCH(FarmUnit[[#This Row],[1. Identifiant interne d’exploitation agricole*]],GroupMember[1. Identifiant interne d’exploitation agricole*],0)),FALSE,TRUE))</f>
        <v>1</v>
      </c>
      <c r="G40" s="4">
        <f t="shared" si="0"/>
        <v>6.9085000000000001</v>
      </c>
      <c r="H40" s="4">
        <f t="shared" si="1"/>
        <v>-7.9532999999999996</v>
      </c>
      <c r="I40" s="20" t="str">
        <f t="array" ref="I40">IF(ISBLANK(C40),"",IF(C40=MAX(IF(FarmUnit[1. Identifiant interne d’exploitation agricole*]=A40,FarmUnit[3. Superficie de l’unité agricole (ha)*])),"!","-"))</f>
        <v>!</v>
      </c>
      <c r="J40" s="9" t="str">
        <f t="shared" ca="1" si="2"/>
        <v/>
      </c>
    </row>
    <row r="41" spans="1:10" ht="15" x14ac:dyDescent="0.2">
      <c r="A41" s="145" t="s">
        <v>820</v>
      </c>
      <c r="B41" s="145" t="s">
        <v>820</v>
      </c>
      <c r="C41" s="264">
        <v>4.93</v>
      </c>
      <c r="D41" s="265">
        <v>7.1338999999999997</v>
      </c>
      <c r="E41" s="265">
        <v>-7.9581</v>
      </c>
      <c r="F41" s="122" t="b">
        <f>IF(ISBLANK(FarmUnit[[#This Row],[1. Identifiant interne d’exploitation agricole*]]),"",IF(ISERROR(MATCH(FarmUnit[[#This Row],[1. Identifiant interne d’exploitation agricole*]],GroupMember[1. Identifiant interne d’exploitation agricole*],0)),FALSE,TRUE))</f>
        <v>1</v>
      </c>
      <c r="G41" s="4">
        <f t="shared" si="0"/>
        <v>7.1338999999999997</v>
      </c>
      <c r="H41" s="4">
        <f t="shared" si="1"/>
        <v>-7.9581</v>
      </c>
      <c r="I41" s="20" t="str">
        <f t="array" ref="I41">IF(ISBLANK(C41),"",IF(C41=MAX(IF(FarmUnit[1. Identifiant interne d’exploitation agricole*]=A41,FarmUnit[3. Superficie de l’unité agricole (ha)*])),"!","-"))</f>
        <v>!</v>
      </c>
      <c r="J41" s="9" t="str">
        <f t="shared" ca="1" si="2"/>
        <v/>
      </c>
    </row>
    <row r="42" spans="1:10" ht="15" x14ac:dyDescent="0.2">
      <c r="A42" s="145" t="s">
        <v>824</v>
      </c>
      <c r="B42" s="145" t="s">
        <v>824</v>
      </c>
      <c r="C42" s="264">
        <v>4.3899999999999997</v>
      </c>
      <c r="D42" s="265">
        <v>6.9137000000000004</v>
      </c>
      <c r="E42" s="265">
        <v>-7.9541000000000004</v>
      </c>
      <c r="F42" s="122" t="b">
        <f>IF(ISBLANK(FarmUnit[[#This Row],[1. Identifiant interne d’exploitation agricole*]]),"",IF(ISERROR(MATCH(FarmUnit[[#This Row],[1. Identifiant interne d’exploitation agricole*]],GroupMember[1. Identifiant interne d’exploitation agricole*],0)),FALSE,TRUE))</f>
        <v>1</v>
      </c>
      <c r="G42" s="4">
        <f t="shared" si="0"/>
        <v>6.9137000000000004</v>
      </c>
      <c r="H42" s="4">
        <f t="shared" si="1"/>
        <v>-7.9541000000000004</v>
      </c>
      <c r="I42" s="20" t="str">
        <f t="array" ref="I42">IF(ISBLANK(C42),"",IF(C42=MAX(IF(FarmUnit[1. Identifiant interne d’exploitation agricole*]=A42,FarmUnit[3. Superficie de l’unité agricole (ha)*])),"!","-"))</f>
        <v>!</v>
      </c>
      <c r="J42" s="9" t="str">
        <f t="shared" ca="1" si="2"/>
        <v/>
      </c>
    </row>
    <row r="43" spans="1:10" ht="15" x14ac:dyDescent="0.2">
      <c r="A43" s="145" t="s">
        <v>827</v>
      </c>
      <c r="B43" s="145" t="s">
        <v>827</v>
      </c>
      <c r="C43" s="264">
        <v>3.97</v>
      </c>
      <c r="D43" s="267">
        <v>6.9250999999999996</v>
      </c>
      <c r="E43" s="267">
        <v>-7.9608999999999996</v>
      </c>
      <c r="F43" s="122" t="b">
        <f>IF(ISBLANK(FarmUnit[[#This Row],[1. Identifiant interne d’exploitation agricole*]]),"",IF(ISERROR(MATCH(FarmUnit[[#This Row],[1. Identifiant interne d’exploitation agricole*]],GroupMember[1. Identifiant interne d’exploitation agricole*],0)),FALSE,TRUE))</f>
        <v>1</v>
      </c>
      <c r="G43" s="4">
        <f t="shared" si="0"/>
        <v>6.9250999999999996</v>
      </c>
      <c r="H43" s="4">
        <f t="shared" si="1"/>
        <v>-7.9608999999999996</v>
      </c>
      <c r="I43" s="20" t="str">
        <f t="array" ref="I43">IF(ISBLANK(C43),"",IF(C43=MAX(IF(FarmUnit[1. Identifiant interne d’exploitation agricole*]=A43,FarmUnit[3. Superficie de l’unité agricole (ha)*])),"!","-"))</f>
        <v>!</v>
      </c>
      <c r="J43" s="9" t="str">
        <f t="shared" ca="1" si="2"/>
        <v/>
      </c>
    </row>
    <row r="44" spans="1:10" ht="15" x14ac:dyDescent="0.2">
      <c r="A44" s="145" t="s">
        <v>831</v>
      </c>
      <c r="B44" s="145" t="s">
        <v>831</v>
      </c>
      <c r="C44" s="264">
        <v>1.64</v>
      </c>
      <c r="D44" s="265">
        <v>6.9267000000000003</v>
      </c>
      <c r="E44" s="265">
        <v>-8.1203000000000003</v>
      </c>
      <c r="F44" s="122" t="b">
        <f>IF(ISBLANK(FarmUnit[[#This Row],[1. Identifiant interne d’exploitation agricole*]]),"",IF(ISERROR(MATCH(FarmUnit[[#This Row],[1. Identifiant interne d’exploitation agricole*]],GroupMember[1. Identifiant interne d’exploitation agricole*],0)),FALSE,TRUE))</f>
        <v>1</v>
      </c>
      <c r="G44" s="4">
        <f t="shared" si="0"/>
        <v>6.9267000000000003</v>
      </c>
      <c r="H44" s="4">
        <f t="shared" si="1"/>
        <v>-8.1203000000000003</v>
      </c>
      <c r="I44" s="20" t="str">
        <f t="array" ref="I44">IF(ISBLANK(C44),"",IF(C44=MAX(IF(FarmUnit[1. Identifiant interne d’exploitation agricole*]=A44,FarmUnit[3. Superficie de l’unité agricole (ha)*])),"!","-"))</f>
        <v>!</v>
      </c>
      <c r="J44" s="9" t="str">
        <f t="shared" ca="1" si="2"/>
        <v/>
      </c>
    </row>
    <row r="45" spans="1:10" ht="15" x14ac:dyDescent="0.2">
      <c r="A45" s="145" t="s">
        <v>832</v>
      </c>
      <c r="B45" s="145" t="s">
        <v>832</v>
      </c>
      <c r="C45" s="264">
        <v>0.88</v>
      </c>
      <c r="D45" s="267">
        <v>6.9142000000000001</v>
      </c>
      <c r="E45" s="267">
        <v>-7.9531999999999998</v>
      </c>
      <c r="F45" s="122" t="b">
        <f>IF(ISBLANK(FarmUnit[[#This Row],[1. Identifiant interne d’exploitation agricole*]]),"",IF(ISERROR(MATCH(FarmUnit[[#This Row],[1. Identifiant interne d’exploitation agricole*]],GroupMember[1. Identifiant interne d’exploitation agricole*],0)),FALSE,TRUE))</f>
        <v>1</v>
      </c>
      <c r="G45" s="4">
        <f t="shared" si="0"/>
        <v>6.9142000000000001</v>
      </c>
      <c r="H45" s="4">
        <f t="shared" si="1"/>
        <v>-7.9531999999999998</v>
      </c>
      <c r="I45" s="20" t="str">
        <f t="array" ref="I45">IF(ISBLANK(C45),"",IF(C45=MAX(IF(FarmUnit[1. Identifiant interne d’exploitation agricole*]=A45,FarmUnit[3. Superficie de l’unité agricole (ha)*])),"!","-"))</f>
        <v>!</v>
      </c>
      <c r="J45" s="9" t="str">
        <f t="shared" ca="1" si="2"/>
        <v/>
      </c>
    </row>
    <row r="46" spans="1:10" ht="15" x14ac:dyDescent="0.2">
      <c r="A46" s="145" t="s">
        <v>835</v>
      </c>
      <c r="B46" s="145" t="s">
        <v>835</v>
      </c>
      <c r="C46" s="264">
        <v>0.91</v>
      </c>
      <c r="D46" s="265">
        <v>6.9997999999999996</v>
      </c>
      <c r="E46" s="265">
        <v>-8.0136000000000003</v>
      </c>
      <c r="F46" s="122" t="b">
        <f>IF(ISBLANK(FarmUnit[[#This Row],[1. Identifiant interne d’exploitation agricole*]]),"",IF(ISERROR(MATCH(FarmUnit[[#This Row],[1. Identifiant interne d’exploitation agricole*]],GroupMember[1. Identifiant interne d’exploitation agricole*],0)),FALSE,TRUE))</f>
        <v>1</v>
      </c>
      <c r="G46" s="4">
        <f t="shared" si="0"/>
        <v>6.9997999999999996</v>
      </c>
      <c r="H46" s="4">
        <f t="shared" si="1"/>
        <v>-8.0136000000000003</v>
      </c>
      <c r="I46" s="20" t="str">
        <f t="array" ref="I46">IF(ISBLANK(C46),"",IF(C46=MAX(IF(FarmUnit[1. Identifiant interne d’exploitation agricole*]=A46,FarmUnit[3. Superficie de l’unité agricole (ha)*])),"!","-"))</f>
        <v>!</v>
      </c>
      <c r="J46" s="9" t="str">
        <f t="shared" ca="1" si="2"/>
        <v/>
      </c>
    </row>
    <row r="47" spans="1:10" ht="15" x14ac:dyDescent="0.2">
      <c r="A47" s="145" t="s">
        <v>838</v>
      </c>
      <c r="B47" s="145" t="s">
        <v>838</v>
      </c>
      <c r="C47" s="264">
        <v>1.17</v>
      </c>
      <c r="D47" s="265">
        <v>6.9996999999999998</v>
      </c>
      <c r="E47" s="265">
        <v>-8.0138999999999996</v>
      </c>
      <c r="F47" s="122" t="b">
        <f>IF(ISBLANK(FarmUnit[[#This Row],[1. Identifiant interne d’exploitation agricole*]]),"",IF(ISERROR(MATCH(FarmUnit[[#This Row],[1. Identifiant interne d’exploitation agricole*]],GroupMember[1. Identifiant interne d’exploitation agricole*],0)),FALSE,TRUE))</f>
        <v>1</v>
      </c>
      <c r="G47" s="4">
        <f t="shared" si="0"/>
        <v>6.9996999999999998</v>
      </c>
      <c r="H47" s="4">
        <f t="shared" si="1"/>
        <v>-8.0138999999999996</v>
      </c>
      <c r="I47" s="20" t="str">
        <f t="array" ref="I47">IF(ISBLANK(C47),"",IF(C47=MAX(IF(FarmUnit[1. Identifiant interne d’exploitation agricole*]=A47,FarmUnit[3. Superficie de l’unité agricole (ha)*])),"!","-"))</f>
        <v>!</v>
      </c>
      <c r="J47" s="9" t="str">
        <f t="shared" ca="1" si="2"/>
        <v/>
      </c>
    </row>
    <row r="48" spans="1:10" ht="15" x14ac:dyDescent="0.2">
      <c r="A48" s="145" t="s">
        <v>842</v>
      </c>
      <c r="B48" s="145" t="s">
        <v>842</v>
      </c>
      <c r="C48" s="264">
        <v>4</v>
      </c>
      <c r="D48" s="265">
        <v>6.9114000000000004</v>
      </c>
      <c r="E48" s="265">
        <v>-7.9448999999999996</v>
      </c>
      <c r="F48" s="122" t="b">
        <f>IF(ISBLANK(FarmUnit[[#This Row],[1. Identifiant interne d’exploitation agricole*]]),"",IF(ISERROR(MATCH(FarmUnit[[#This Row],[1. Identifiant interne d’exploitation agricole*]],GroupMember[1. Identifiant interne d’exploitation agricole*],0)),FALSE,TRUE))</f>
        <v>1</v>
      </c>
      <c r="G48" s="4">
        <f t="shared" si="0"/>
        <v>6.9114000000000004</v>
      </c>
      <c r="H48" s="4">
        <f t="shared" si="1"/>
        <v>-7.9448999999999996</v>
      </c>
      <c r="I48" s="20" t="str">
        <f t="array" ref="I48">IF(ISBLANK(C48),"",IF(C48=MAX(IF(FarmUnit[1. Identifiant interne d’exploitation agricole*]=A48,FarmUnit[3. Superficie de l’unité agricole (ha)*])),"!","-"))</f>
        <v>!</v>
      </c>
      <c r="J48" s="9" t="str">
        <f t="shared" ca="1" si="2"/>
        <v/>
      </c>
    </row>
    <row r="49" spans="1:10" ht="15" x14ac:dyDescent="0.2">
      <c r="A49" s="145" t="s">
        <v>845</v>
      </c>
      <c r="B49" s="145" t="s">
        <v>845</v>
      </c>
      <c r="C49" s="264">
        <v>4</v>
      </c>
      <c r="D49" s="267">
        <v>6.9016999999999999</v>
      </c>
      <c r="E49" s="267">
        <v>-7.9596</v>
      </c>
      <c r="F49" s="122" t="b">
        <f>IF(ISBLANK(FarmUnit[[#This Row],[1. Identifiant interne d’exploitation agricole*]]),"",IF(ISERROR(MATCH(FarmUnit[[#This Row],[1. Identifiant interne d’exploitation agricole*]],GroupMember[1. Identifiant interne d’exploitation agricole*],0)),FALSE,TRUE))</f>
        <v>1</v>
      </c>
      <c r="G49" s="4">
        <f t="shared" si="0"/>
        <v>6.9016999999999999</v>
      </c>
      <c r="H49" s="4">
        <f t="shared" si="1"/>
        <v>-7.9596</v>
      </c>
      <c r="I49" s="20" t="str">
        <f t="array" ref="I49">IF(ISBLANK(C49),"",IF(C49=MAX(IF(FarmUnit[1. Identifiant interne d’exploitation agricole*]=A49,FarmUnit[3. Superficie de l’unité agricole (ha)*])),"!","-"))</f>
        <v>!</v>
      </c>
      <c r="J49" s="9" t="str">
        <f t="shared" ca="1" si="2"/>
        <v/>
      </c>
    </row>
    <row r="50" spans="1:10" ht="15" x14ac:dyDescent="0.2">
      <c r="A50" s="145" t="s">
        <v>848</v>
      </c>
      <c r="B50" s="145" t="s">
        <v>848</v>
      </c>
      <c r="C50" s="264">
        <v>3</v>
      </c>
      <c r="D50" s="267">
        <v>6.9348000000000001</v>
      </c>
      <c r="E50" s="267">
        <v>-7.9748000000000001</v>
      </c>
      <c r="F50" s="123" t="b">
        <f>IF(ISBLANK(FarmUnit[[#This Row],[1. Identifiant interne d’exploitation agricole*]]),"",IF(ISERROR(MATCH(FarmUnit[[#This Row],[1. Identifiant interne d’exploitation agricole*]],GroupMember[1. Identifiant interne d’exploitation agricole*],0)),FALSE,TRUE))</f>
        <v>1</v>
      </c>
      <c r="G50" s="35">
        <f t="shared" si="0"/>
        <v>6.9348000000000001</v>
      </c>
      <c r="H50" s="35">
        <f t="shared" si="1"/>
        <v>-7.9748000000000001</v>
      </c>
      <c r="I50" s="20" t="str">
        <f t="array" ref="I50">IF(ISBLANK(C50),"",IF(C50=MAX(IF(FarmUnit[1. Identifiant interne d’exploitation agricole*]=A50,FarmUnit[3. Superficie de l’unité agricole (ha)*])),"!","-"))</f>
        <v>!</v>
      </c>
      <c r="J50" s="36" t="str">
        <f t="shared" ca="1" si="2"/>
        <v/>
      </c>
    </row>
    <row r="51" spans="1:10" ht="15" x14ac:dyDescent="0.2">
      <c r="A51" s="145" t="s">
        <v>851</v>
      </c>
      <c r="B51" s="145" t="s">
        <v>851</v>
      </c>
      <c r="C51" s="264">
        <v>2.5</v>
      </c>
      <c r="D51" s="267">
        <v>6.9291</v>
      </c>
      <c r="E51" s="267">
        <v>-7.9630000000000001</v>
      </c>
      <c r="F51" s="122" t="b">
        <f>IF(ISBLANK(FarmUnit[[#This Row],[1. Identifiant interne d’exploitation agricole*]]),"",IF(ISERROR(MATCH(FarmUnit[[#This Row],[1. Identifiant interne d’exploitation agricole*]],GroupMember[1. Identifiant interne d’exploitation agricole*],0)),FALSE,TRUE))</f>
        <v>1</v>
      </c>
      <c r="G51" s="4">
        <f t="shared" ref="G51:G114" si="3">IF(D51=0,"",D51)</f>
        <v>6.9291</v>
      </c>
      <c r="H51" s="4">
        <f t="shared" ref="H51:H114" si="4">IF(E51=0,"",E51)</f>
        <v>-7.9630000000000001</v>
      </c>
      <c r="I51" s="20" t="str">
        <f t="array" ref="I51">IF(ISBLANK(C51),"",IF(C51=MAX(IF(FarmUnit[1. Identifiant interne d’exploitation agricole*]=A51,FarmUnit[3. Superficie de l’unité agricole (ha)*])),"!","-"))</f>
        <v>!</v>
      </c>
      <c r="J51" s="9" t="str">
        <f ca="1">IFERROR(CONCATENATE(VLOOKUP(A51,GM_Table,12,FALSE)," ",(VLOOKUP(A51,GM_Table,13,FALSE))),"")</f>
        <v/>
      </c>
    </row>
    <row r="52" spans="1:10" ht="15" x14ac:dyDescent="0.2">
      <c r="A52" s="145" t="s">
        <v>854</v>
      </c>
      <c r="B52" s="145" t="s">
        <v>854</v>
      </c>
      <c r="C52" s="264">
        <v>2.5</v>
      </c>
      <c r="D52" s="267">
        <v>6.9029999999999996</v>
      </c>
      <c r="E52" s="267">
        <v>-7.9668000000000001</v>
      </c>
      <c r="F52" s="122" t="b">
        <f>IF(ISBLANK(FarmUnit[[#This Row],[1. Identifiant interne d’exploitation agricole*]]),"",IF(ISERROR(MATCH(FarmUnit[[#This Row],[1. Identifiant interne d’exploitation agricole*]],GroupMember[1. Identifiant interne d’exploitation agricole*],0)),FALSE,TRUE))</f>
        <v>1</v>
      </c>
      <c r="G52" s="4">
        <f t="shared" si="3"/>
        <v>6.9029999999999996</v>
      </c>
      <c r="H52" s="4">
        <f t="shared" si="4"/>
        <v>-7.9668000000000001</v>
      </c>
      <c r="I52" s="20" t="str">
        <f t="array" ref="I52">IF(ISBLANK(C52),"",IF(C52=MAX(IF(FarmUnit[1. Identifiant interne d’exploitation agricole*]=A52,FarmUnit[3. Superficie de l’unité agricole (ha)*])),"!","-"))</f>
        <v>!</v>
      </c>
      <c r="J52" s="9" t="str">
        <f ca="1">IFERROR(CONCATENATE(VLOOKUP(A52,GM_Table,12,FALSE)," ",(VLOOKUP(A52,GM_Table,13,FALSE))),"")</f>
        <v/>
      </c>
    </row>
    <row r="53" spans="1:10" ht="15" x14ac:dyDescent="0.2">
      <c r="A53" s="145" t="s">
        <v>856</v>
      </c>
      <c r="B53" s="145" t="s">
        <v>856</v>
      </c>
      <c r="C53" s="264">
        <v>2.5</v>
      </c>
      <c r="D53" s="267">
        <v>6.9034000000000004</v>
      </c>
      <c r="E53" s="267">
        <v>-7.9664999999999999</v>
      </c>
      <c r="F53" s="122" t="b">
        <f>IF(ISBLANK(FarmUnit[[#This Row],[1. Identifiant interne d’exploitation agricole*]]),"",IF(ISERROR(MATCH(FarmUnit[[#This Row],[1. Identifiant interne d’exploitation agricole*]],GroupMember[1. Identifiant interne d’exploitation agricole*],0)),FALSE,TRUE))</f>
        <v>1</v>
      </c>
      <c r="G53" s="4">
        <f t="shared" si="3"/>
        <v>6.9034000000000004</v>
      </c>
      <c r="H53" s="4">
        <f t="shared" si="4"/>
        <v>-7.9664999999999999</v>
      </c>
      <c r="I53" s="20" t="str">
        <f t="array" ref="I53">IF(ISBLANK(C53),"",IF(C53=MAX(IF(FarmUnit[1. Identifiant interne d’exploitation agricole*]=A53,FarmUnit[3. Superficie de l’unité agricole (ha)*])),"!","-"))</f>
        <v>!</v>
      </c>
      <c r="J53" s="9" t="str">
        <f ca="1">IFERROR(CONCATENATE(VLOOKUP(A53,GM_Table,12,FALSE)," ",(VLOOKUP(A53,GM_Table,13,FALSE))),"")</f>
        <v/>
      </c>
    </row>
    <row r="54" spans="1:10" ht="15" x14ac:dyDescent="0.2">
      <c r="A54" s="145" t="s">
        <v>859</v>
      </c>
      <c r="B54" s="145" t="s">
        <v>859</v>
      </c>
      <c r="C54" s="264">
        <v>2.5</v>
      </c>
      <c r="D54" s="267">
        <v>6.9151999999999996</v>
      </c>
      <c r="E54" s="268">
        <v>-7.9574999999999996</v>
      </c>
      <c r="F54" s="122" t="b">
        <f>IF(ISBLANK(FarmUnit[[#This Row],[1. Identifiant interne d’exploitation agricole*]]),"",IF(ISERROR(MATCH(FarmUnit[[#This Row],[1. Identifiant interne d’exploitation agricole*]],GroupMember[1. Identifiant interne d’exploitation agricole*],0)),FALSE,TRUE))</f>
        <v>1</v>
      </c>
      <c r="G54" s="4">
        <f t="shared" si="3"/>
        <v>6.9151999999999996</v>
      </c>
      <c r="H54" s="4">
        <f t="shared" si="4"/>
        <v>-7.9574999999999996</v>
      </c>
      <c r="I54" s="20" t="str">
        <f t="array" ref="I54">IF(ISBLANK(C54),"",IF(C54=MAX(IF(FarmUnit[1. Identifiant interne d’exploitation agricole*]=A54,FarmUnit[3. Superficie de l’unité agricole (ha)*])),"!","-"))</f>
        <v>!</v>
      </c>
      <c r="J54" s="9" t="str">
        <f ca="1">IFERROR(CONCATENATE(VLOOKUP(A54,GM_Table,12,FALSE)," ",(VLOOKUP(A54,GM_Table,13,FALSE))),"")</f>
        <v/>
      </c>
    </row>
    <row r="55" spans="1:10" ht="15" x14ac:dyDescent="0.2">
      <c r="A55" s="145" t="s">
        <v>862</v>
      </c>
      <c r="B55" s="145" t="s">
        <v>862</v>
      </c>
      <c r="C55" s="264">
        <v>1.01</v>
      </c>
      <c r="D55" s="265">
        <v>7.1942000000000004</v>
      </c>
      <c r="E55" s="265">
        <v>-8.0785999999999998</v>
      </c>
      <c r="F55" s="122" t="b">
        <f>IF(ISBLANK(FarmUnit[[#This Row],[1. Identifiant interne d’exploitation agricole*]]),"",IF(ISERROR(MATCH(FarmUnit[[#This Row],[1. Identifiant interne d’exploitation agricole*]],GroupMember[1. Identifiant interne d’exploitation agricole*],0)),FALSE,TRUE))</f>
        <v>1</v>
      </c>
      <c r="G55" s="4">
        <f t="shared" si="3"/>
        <v>7.1942000000000004</v>
      </c>
      <c r="H55" s="4">
        <f t="shared" si="4"/>
        <v>-8.0785999999999998</v>
      </c>
      <c r="I55" s="20" t="str">
        <f t="array" ref="I55">IF(ISBLANK(C55),"",IF(C55=MAX(IF(FarmUnit[1. Identifiant interne d’exploitation agricole*]=A55,FarmUnit[3. Superficie de l’unité agricole (ha)*])),"!","-"))</f>
        <v>!</v>
      </c>
      <c r="J55" s="9" t="str">
        <f ca="1">IFERROR(CONCATENATE(VLOOKUP(A55,GM_Table,12,FALSE)," ",(VLOOKUP(A55,GM_Table,13,FALSE))),"")</f>
        <v/>
      </c>
    </row>
    <row r="56" spans="1:10" ht="15" x14ac:dyDescent="0.2">
      <c r="A56" s="145" t="s">
        <v>867</v>
      </c>
      <c r="B56" s="145" t="s">
        <v>867</v>
      </c>
      <c r="C56" s="264">
        <v>3.22</v>
      </c>
      <c r="D56" s="265">
        <v>7.0641999999999996</v>
      </c>
      <c r="E56" s="265">
        <v>-7.9950000000000001</v>
      </c>
      <c r="F56" s="122" t="b">
        <f>IF(ISBLANK(FarmUnit[[#This Row],[1. Identifiant interne d’exploitation agricole*]]),"",IF(ISERROR(MATCH(FarmUnit[[#This Row],[1. Identifiant interne d’exploitation agricole*]],GroupMember[1. Identifiant interne d’exploitation agricole*],0)),FALSE,TRUE))</f>
        <v>1</v>
      </c>
      <c r="G56" s="4">
        <f t="shared" si="3"/>
        <v>7.0641999999999996</v>
      </c>
      <c r="H56" s="4">
        <f t="shared" si="4"/>
        <v>-7.9950000000000001</v>
      </c>
      <c r="I56" s="20" t="str">
        <f t="array" ref="I56">IF(ISBLANK(C56),"",IF(C56=MAX(IF(FarmUnit[1. Identifiant interne d’exploitation agricole*]=A56,FarmUnit[3. Superficie de l’unité agricole (ha)*])),"!","-"))</f>
        <v>!</v>
      </c>
      <c r="J56" s="9" t="str">
        <f ca="1">IFERROR(CONCATENATE(VLOOKUP(A56,GM_Table,12,FALSE)," ",(VLOOKUP(A56,GM_Table,13,FALSE))),"")</f>
        <v/>
      </c>
    </row>
    <row r="57" spans="1:10" ht="15" x14ac:dyDescent="0.2">
      <c r="A57" s="145" t="s">
        <v>871</v>
      </c>
      <c r="B57" s="145" t="s">
        <v>871</v>
      </c>
      <c r="C57" s="264">
        <v>3.24</v>
      </c>
      <c r="D57" s="265">
        <v>7.0331000000000001</v>
      </c>
      <c r="E57" s="265">
        <v>-8.1471999999999998</v>
      </c>
      <c r="F57" s="122" t="b">
        <f>IF(ISBLANK(FarmUnit[[#This Row],[1. Identifiant interne d’exploitation agricole*]]),"",IF(ISERROR(MATCH(FarmUnit[[#This Row],[1. Identifiant interne d’exploitation agricole*]],GroupMember[1. Identifiant interne d’exploitation agricole*],0)),FALSE,TRUE))</f>
        <v>1</v>
      </c>
      <c r="G57" s="4">
        <f t="shared" si="3"/>
        <v>7.0331000000000001</v>
      </c>
      <c r="H57" s="4">
        <f t="shared" si="4"/>
        <v>-8.1471999999999998</v>
      </c>
      <c r="I57" s="20" t="str">
        <f t="array" ref="I57">IF(ISBLANK(C57),"",IF(C57=MAX(IF(FarmUnit[1. Identifiant interne d’exploitation agricole*]=A57,FarmUnit[3. Superficie de l’unité agricole (ha)*])),"!","-"))</f>
        <v>!</v>
      </c>
      <c r="J57" s="9" t="str">
        <f ca="1">IFERROR(CONCATENATE(VLOOKUP(A57,GM_Table,12,FALSE)," ",(VLOOKUP(A57,GM_Table,13,FALSE))),"")</f>
        <v/>
      </c>
    </row>
    <row r="58" spans="1:10" ht="15" x14ac:dyDescent="0.2">
      <c r="A58" s="145" t="s">
        <v>874</v>
      </c>
      <c r="B58" s="145" t="s">
        <v>874</v>
      </c>
      <c r="C58" s="264">
        <v>3.5</v>
      </c>
      <c r="D58" s="265">
        <v>6.9081000000000001</v>
      </c>
      <c r="E58" s="265">
        <v>-7.9459</v>
      </c>
      <c r="F58" s="122" t="b">
        <f>IF(ISBLANK(FarmUnit[[#This Row],[1. Identifiant interne d’exploitation agricole*]]),"",IF(ISERROR(MATCH(FarmUnit[[#This Row],[1. Identifiant interne d’exploitation agricole*]],GroupMember[1. Identifiant interne d’exploitation agricole*],0)),FALSE,TRUE))</f>
        <v>1</v>
      </c>
      <c r="G58" s="4">
        <f t="shared" si="3"/>
        <v>6.9081000000000001</v>
      </c>
      <c r="H58" s="4">
        <f t="shared" si="4"/>
        <v>-7.9459</v>
      </c>
      <c r="I58" s="20" t="str">
        <f t="array" ref="I58">IF(ISBLANK(C58),"",IF(C58=MAX(IF(FarmUnit[1. Identifiant interne d’exploitation agricole*]=A58,FarmUnit[3. Superficie de l’unité agricole (ha)*])),"!","-"))</f>
        <v>!</v>
      </c>
      <c r="J58" s="9" t="str">
        <f ca="1">IFERROR(CONCATENATE(VLOOKUP(A58,GM_Table,12,FALSE)," ",(VLOOKUP(A58,GM_Table,13,FALSE))),"")</f>
        <v/>
      </c>
    </row>
    <row r="59" spans="1:10" ht="15" x14ac:dyDescent="0.2">
      <c r="A59" s="145" t="s">
        <v>877</v>
      </c>
      <c r="B59" s="145" t="s">
        <v>877</v>
      </c>
      <c r="C59" s="264">
        <v>4.6100000000000003</v>
      </c>
      <c r="D59" s="265">
        <v>7.0274999999999999</v>
      </c>
      <c r="E59" s="265">
        <v>-8.0855999999999995</v>
      </c>
      <c r="F59" s="122" t="b">
        <f>IF(ISBLANK(FarmUnit[[#This Row],[1. Identifiant interne d’exploitation agricole*]]),"",IF(ISERROR(MATCH(FarmUnit[[#This Row],[1. Identifiant interne d’exploitation agricole*]],GroupMember[1. Identifiant interne d’exploitation agricole*],0)),FALSE,TRUE))</f>
        <v>1</v>
      </c>
      <c r="G59" s="4">
        <f t="shared" si="3"/>
        <v>7.0274999999999999</v>
      </c>
      <c r="H59" s="4">
        <f t="shared" si="4"/>
        <v>-8.0855999999999995</v>
      </c>
      <c r="I59" s="20" t="str">
        <f t="array" ref="I59">IF(ISBLANK(C59),"",IF(C59=MAX(IF(FarmUnit[1. Identifiant interne d’exploitation agricole*]=A59,FarmUnit[3. Superficie de l’unité agricole (ha)*])),"!","-"))</f>
        <v>!</v>
      </c>
      <c r="J59" s="9" t="str">
        <f ca="1">IFERROR(CONCATENATE(VLOOKUP(A59,GM_Table,12,FALSE)," ",(VLOOKUP(A59,GM_Table,13,FALSE))),"")</f>
        <v/>
      </c>
    </row>
    <row r="60" spans="1:10" ht="15" x14ac:dyDescent="0.2">
      <c r="A60" s="145" t="s">
        <v>879</v>
      </c>
      <c r="B60" s="145" t="s">
        <v>879</v>
      </c>
      <c r="C60" s="264">
        <v>0.96</v>
      </c>
      <c r="D60" s="265">
        <v>6.9115000000000002</v>
      </c>
      <c r="E60" s="265">
        <v>-8.1902000000000008</v>
      </c>
      <c r="F60" s="122" t="b">
        <f>IF(ISBLANK(FarmUnit[[#This Row],[1. Identifiant interne d’exploitation agricole*]]),"",IF(ISERROR(MATCH(FarmUnit[[#This Row],[1. Identifiant interne d’exploitation agricole*]],GroupMember[1. Identifiant interne d’exploitation agricole*],0)),FALSE,TRUE))</f>
        <v>1</v>
      </c>
      <c r="G60" s="4">
        <f t="shared" si="3"/>
        <v>6.9115000000000002</v>
      </c>
      <c r="H60" s="4">
        <f t="shared" si="4"/>
        <v>-8.1902000000000008</v>
      </c>
      <c r="I60" s="20" t="str">
        <f t="array" ref="I60">IF(ISBLANK(C60),"",IF(C60=MAX(IF(FarmUnit[1. Identifiant interne d’exploitation agricole*]=A60,FarmUnit[3. Superficie de l’unité agricole (ha)*])),"!","-"))</f>
        <v>!</v>
      </c>
      <c r="J60" s="9" t="str">
        <f ca="1">IFERROR(CONCATENATE(VLOOKUP(A60,GM_Table,12,FALSE)," ",(VLOOKUP(A60,GM_Table,13,FALSE))),"")</f>
        <v/>
      </c>
    </row>
    <row r="61" spans="1:10" ht="15" x14ac:dyDescent="0.2">
      <c r="A61" s="145" t="s">
        <v>882</v>
      </c>
      <c r="B61" s="145" t="s">
        <v>882</v>
      </c>
      <c r="C61" s="264">
        <v>0.94</v>
      </c>
      <c r="D61" s="267">
        <v>6.9013</v>
      </c>
      <c r="E61" s="267">
        <v>-7.9646999999999997</v>
      </c>
      <c r="F61" s="122" t="b">
        <f>IF(ISBLANK(FarmUnit[[#This Row],[1. Identifiant interne d’exploitation agricole*]]),"",IF(ISERROR(MATCH(FarmUnit[[#This Row],[1. Identifiant interne d’exploitation agricole*]],GroupMember[1. Identifiant interne d’exploitation agricole*],0)),FALSE,TRUE))</f>
        <v>1</v>
      </c>
      <c r="G61" s="4">
        <f t="shared" si="3"/>
        <v>6.9013</v>
      </c>
      <c r="H61" s="4">
        <f t="shared" si="4"/>
        <v>-7.9646999999999997</v>
      </c>
      <c r="I61" s="20" t="str">
        <f t="array" ref="I61">IF(ISBLANK(C61),"",IF(C61=MAX(IF(FarmUnit[1. Identifiant interne d’exploitation agricole*]=A61,FarmUnit[3. Superficie de l’unité agricole (ha)*])),"!","-"))</f>
        <v>!</v>
      </c>
      <c r="J61" s="9" t="str">
        <f ca="1">IFERROR(CONCATENATE(VLOOKUP(A61,GM_Table,12,FALSE)," ",(VLOOKUP(A61,GM_Table,13,FALSE))),"")</f>
        <v/>
      </c>
    </row>
    <row r="62" spans="1:10" ht="15" x14ac:dyDescent="0.2">
      <c r="A62" s="145" t="s">
        <v>887</v>
      </c>
      <c r="B62" s="145" t="s">
        <v>887</v>
      </c>
      <c r="C62" s="264">
        <v>4</v>
      </c>
      <c r="D62" s="265">
        <v>6.9062000000000001</v>
      </c>
      <c r="E62" s="265">
        <v>-7.9771000000000001</v>
      </c>
      <c r="F62" s="122" t="b">
        <f>IF(ISBLANK(FarmUnit[[#This Row],[1. Identifiant interne d’exploitation agricole*]]),"",IF(ISERROR(MATCH(FarmUnit[[#This Row],[1. Identifiant interne d’exploitation agricole*]],GroupMember[1. Identifiant interne d’exploitation agricole*],0)),FALSE,TRUE))</f>
        <v>1</v>
      </c>
      <c r="G62" s="4">
        <f t="shared" si="3"/>
        <v>6.9062000000000001</v>
      </c>
      <c r="H62" s="4">
        <f t="shared" si="4"/>
        <v>-7.9771000000000001</v>
      </c>
      <c r="I62" s="20" t="str">
        <f t="array" ref="I62">IF(ISBLANK(C62),"",IF(C62=MAX(IF(FarmUnit[1. Identifiant interne d’exploitation agricole*]=A62,FarmUnit[3. Superficie de l’unité agricole (ha)*])),"!","-"))</f>
        <v>!</v>
      </c>
      <c r="J62" s="9" t="str">
        <f ca="1">IFERROR(CONCATENATE(VLOOKUP(A62,GM_Table,12,FALSE)," ",(VLOOKUP(A62,GM_Table,13,FALSE))),"")</f>
        <v/>
      </c>
    </row>
    <row r="63" spans="1:10" ht="15" x14ac:dyDescent="0.2">
      <c r="A63" s="145" t="s">
        <v>890</v>
      </c>
      <c r="B63" s="145" t="s">
        <v>890</v>
      </c>
      <c r="C63" s="264">
        <v>2.5</v>
      </c>
      <c r="D63" s="267">
        <v>6.8875000000000002</v>
      </c>
      <c r="E63" s="267">
        <v>-7.9461000000000004</v>
      </c>
      <c r="F63" s="122" t="b">
        <f>IF(ISBLANK(FarmUnit[[#This Row],[1. Identifiant interne d’exploitation agricole*]]),"",IF(ISERROR(MATCH(FarmUnit[[#This Row],[1. Identifiant interne d’exploitation agricole*]],GroupMember[1. Identifiant interne d’exploitation agricole*],0)),FALSE,TRUE))</f>
        <v>1</v>
      </c>
      <c r="G63" s="4">
        <f t="shared" si="3"/>
        <v>6.8875000000000002</v>
      </c>
      <c r="H63" s="4">
        <f t="shared" si="4"/>
        <v>-7.9461000000000004</v>
      </c>
      <c r="I63" s="20" t="str">
        <f t="array" ref="I63">IF(ISBLANK(C63),"",IF(C63=MAX(IF(FarmUnit[1. Identifiant interne d’exploitation agricole*]=A63,FarmUnit[3. Superficie de l’unité agricole (ha)*])),"!","-"))</f>
        <v>!</v>
      </c>
      <c r="J63" s="9" t="str">
        <f ca="1">IFERROR(CONCATENATE(VLOOKUP(A63,GM_Table,12,FALSE)," ",(VLOOKUP(A63,GM_Table,13,FALSE))),"")</f>
        <v/>
      </c>
    </row>
    <row r="64" spans="1:10" ht="15" x14ac:dyDescent="0.2">
      <c r="A64" s="145" t="s">
        <v>892</v>
      </c>
      <c r="B64" s="145" t="s">
        <v>892</v>
      </c>
      <c r="C64" s="264">
        <v>2.5</v>
      </c>
      <c r="D64" s="265">
        <v>6.9180999999999999</v>
      </c>
      <c r="E64" s="265">
        <v>-7.9360999999999997</v>
      </c>
      <c r="F64" s="122" t="b">
        <f>IF(ISBLANK(FarmUnit[[#This Row],[1. Identifiant interne d’exploitation agricole*]]),"",IF(ISERROR(MATCH(FarmUnit[[#This Row],[1. Identifiant interne d’exploitation agricole*]],GroupMember[1. Identifiant interne d’exploitation agricole*],0)),FALSE,TRUE))</f>
        <v>1</v>
      </c>
      <c r="G64" s="4">
        <f t="shared" si="3"/>
        <v>6.9180999999999999</v>
      </c>
      <c r="H64" s="4">
        <f t="shared" si="4"/>
        <v>-7.9360999999999997</v>
      </c>
      <c r="I64" s="20" t="str">
        <f t="array" ref="I64">IF(ISBLANK(C64),"",IF(C64=MAX(IF(FarmUnit[1. Identifiant interne d’exploitation agricole*]=A64,FarmUnit[3. Superficie de l’unité agricole (ha)*])),"!","-"))</f>
        <v>!</v>
      </c>
      <c r="J64" s="9" t="str">
        <f ca="1">IFERROR(CONCATENATE(VLOOKUP(A64,GM_Table,12,FALSE)," ",(VLOOKUP(A64,GM_Table,13,FALSE))),"")</f>
        <v/>
      </c>
    </row>
    <row r="65" spans="1:10" ht="15" x14ac:dyDescent="0.2">
      <c r="A65" s="145" t="s">
        <v>895</v>
      </c>
      <c r="B65" s="145" t="s">
        <v>895</v>
      </c>
      <c r="C65" s="264">
        <v>1.48</v>
      </c>
      <c r="D65" s="265">
        <v>6.9211</v>
      </c>
      <c r="E65" s="265">
        <v>-8.0219000000000005</v>
      </c>
      <c r="F65" s="122" t="b">
        <f>IF(ISBLANK(FarmUnit[[#This Row],[1. Identifiant interne d’exploitation agricole*]]),"",IF(ISERROR(MATCH(FarmUnit[[#This Row],[1. Identifiant interne d’exploitation agricole*]],GroupMember[1. Identifiant interne d’exploitation agricole*],0)),FALSE,TRUE))</f>
        <v>1</v>
      </c>
      <c r="G65" s="4">
        <f t="shared" si="3"/>
        <v>6.9211</v>
      </c>
      <c r="H65" s="4">
        <f t="shared" si="4"/>
        <v>-8.0219000000000005</v>
      </c>
      <c r="I65" s="20" t="str">
        <f t="array" ref="I65">IF(ISBLANK(C65),"",IF(C65=MAX(IF(FarmUnit[1. Identifiant interne d’exploitation agricole*]=A65,FarmUnit[3. Superficie de l’unité agricole (ha)*])),"!","-"))</f>
        <v>!</v>
      </c>
      <c r="J65" s="9" t="str">
        <f ca="1">IFERROR(CONCATENATE(VLOOKUP(A65,GM_Table,12,FALSE)," ",(VLOOKUP(A65,GM_Table,13,FALSE))),"")</f>
        <v/>
      </c>
    </row>
    <row r="66" spans="1:10" ht="15" x14ac:dyDescent="0.2">
      <c r="A66" s="145" t="s">
        <v>899</v>
      </c>
      <c r="B66" s="145" t="s">
        <v>899</v>
      </c>
      <c r="C66" s="264">
        <v>3.32</v>
      </c>
      <c r="D66" s="265">
        <v>7.0640999999999998</v>
      </c>
      <c r="E66" s="265">
        <v>-8.0594000000000001</v>
      </c>
      <c r="F66" s="122" t="b">
        <f>IF(ISBLANK(FarmUnit[[#This Row],[1. Identifiant interne d’exploitation agricole*]]),"",IF(ISERROR(MATCH(FarmUnit[[#This Row],[1. Identifiant interne d’exploitation agricole*]],GroupMember[1. Identifiant interne d’exploitation agricole*],0)),FALSE,TRUE))</f>
        <v>1</v>
      </c>
      <c r="G66" s="4">
        <f t="shared" si="3"/>
        <v>7.0640999999999998</v>
      </c>
      <c r="H66" s="4">
        <f t="shared" si="4"/>
        <v>-8.0594000000000001</v>
      </c>
      <c r="I66" s="20" t="str">
        <f t="array" ref="I66">IF(ISBLANK(C66),"",IF(C66=MAX(IF(FarmUnit[1. Identifiant interne d’exploitation agricole*]=A66,FarmUnit[3. Superficie de l’unité agricole (ha)*])),"!","-"))</f>
        <v>!</v>
      </c>
      <c r="J66" s="9" t="str">
        <f ca="1">IFERROR(CONCATENATE(VLOOKUP(A66,GM_Table,12,FALSE)," ",(VLOOKUP(A66,GM_Table,13,FALSE))),"")</f>
        <v/>
      </c>
    </row>
    <row r="67" spans="1:10" ht="15" x14ac:dyDescent="0.2">
      <c r="A67" s="145" t="s">
        <v>901</v>
      </c>
      <c r="B67" s="145" t="s">
        <v>901</v>
      </c>
      <c r="C67" s="166">
        <v>4</v>
      </c>
      <c r="D67" s="265">
        <v>6.9108000000000001</v>
      </c>
      <c r="E67" s="265">
        <v>-7.9573999999999998</v>
      </c>
      <c r="F67" s="122" t="b">
        <f>IF(ISBLANK(FarmUnit[[#This Row],[1. Identifiant interne d’exploitation agricole*]]),"",IF(ISERROR(MATCH(FarmUnit[[#This Row],[1. Identifiant interne d’exploitation agricole*]],GroupMember[1. Identifiant interne d’exploitation agricole*],0)),FALSE,TRUE))</f>
        <v>1</v>
      </c>
      <c r="G67" s="4">
        <f t="shared" si="3"/>
        <v>6.9108000000000001</v>
      </c>
      <c r="H67" s="4">
        <f t="shared" si="4"/>
        <v>-7.9573999999999998</v>
      </c>
      <c r="I67" s="20" t="str">
        <f t="array" ref="I67">IF(ISBLANK(C67),"",IF(C67=MAX(IF(FarmUnit[1. Identifiant interne d’exploitation agricole*]=A67,FarmUnit[3. Superficie de l’unité agricole (ha)*])),"!","-"))</f>
        <v>!</v>
      </c>
      <c r="J67" s="9" t="str">
        <f ca="1">IFERROR(CONCATENATE(VLOOKUP(A67,GM_Table,12,FALSE)," ",(VLOOKUP(A67,GM_Table,13,FALSE))),"")</f>
        <v/>
      </c>
    </row>
    <row r="68" spans="1:10" ht="15" x14ac:dyDescent="0.2">
      <c r="A68" s="145" t="s">
        <v>904</v>
      </c>
      <c r="B68" s="145" t="s">
        <v>904</v>
      </c>
      <c r="C68" s="166">
        <v>2</v>
      </c>
      <c r="D68" s="265">
        <v>6.9131999999999998</v>
      </c>
      <c r="E68" s="265">
        <v>-7.9610000000000003</v>
      </c>
      <c r="F68" s="122" t="b">
        <f>IF(ISBLANK(FarmUnit[[#This Row],[1. Identifiant interne d’exploitation agricole*]]),"",IF(ISERROR(MATCH(FarmUnit[[#This Row],[1. Identifiant interne d’exploitation agricole*]],GroupMember[1. Identifiant interne d’exploitation agricole*],0)),FALSE,TRUE))</f>
        <v>1</v>
      </c>
      <c r="G68" s="4">
        <f t="shared" si="3"/>
        <v>6.9131999999999998</v>
      </c>
      <c r="H68" s="4">
        <f t="shared" si="4"/>
        <v>-7.9610000000000003</v>
      </c>
      <c r="I68" s="20" t="str">
        <f t="array" ref="I68">IF(ISBLANK(C68),"",IF(C68=MAX(IF(FarmUnit[1. Identifiant interne d’exploitation agricole*]=A68,FarmUnit[3. Superficie de l’unité agricole (ha)*])),"!","-"))</f>
        <v>!</v>
      </c>
      <c r="J68" s="9" t="str">
        <f ca="1">IFERROR(CONCATENATE(VLOOKUP(A68,GM_Table,12,FALSE)," ",(VLOOKUP(A68,GM_Table,13,FALSE))),"")</f>
        <v/>
      </c>
    </row>
    <row r="69" spans="1:10" ht="15" x14ac:dyDescent="0.2">
      <c r="A69" s="145" t="s">
        <v>907</v>
      </c>
      <c r="B69" s="145" t="s">
        <v>907</v>
      </c>
      <c r="C69" s="166">
        <v>1.5</v>
      </c>
      <c r="D69" s="265">
        <v>6.9084000000000003</v>
      </c>
      <c r="E69" s="265">
        <v>-7.9539</v>
      </c>
      <c r="F69" s="122" t="b">
        <f>IF(ISBLANK(FarmUnit[[#This Row],[1. Identifiant interne d’exploitation agricole*]]),"",IF(ISERROR(MATCH(FarmUnit[[#This Row],[1. Identifiant interne d’exploitation agricole*]],GroupMember[1. Identifiant interne d’exploitation agricole*],0)),FALSE,TRUE))</f>
        <v>1</v>
      </c>
      <c r="G69" s="4">
        <f t="shared" si="3"/>
        <v>6.9084000000000003</v>
      </c>
      <c r="H69" s="4">
        <f t="shared" si="4"/>
        <v>-7.9539</v>
      </c>
      <c r="I69" s="20" t="str">
        <f t="array" ref="I69">IF(ISBLANK(C69),"",IF(C69=MAX(IF(FarmUnit[1. Identifiant interne d’exploitation agricole*]=A69,FarmUnit[3. Superficie de l’unité agricole (ha)*])),"!","-"))</f>
        <v>!</v>
      </c>
      <c r="J69" s="9" t="str">
        <f ca="1">IFERROR(CONCATENATE(VLOOKUP(A69,GM_Table,12,FALSE)," ",(VLOOKUP(A69,GM_Table,13,FALSE))),"")</f>
        <v/>
      </c>
    </row>
    <row r="70" spans="1:10" ht="15" x14ac:dyDescent="0.2">
      <c r="A70" s="145" t="s">
        <v>910</v>
      </c>
      <c r="B70" s="145" t="s">
        <v>910</v>
      </c>
      <c r="C70" s="166">
        <v>1.01</v>
      </c>
      <c r="D70" s="265">
        <v>7.0946999999999996</v>
      </c>
      <c r="E70" s="265">
        <v>-8.1856000000000009</v>
      </c>
      <c r="F70" s="122" t="b">
        <f>IF(ISBLANK(FarmUnit[[#This Row],[1. Identifiant interne d’exploitation agricole*]]),"",IF(ISERROR(MATCH(FarmUnit[[#This Row],[1. Identifiant interne d’exploitation agricole*]],GroupMember[1. Identifiant interne d’exploitation agricole*],0)),FALSE,TRUE))</f>
        <v>1</v>
      </c>
      <c r="G70" s="4">
        <f t="shared" si="3"/>
        <v>7.0946999999999996</v>
      </c>
      <c r="H70" s="4">
        <f t="shared" si="4"/>
        <v>-8.1856000000000009</v>
      </c>
      <c r="I70" s="20" t="str">
        <f t="array" ref="I70">IF(ISBLANK(C70),"",IF(C70=MAX(IF(FarmUnit[1. Identifiant interne d’exploitation agricole*]=A70,FarmUnit[3. Superficie de l’unité agricole (ha)*])),"!","-"))</f>
        <v>!</v>
      </c>
      <c r="J70" s="9" t="str">
        <f ca="1">IFERROR(CONCATENATE(VLOOKUP(A70,GM_Table,12,FALSE)," ",(VLOOKUP(A70,GM_Table,13,FALSE))),"")</f>
        <v/>
      </c>
    </row>
    <row r="71" spans="1:10" ht="15" x14ac:dyDescent="0.2">
      <c r="A71" s="145" t="s">
        <v>914</v>
      </c>
      <c r="B71" s="145" t="s">
        <v>914</v>
      </c>
      <c r="C71" s="166">
        <v>0.54</v>
      </c>
      <c r="D71" s="267">
        <v>6.9268000000000001</v>
      </c>
      <c r="E71" s="267">
        <v>-7.9640000000000004</v>
      </c>
      <c r="F71" s="122" t="b">
        <f>IF(ISBLANK(FarmUnit[[#This Row],[1. Identifiant interne d’exploitation agricole*]]),"",IF(ISERROR(MATCH(FarmUnit[[#This Row],[1. Identifiant interne d’exploitation agricole*]],GroupMember[1. Identifiant interne d’exploitation agricole*],0)),FALSE,TRUE))</f>
        <v>1</v>
      </c>
      <c r="G71" s="4">
        <f t="shared" si="3"/>
        <v>6.9268000000000001</v>
      </c>
      <c r="H71" s="4">
        <f t="shared" si="4"/>
        <v>-7.9640000000000004</v>
      </c>
      <c r="I71" s="20" t="str">
        <f t="array" ref="I71">IF(ISBLANK(C71),"",IF(C71=MAX(IF(FarmUnit[1. Identifiant interne d’exploitation agricole*]=A71,FarmUnit[3. Superficie de l’unité agricole (ha)*])),"!","-"))</f>
        <v>!</v>
      </c>
      <c r="J71" s="9" t="str">
        <f ca="1">IFERROR(CONCATENATE(VLOOKUP(A71,GM_Table,12,FALSE)," ",(VLOOKUP(A71,GM_Table,13,FALSE))),"")</f>
        <v/>
      </c>
    </row>
    <row r="72" spans="1:10" ht="15" x14ac:dyDescent="0.2">
      <c r="A72" s="145" t="s">
        <v>917</v>
      </c>
      <c r="B72" s="145" t="s">
        <v>917</v>
      </c>
      <c r="C72" s="166">
        <v>1.53</v>
      </c>
      <c r="D72" s="265">
        <v>7.0282999999999998</v>
      </c>
      <c r="E72" s="265">
        <v>-7.9881000000000002</v>
      </c>
      <c r="F72" s="122" t="b">
        <f>IF(ISBLANK(FarmUnit[[#This Row],[1. Identifiant interne d’exploitation agricole*]]),"",IF(ISERROR(MATCH(FarmUnit[[#This Row],[1. Identifiant interne d’exploitation agricole*]],GroupMember[1. Identifiant interne d’exploitation agricole*],0)),FALSE,TRUE))</f>
        <v>1</v>
      </c>
      <c r="G72" s="4">
        <f t="shared" si="3"/>
        <v>7.0282999999999998</v>
      </c>
      <c r="H72" s="4">
        <f t="shared" si="4"/>
        <v>-7.9881000000000002</v>
      </c>
      <c r="I72" s="20" t="str">
        <f t="array" ref="I72">IF(ISBLANK(C72),"",IF(C72=MAX(IF(FarmUnit[1. Identifiant interne d’exploitation agricole*]=A72,FarmUnit[3. Superficie de l’unité agricole (ha)*])),"!","-"))</f>
        <v>!</v>
      </c>
      <c r="J72" s="9" t="str">
        <f ca="1">IFERROR(CONCATENATE(VLOOKUP(A72,GM_Table,12,FALSE)," ",(VLOOKUP(A72,GM_Table,13,FALSE))),"")</f>
        <v/>
      </c>
    </row>
    <row r="73" spans="1:10" ht="15" x14ac:dyDescent="0.2">
      <c r="A73" s="145" t="s">
        <v>921</v>
      </c>
      <c r="B73" s="145" t="s">
        <v>921</v>
      </c>
      <c r="C73" s="166">
        <v>1.5</v>
      </c>
      <c r="D73" s="267">
        <v>6.9025999999999996</v>
      </c>
      <c r="E73" s="267">
        <v>-7.9549000000000003</v>
      </c>
      <c r="F73" s="122" t="b">
        <f>IF(ISBLANK(FarmUnit[[#This Row],[1. Identifiant interne d’exploitation agricole*]]),"",IF(ISERROR(MATCH(FarmUnit[[#This Row],[1. Identifiant interne d’exploitation agricole*]],GroupMember[1. Identifiant interne d’exploitation agricole*],0)),FALSE,TRUE))</f>
        <v>1</v>
      </c>
      <c r="G73" s="4">
        <f t="shared" si="3"/>
        <v>6.9025999999999996</v>
      </c>
      <c r="H73" s="4">
        <f t="shared" si="4"/>
        <v>-7.9549000000000003</v>
      </c>
      <c r="I73" s="20" t="str">
        <f t="array" ref="I73">IF(ISBLANK(C73),"",IF(C73=MAX(IF(FarmUnit[1. Identifiant interne d’exploitation agricole*]=A73,FarmUnit[3. Superficie de l’unité agricole (ha)*])),"!","-"))</f>
        <v>!</v>
      </c>
      <c r="J73" s="9" t="str">
        <f ca="1">IFERROR(CONCATENATE(VLOOKUP(A73,GM_Table,12,FALSE)," ",(VLOOKUP(A73,GM_Table,13,FALSE))),"")</f>
        <v/>
      </c>
    </row>
    <row r="74" spans="1:10" ht="15" x14ac:dyDescent="0.2">
      <c r="A74" s="145" t="s">
        <v>924</v>
      </c>
      <c r="B74" s="145" t="s">
        <v>924</v>
      </c>
      <c r="C74" s="264">
        <v>0.9</v>
      </c>
      <c r="D74" s="265">
        <v>6.9625000000000004</v>
      </c>
      <c r="E74" s="265">
        <v>-8.0185999999999993</v>
      </c>
      <c r="F74" s="122" t="b">
        <f>IF(ISBLANK(FarmUnit[[#This Row],[1. Identifiant interne d’exploitation agricole*]]),"",IF(ISERROR(MATCH(FarmUnit[[#This Row],[1. Identifiant interne d’exploitation agricole*]],GroupMember[1. Identifiant interne d’exploitation agricole*],0)),FALSE,TRUE))</f>
        <v>1</v>
      </c>
      <c r="G74" s="4">
        <f t="shared" si="3"/>
        <v>6.9625000000000004</v>
      </c>
      <c r="H74" s="4">
        <f t="shared" si="4"/>
        <v>-8.0185999999999993</v>
      </c>
      <c r="I74" s="20" t="str">
        <f t="array" ref="I74">IF(ISBLANK(C74),"",IF(C74=MAX(IF(FarmUnit[1. Identifiant interne d’exploitation agricole*]=A74,FarmUnit[3. Superficie de l’unité agricole (ha)*])),"!","-"))</f>
        <v>!</v>
      </c>
      <c r="J74" s="9" t="str">
        <f ca="1">IFERROR(CONCATENATE(VLOOKUP(A74,GM_Table,12,FALSE)," ",(VLOOKUP(A74,GM_Table,13,FALSE))),"")</f>
        <v/>
      </c>
    </row>
    <row r="75" spans="1:10" ht="15" x14ac:dyDescent="0.2">
      <c r="A75" s="145" t="s">
        <v>927</v>
      </c>
      <c r="B75" s="145" t="s">
        <v>927</v>
      </c>
      <c r="C75" s="264">
        <v>0.83</v>
      </c>
      <c r="D75" s="265">
        <v>6.9192</v>
      </c>
      <c r="E75" s="265">
        <v>-7.9695</v>
      </c>
      <c r="F75" s="122" t="b">
        <f>IF(ISBLANK(FarmUnit[[#This Row],[1. Identifiant interne d’exploitation agricole*]]),"",IF(ISERROR(MATCH(FarmUnit[[#This Row],[1. Identifiant interne d’exploitation agricole*]],GroupMember[1. Identifiant interne d’exploitation agricole*],0)),FALSE,TRUE))</f>
        <v>1</v>
      </c>
      <c r="G75" s="4">
        <f t="shared" si="3"/>
        <v>6.9192</v>
      </c>
      <c r="H75" s="4">
        <f t="shared" si="4"/>
        <v>-7.9695</v>
      </c>
      <c r="I75" s="20" t="str">
        <f t="array" ref="I75">IF(ISBLANK(C75),"",IF(C75=MAX(IF(FarmUnit[1. Identifiant interne d’exploitation agricole*]=A75,FarmUnit[3. Superficie de l’unité agricole (ha)*])),"!","-"))</f>
        <v>!</v>
      </c>
      <c r="J75" s="9" t="str">
        <f ca="1">IFERROR(CONCATENATE(VLOOKUP(A75,GM_Table,12,FALSE)," ",(VLOOKUP(A75,GM_Table,13,FALSE))),"")</f>
        <v/>
      </c>
    </row>
    <row r="76" spans="1:10" ht="15" x14ac:dyDescent="0.2">
      <c r="A76" s="145" t="s">
        <v>931</v>
      </c>
      <c r="B76" s="145" t="s">
        <v>931</v>
      </c>
      <c r="C76" s="264">
        <v>2.71</v>
      </c>
      <c r="D76" s="267">
        <v>6.9021999999999997</v>
      </c>
      <c r="E76" s="267">
        <v>-7.9542999999999999</v>
      </c>
      <c r="F76" s="122" t="b">
        <f>IF(ISBLANK(FarmUnit[[#This Row],[1. Identifiant interne d’exploitation agricole*]]),"",IF(ISERROR(MATCH(FarmUnit[[#This Row],[1. Identifiant interne d’exploitation agricole*]],GroupMember[1. Identifiant interne d’exploitation agricole*],0)),FALSE,TRUE))</f>
        <v>1</v>
      </c>
      <c r="G76" s="4">
        <f t="shared" si="3"/>
        <v>6.9021999999999997</v>
      </c>
      <c r="H76" s="4">
        <f t="shared" si="4"/>
        <v>-7.9542999999999999</v>
      </c>
      <c r="I76" s="20" t="str">
        <f t="array" ref="I76">IF(ISBLANK(C76),"",IF(C76=MAX(IF(FarmUnit[1. Identifiant interne d’exploitation agricole*]=A76,FarmUnit[3. Superficie de l’unité agricole (ha)*])),"!","-"))</f>
        <v>!</v>
      </c>
      <c r="J76" s="9" t="str">
        <f ca="1">IFERROR(CONCATENATE(VLOOKUP(A76,GM_Table,12,FALSE)," ",(VLOOKUP(A76,GM_Table,13,FALSE))),"")</f>
        <v/>
      </c>
    </row>
    <row r="77" spans="1:10" ht="15" x14ac:dyDescent="0.2">
      <c r="A77" s="145" t="s">
        <v>934</v>
      </c>
      <c r="B77" s="145" t="s">
        <v>934</v>
      </c>
      <c r="C77" s="264">
        <v>1.88</v>
      </c>
      <c r="D77" s="265">
        <v>6.9802</v>
      </c>
      <c r="E77" s="265">
        <v>-8.1239000000000008</v>
      </c>
      <c r="F77" s="122" t="b">
        <f>IF(ISBLANK(FarmUnit[[#This Row],[1. Identifiant interne d’exploitation agricole*]]),"",IF(ISERROR(MATCH(FarmUnit[[#This Row],[1. Identifiant interne d’exploitation agricole*]],GroupMember[1. Identifiant interne d’exploitation agricole*],0)),FALSE,TRUE))</f>
        <v>1</v>
      </c>
      <c r="G77" s="4">
        <f t="shared" si="3"/>
        <v>6.9802</v>
      </c>
      <c r="H77" s="4">
        <f t="shared" si="4"/>
        <v>-8.1239000000000008</v>
      </c>
      <c r="I77" s="20" t="str">
        <f t="array" ref="I77">IF(ISBLANK(C77),"",IF(C77=MAX(IF(FarmUnit[1. Identifiant interne d’exploitation agricole*]=A77,FarmUnit[3. Superficie de l’unité agricole (ha)*])),"!","-"))</f>
        <v>!</v>
      </c>
      <c r="J77" s="9" t="str">
        <f ca="1">IFERROR(CONCATENATE(VLOOKUP(A77,GM_Table,12,FALSE)," ",(VLOOKUP(A77,GM_Table,13,FALSE))),"")</f>
        <v/>
      </c>
    </row>
    <row r="78" spans="1:10" ht="15" x14ac:dyDescent="0.2">
      <c r="A78" s="145" t="s">
        <v>938</v>
      </c>
      <c r="B78" s="145" t="s">
        <v>938</v>
      </c>
      <c r="C78" s="264">
        <v>2.5</v>
      </c>
      <c r="D78" s="267">
        <v>6.9287999999999998</v>
      </c>
      <c r="E78" s="267">
        <v>-7.9640000000000004</v>
      </c>
      <c r="F78" s="122" t="b">
        <f>IF(ISBLANK(FarmUnit[[#This Row],[1. Identifiant interne d’exploitation agricole*]]),"",IF(ISERROR(MATCH(FarmUnit[[#This Row],[1. Identifiant interne d’exploitation agricole*]],GroupMember[1. Identifiant interne d’exploitation agricole*],0)),FALSE,TRUE))</f>
        <v>1</v>
      </c>
      <c r="G78" s="4">
        <f t="shared" si="3"/>
        <v>6.9287999999999998</v>
      </c>
      <c r="H78" s="4">
        <f t="shared" si="4"/>
        <v>-7.9640000000000004</v>
      </c>
      <c r="I78" s="20" t="str">
        <f t="array" ref="I78">IF(ISBLANK(C78),"",IF(C78=MAX(IF(FarmUnit[1. Identifiant interne d’exploitation agricole*]=A78,FarmUnit[3. Superficie de l’unité agricole (ha)*])),"!","-"))</f>
        <v>!</v>
      </c>
      <c r="J78" s="9" t="str">
        <f ca="1">IFERROR(CONCATENATE(VLOOKUP(A78,GM_Table,12,FALSE)," ",(VLOOKUP(A78,GM_Table,13,FALSE))),"")</f>
        <v/>
      </c>
    </row>
    <row r="79" spans="1:10" ht="15" x14ac:dyDescent="0.2">
      <c r="A79" s="145" t="s">
        <v>940</v>
      </c>
      <c r="B79" s="145" t="s">
        <v>940</v>
      </c>
      <c r="C79" s="264">
        <v>1.02</v>
      </c>
      <c r="D79" s="267">
        <v>6.9002999999999997</v>
      </c>
      <c r="E79" s="267">
        <v>-7.9537000000000004</v>
      </c>
      <c r="F79" s="122" t="b">
        <f>IF(ISBLANK(FarmUnit[[#This Row],[1. Identifiant interne d’exploitation agricole*]]),"",IF(ISERROR(MATCH(FarmUnit[[#This Row],[1. Identifiant interne d’exploitation agricole*]],GroupMember[1. Identifiant interne d’exploitation agricole*],0)),FALSE,TRUE))</f>
        <v>1</v>
      </c>
      <c r="G79" s="4">
        <f t="shared" si="3"/>
        <v>6.9002999999999997</v>
      </c>
      <c r="H79" s="4">
        <f t="shared" si="4"/>
        <v>-7.9537000000000004</v>
      </c>
      <c r="I79" s="20" t="str">
        <f t="array" ref="I79">IF(ISBLANK(C79),"",IF(C79=MAX(IF(FarmUnit[1. Identifiant interne d’exploitation agricole*]=A79,FarmUnit[3. Superficie de l’unité agricole (ha)*])),"!","-"))</f>
        <v>!</v>
      </c>
      <c r="J79" s="9" t="str">
        <f ca="1">IFERROR(CONCATENATE(VLOOKUP(A79,GM_Table,12,FALSE)," ",(VLOOKUP(A79,GM_Table,13,FALSE))),"")</f>
        <v/>
      </c>
    </row>
    <row r="80" spans="1:10" ht="15" x14ac:dyDescent="0.2">
      <c r="A80" s="145" t="s">
        <v>944</v>
      </c>
      <c r="B80" s="145" t="s">
        <v>944</v>
      </c>
      <c r="C80" s="264">
        <v>6.31</v>
      </c>
      <c r="D80" s="265">
        <v>7.1677999999999997</v>
      </c>
      <c r="E80" s="265">
        <v>-8.1803000000000008</v>
      </c>
      <c r="F80" s="122" t="b">
        <f>IF(ISBLANK(FarmUnit[[#This Row],[1. Identifiant interne d’exploitation agricole*]]),"",IF(ISERROR(MATCH(FarmUnit[[#This Row],[1. Identifiant interne d’exploitation agricole*]],GroupMember[1. Identifiant interne d’exploitation agricole*],0)),FALSE,TRUE))</f>
        <v>1</v>
      </c>
      <c r="G80" s="4">
        <f t="shared" si="3"/>
        <v>7.1677999999999997</v>
      </c>
      <c r="H80" s="4">
        <f t="shared" si="4"/>
        <v>-8.1803000000000008</v>
      </c>
      <c r="I80" s="20" t="str">
        <f t="array" ref="I80">IF(ISBLANK(C80),"",IF(C80=MAX(IF(FarmUnit[1. Identifiant interne d’exploitation agricole*]=A80,FarmUnit[3. Superficie de l’unité agricole (ha)*])),"!","-"))</f>
        <v>!</v>
      </c>
      <c r="J80" s="9" t="str">
        <f ca="1">IFERROR(CONCATENATE(VLOOKUP(A80,GM_Table,12,FALSE)," ",(VLOOKUP(A80,GM_Table,13,FALSE))),"")</f>
        <v/>
      </c>
    </row>
    <row r="81" spans="1:10" ht="15" x14ac:dyDescent="0.2">
      <c r="A81" s="145" t="s">
        <v>947</v>
      </c>
      <c r="B81" s="145" t="s">
        <v>947</v>
      </c>
      <c r="C81" s="6">
        <v>4</v>
      </c>
      <c r="D81" s="265">
        <v>6.9053000000000004</v>
      </c>
      <c r="E81" s="265">
        <v>-7.9375</v>
      </c>
      <c r="F81" s="122" t="b">
        <f>IF(ISBLANK(FarmUnit[[#This Row],[1. Identifiant interne d’exploitation agricole*]]),"",IF(ISERROR(MATCH(FarmUnit[[#This Row],[1. Identifiant interne d’exploitation agricole*]],GroupMember[1. Identifiant interne d’exploitation agricole*],0)),FALSE,TRUE))</f>
        <v>1</v>
      </c>
      <c r="G81" s="4">
        <f t="shared" si="3"/>
        <v>6.9053000000000004</v>
      </c>
      <c r="H81" s="4">
        <f t="shared" si="4"/>
        <v>-7.9375</v>
      </c>
      <c r="I81" s="20" t="str">
        <f t="array" ref="I81">IF(ISBLANK(C81),"",IF(C81=MAX(IF(FarmUnit[1. Identifiant interne d’exploitation agricole*]=A81,FarmUnit[3. Superficie de l’unité agricole (ha)*])),"!","-"))</f>
        <v>!</v>
      </c>
      <c r="J81" s="9" t="str">
        <f ca="1">IFERROR(CONCATENATE(VLOOKUP(A81,GM_Table,12,FALSE)," ",(VLOOKUP(A81,GM_Table,13,FALSE))),"")</f>
        <v/>
      </c>
    </row>
    <row r="82" spans="1:10" ht="15" x14ac:dyDescent="0.2">
      <c r="A82" s="145" t="s">
        <v>950</v>
      </c>
      <c r="B82" s="145" t="s">
        <v>950</v>
      </c>
      <c r="C82" s="264">
        <v>4.12</v>
      </c>
      <c r="D82" s="265">
        <v>7.0941999999999998</v>
      </c>
      <c r="E82" s="265">
        <v>-8.0557999999999996</v>
      </c>
      <c r="F82" s="122" t="b">
        <f>IF(ISBLANK(FarmUnit[[#This Row],[1. Identifiant interne d’exploitation agricole*]]),"",IF(ISERROR(MATCH(FarmUnit[[#This Row],[1. Identifiant interne d’exploitation agricole*]],GroupMember[1. Identifiant interne d’exploitation agricole*],0)),FALSE,TRUE))</f>
        <v>1</v>
      </c>
      <c r="G82" s="4">
        <f t="shared" si="3"/>
        <v>7.0941999999999998</v>
      </c>
      <c r="H82" s="4">
        <f t="shared" si="4"/>
        <v>-8.0557999999999996</v>
      </c>
      <c r="I82" s="20" t="str">
        <f t="array" ref="I82">IF(ISBLANK(C82),"",IF(C82=MAX(IF(FarmUnit[1. Identifiant interne d’exploitation agricole*]=A82,FarmUnit[3. Superficie de l’unité agricole (ha)*])),"!","-"))</f>
        <v>!</v>
      </c>
      <c r="J82" s="9" t="str">
        <f ca="1">IFERROR(CONCATENATE(VLOOKUP(A82,GM_Table,12,FALSE)," ",(VLOOKUP(A82,GM_Table,13,FALSE))),"")</f>
        <v/>
      </c>
    </row>
    <row r="83" spans="1:10" ht="15" x14ac:dyDescent="0.2">
      <c r="A83" s="145" t="s">
        <v>954</v>
      </c>
      <c r="B83" s="145" t="s">
        <v>954</v>
      </c>
      <c r="C83" s="264">
        <v>1.5</v>
      </c>
      <c r="D83" s="265">
        <v>6.8958000000000004</v>
      </c>
      <c r="E83" s="265">
        <v>-7.9408000000000003</v>
      </c>
      <c r="F83" s="122" t="b">
        <f>IF(ISBLANK(FarmUnit[[#This Row],[1. Identifiant interne d’exploitation agricole*]]),"",IF(ISERROR(MATCH(FarmUnit[[#This Row],[1. Identifiant interne d’exploitation agricole*]],GroupMember[1. Identifiant interne d’exploitation agricole*],0)),FALSE,TRUE))</f>
        <v>1</v>
      </c>
      <c r="G83" s="4">
        <f t="shared" si="3"/>
        <v>6.8958000000000004</v>
      </c>
      <c r="H83" s="4">
        <f t="shared" si="4"/>
        <v>-7.9408000000000003</v>
      </c>
      <c r="I83" s="20" t="str">
        <f t="array" ref="I83">IF(ISBLANK(C83),"",IF(C83=MAX(IF(FarmUnit[1. Identifiant interne d’exploitation agricole*]=A83,FarmUnit[3. Superficie de l’unité agricole (ha)*])),"!","-"))</f>
        <v>!</v>
      </c>
      <c r="J83" s="9" t="str">
        <f ca="1">IFERROR(CONCATENATE(VLOOKUP(A83,GM_Table,12,FALSE)," ",(VLOOKUP(A83,GM_Table,13,FALSE))),"")</f>
        <v/>
      </c>
    </row>
    <row r="84" spans="1:10" ht="15" x14ac:dyDescent="0.2">
      <c r="A84" s="145" t="s">
        <v>957</v>
      </c>
      <c r="B84" s="145" t="s">
        <v>957</v>
      </c>
      <c r="C84" s="264">
        <v>1.43</v>
      </c>
      <c r="D84" s="265">
        <v>6.9478</v>
      </c>
      <c r="E84" s="265">
        <v>-8.0617000000000001</v>
      </c>
      <c r="F84" s="122" t="b">
        <f>IF(ISBLANK(FarmUnit[[#This Row],[1. Identifiant interne d’exploitation agricole*]]),"",IF(ISERROR(MATCH(FarmUnit[[#This Row],[1. Identifiant interne d’exploitation agricole*]],GroupMember[1. Identifiant interne d’exploitation agricole*],0)),FALSE,TRUE))</f>
        <v>1</v>
      </c>
      <c r="G84" s="4">
        <f t="shared" si="3"/>
        <v>6.9478</v>
      </c>
      <c r="H84" s="4">
        <f t="shared" si="4"/>
        <v>-8.0617000000000001</v>
      </c>
      <c r="I84" s="20" t="str">
        <f t="array" ref="I84">IF(ISBLANK(C84),"",IF(C84=MAX(IF(FarmUnit[1. Identifiant interne d’exploitation agricole*]=A84,FarmUnit[3. Superficie de l’unité agricole (ha)*])),"!","-"))</f>
        <v>!</v>
      </c>
      <c r="J84" s="9" t="str">
        <f ca="1">IFERROR(CONCATENATE(VLOOKUP(A84,GM_Table,12,FALSE)," ",(VLOOKUP(A84,GM_Table,13,FALSE))),"")</f>
        <v/>
      </c>
    </row>
    <row r="85" spans="1:10" ht="15" x14ac:dyDescent="0.2">
      <c r="A85" s="145" t="s">
        <v>959</v>
      </c>
      <c r="B85" s="145" t="s">
        <v>959</v>
      </c>
      <c r="C85" s="264">
        <v>2.39</v>
      </c>
      <c r="D85" s="265">
        <v>7.0488999999999997</v>
      </c>
      <c r="E85" s="265">
        <v>-8.0160999999999998</v>
      </c>
      <c r="F85" s="122" t="b">
        <f>IF(ISBLANK(FarmUnit[[#This Row],[1. Identifiant interne d’exploitation agricole*]]),"",IF(ISERROR(MATCH(FarmUnit[[#This Row],[1. Identifiant interne d’exploitation agricole*]],GroupMember[1. Identifiant interne d’exploitation agricole*],0)),FALSE,TRUE))</f>
        <v>1</v>
      </c>
      <c r="G85" s="4">
        <f t="shared" si="3"/>
        <v>7.0488999999999997</v>
      </c>
      <c r="H85" s="4">
        <f t="shared" si="4"/>
        <v>-8.0160999999999998</v>
      </c>
      <c r="I85" s="20" t="str">
        <f t="array" ref="I85">IF(ISBLANK(C85),"",IF(C85=MAX(IF(FarmUnit[1. Identifiant interne d’exploitation agricole*]=A85,FarmUnit[3. Superficie de l’unité agricole (ha)*])),"!","-"))</f>
        <v>!</v>
      </c>
      <c r="J85" s="9" t="str">
        <f ca="1">IFERROR(CONCATENATE(VLOOKUP(A85,GM_Table,12,FALSE)," ",(VLOOKUP(A85,GM_Table,13,FALSE))),"")</f>
        <v/>
      </c>
    </row>
    <row r="86" spans="1:10" ht="15" x14ac:dyDescent="0.2">
      <c r="A86" s="145" t="s">
        <v>961</v>
      </c>
      <c r="B86" s="145" t="s">
        <v>961</v>
      </c>
      <c r="C86" s="6">
        <v>0.87</v>
      </c>
      <c r="D86" s="265">
        <v>6.9093</v>
      </c>
      <c r="E86" s="265">
        <v>-7.9382000000000001</v>
      </c>
      <c r="F86" s="122" t="b">
        <f>IF(ISBLANK(FarmUnit[[#This Row],[1. Identifiant interne d’exploitation agricole*]]),"",IF(ISERROR(MATCH(FarmUnit[[#This Row],[1. Identifiant interne d’exploitation agricole*]],GroupMember[1. Identifiant interne d’exploitation agricole*],0)),FALSE,TRUE))</f>
        <v>1</v>
      </c>
      <c r="G86" s="4">
        <f t="shared" si="3"/>
        <v>6.9093</v>
      </c>
      <c r="H86" s="4">
        <f t="shared" si="4"/>
        <v>-7.9382000000000001</v>
      </c>
      <c r="I86" s="20" t="str">
        <f t="array" ref="I86">IF(ISBLANK(C86),"",IF(C86=MAX(IF(FarmUnit[1. Identifiant interne d’exploitation agricole*]=A86,FarmUnit[3. Superficie de l’unité agricole (ha)*])),"!","-"))</f>
        <v>!</v>
      </c>
      <c r="J86" s="9" t="str">
        <f ca="1">IFERROR(CONCATENATE(VLOOKUP(A86,GM_Table,12,FALSE)," ",(VLOOKUP(A86,GM_Table,13,FALSE))),"")</f>
        <v/>
      </c>
    </row>
    <row r="87" spans="1:10" ht="15" x14ac:dyDescent="0.2">
      <c r="A87" s="145" t="s">
        <v>965</v>
      </c>
      <c r="B87" s="145" t="s">
        <v>965</v>
      </c>
      <c r="C87" s="264">
        <v>4</v>
      </c>
      <c r="D87" s="267">
        <v>6.9364999999999997</v>
      </c>
      <c r="E87" s="267">
        <v>-7.9733000000000001</v>
      </c>
      <c r="F87" s="122" t="b">
        <f>IF(ISBLANK(FarmUnit[[#This Row],[1. Identifiant interne d’exploitation agricole*]]),"",IF(ISERROR(MATCH(FarmUnit[[#This Row],[1. Identifiant interne d’exploitation agricole*]],GroupMember[1. Identifiant interne d’exploitation agricole*],0)),FALSE,TRUE))</f>
        <v>1</v>
      </c>
      <c r="G87" s="4">
        <f t="shared" si="3"/>
        <v>6.9364999999999997</v>
      </c>
      <c r="H87" s="4">
        <f t="shared" si="4"/>
        <v>-7.9733000000000001</v>
      </c>
      <c r="I87" s="20" t="str">
        <f t="array" ref="I87">IF(ISBLANK(C87),"",IF(C87=MAX(IF(FarmUnit[1. Identifiant interne d’exploitation agricole*]=A87,FarmUnit[3. Superficie de l’unité agricole (ha)*])),"!","-"))</f>
        <v>!</v>
      </c>
      <c r="J87" s="9" t="str">
        <f ca="1">IFERROR(CONCATENATE(VLOOKUP(A87,GM_Table,12,FALSE)," ",(VLOOKUP(A87,GM_Table,13,FALSE))),"")</f>
        <v/>
      </c>
    </row>
    <row r="88" spans="1:10" ht="15" x14ac:dyDescent="0.2">
      <c r="A88" s="145" t="s">
        <v>967</v>
      </c>
      <c r="B88" s="145" t="s">
        <v>967</v>
      </c>
      <c r="C88" s="264">
        <v>1.1100000000000001</v>
      </c>
      <c r="D88" s="265">
        <v>7.0914999999999999</v>
      </c>
      <c r="E88" s="265">
        <v>-8.1728000000000005</v>
      </c>
      <c r="F88" s="122" t="b">
        <f>IF(ISBLANK(FarmUnit[[#This Row],[1. Identifiant interne d’exploitation agricole*]]),"",IF(ISERROR(MATCH(FarmUnit[[#This Row],[1. Identifiant interne d’exploitation agricole*]],GroupMember[1. Identifiant interne d’exploitation agricole*],0)),FALSE,TRUE))</f>
        <v>1</v>
      </c>
      <c r="G88" s="4">
        <f t="shared" si="3"/>
        <v>7.0914999999999999</v>
      </c>
      <c r="H88" s="4">
        <f t="shared" si="4"/>
        <v>-8.1728000000000005</v>
      </c>
      <c r="I88" s="20" t="str">
        <f t="array" ref="I88">IF(ISBLANK(C88),"",IF(C88=MAX(IF(FarmUnit[1. Identifiant interne d’exploitation agricole*]=A88,FarmUnit[3. Superficie de l’unité agricole (ha)*])),"!","-"))</f>
        <v>!</v>
      </c>
      <c r="J88" s="9" t="str">
        <f ca="1">IFERROR(CONCATENATE(VLOOKUP(A88,GM_Table,12,FALSE)," ",(VLOOKUP(A88,GM_Table,13,FALSE))),"")</f>
        <v/>
      </c>
    </row>
    <row r="89" spans="1:10" ht="15" x14ac:dyDescent="0.2">
      <c r="A89" s="145" t="s">
        <v>970</v>
      </c>
      <c r="B89" s="145" t="s">
        <v>970</v>
      </c>
      <c r="C89" s="264">
        <v>1.69</v>
      </c>
      <c r="D89" s="265">
        <v>7.1031000000000004</v>
      </c>
      <c r="E89" s="265">
        <v>-8.1789000000000005</v>
      </c>
      <c r="F89" s="122" t="b">
        <f>IF(ISBLANK(FarmUnit[[#This Row],[1. Identifiant interne d’exploitation agricole*]]),"",IF(ISERROR(MATCH(FarmUnit[[#This Row],[1. Identifiant interne d’exploitation agricole*]],GroupMember[1. Identifiant interne d’exploitation agricole*],0)),FALSE,TRUE))</f>
        <v>1</v>
      </c>
      <c r="G89" s="4">
        <f t="shared" si="3"/>
        <v>7.1031000000000004</v>
      </c>
      <c r="H89" s="4">
        <f t="shared" si="4"/>
        <v>-8.1789000000000005</v>
      </c>
      <c r="I89" s="20" t="str">
        <f t="array" ref="I89">IF(ISBLANK(C89),"",IF(C89=MAX(IF(FarmUnit[1. Identifiant interne d’exploitation agricole*]=A89,FarmUnit[3. Superficie de l’unité agricole (ha)*])),"!","-"))</f>
        <v>!</v>
      </c>
      <c r="J89" s="9" t="str">
        <f ca="1">IFERROR(CONCATENATE(VLOOKUP(A89,GM_Table,12,FALSE)," ",(VLOOKUP(A89,GM_Table,13,FALSE))),"")</f>
        <v/>
      </c>
    </row>
    <row r="90" spans="1:10" ht="15" x14ac:dyDescent="0.2">
      <c r="A90" s="145" t="s">
        <v>975</v>
      </c>
      <c r="B90" s="145" t="s">
        <v>975</v>
      </c>
      <c r="C90" s="264">
        <v>3</v>
      </c>
      <c r="D90" s="265">
        <v>6.9164000000000003</v>
      </c>
      <c r="E90" s="265">
        <v>-7.9539</v>
      </c>
      <c r="F90" s="122" t="b">
        <f>IF(ISBLANK(FarmUnit[[#This Row],[1. Identifiant interne d’exploitation agricole*]]),"",IF(ISERROR(MATCH(FarmUnit[[#This Row],[1. Identifiant interne d’exploitation agricole*]],GroupMember[1. Identifiant interne d’exploitation agricole*],0)),FALSE,TRUE))</f>
        <v>1</v>
      </c>
      <c r="G90" s="4">
        <f t="shared" si="3"/>
        <v>6.9164000000000003</v>
      </c>
      <c r="H90" s="4">
        <f t="shared" si="4"/>
        <v>-7.9539</v>
      </c>
      <c r="I90" s="20" t="str">
        <f t="array" ref="I90">IF(ISBLANK(C90),"",IF(C90=MAX(IF(FarmUnit[1. Identifiant interne d’exploitation agricole*]=A90,FarmUnit[3. Superficie de l’unité agricole (ha)*])),"!","-"))</f>
        <v>!</v>
      </c>
      <c r="J90" s="9" t="str">
        <f ca="1">IFERROR(CONCATENATE(VLOOKUP(A90,GM_Table,12,FALSE)," ",(VLOOKUP(A90,GM_Table,13,FALSE))),"")</f>
        <v/>
      </c>
    </row>
    <row r="91" spans="1:10" ht="15" x14ac:dyDescent="0.2">
      <c r="A91" s="145" t="s">
        <v>979</v>
      </c>
      <c r="B91" s="145" t="s">
        <v>979</v>
      </c>
      <c r="C91" s="264">
        <v>0.95</v>
      </c>
      <c r="D91" s="265">
        <v>6.9116999999999997</v>
      </c>
      <c r="E91" s="265">
        <v>-7.9607000000000001</v>
      </c>
      <c r="F91" s="122" t="b">
        <f>IF(ISBLANK(FarmUnit[[#This Row],[1. Identifiant interne d’exploitation agricole*]]),"",IF(ISERROR(MATCH(FarmUnit[[#This Row],[1. Identifiant interne d’exploitation agricole*]],GroupMember[1. Identifiant interne d’exploitation agricole*],0)),FALSE,TRUE))</f>
        <v>1</v>
      </c>
      <c r="G91" s="4">
        <f t="shared" si="3"/>
        <v>6.9116999999999997</v>
      </c>
      <c r="H91" s="4">
        <f t="shared" si="4"/>
        <v>-7.9607000000000001</v>
      </c>
      <c r="I91" s="20" t="str">
        <f t="array" ref="I91">IF(ISBLANK(C91),"",IF(C91=MAX(IF(FarmUnit[1. Identifiant interne d’exploitation agricole*]=A91,FarmUnit[3. Superficie de l’unité agricole (ha)*])),"!","-"))</f>
        <v>!</v>
      </c>
      <c r="J91" s="9" t="str">
        <f ca="1">IFERROR(CONCATENATE(VLOOKUP(A91,GM_Table,12,FALSE)," ",(VLOOKUP(A91,GM_Table,13,FALSE))),"")</f>
        <v/>
      </c>
    </row>
    <row r="92" spans="1:10" ht="15" x14ac:dyDescent="0.2">
      <c r="A92" s="145" t="s">
        <v>982</v>
      </c>
      <c r="B92" s="145" t="s">
        <v>982</v>
      </c>
      <c r="C92" s="264">
        <v>2.5</v>
      </c>
      <c r="D92" s="265">
        <v>6.9108000000000001</v>
      </c>
      <c r="E92" s="265">
        <v>-7.9451999999999998</v>
      </c>
      <c r="F92" s="122" t="b">
        <f>IF(ISBLANK(FarmUnit[[#This Row],[1. Identifiant interne d’exploitation agricole*]]),"",IF(ISERROR(MATCH(FarmUnit[[#This Row],[1. Identifiant interne d’exploitation agricole*]],GroupMember[1. Identifiant interne d’exploitation agricole*],0)),FALSE,TRUE))</f>
        <v>1</v>
      </c>
      <c r="G92" s="4">
        <f t="shared" si="3"/>
        <v>6.9108000000000001</v>
      </c>
      <c r="H92" s="4">
        <f t="shared" si="4"/>
        <v>-7.9451999999999998</v>
      </c>
      <c r="I92" s="20" t="str">
        <f t="array" ref="I92">IF(ISBLANK(C92),"",IF(C92=MAX(IF(FarmUnit[1. Identifiant interne d’exploitation agricole*]=A92,FarmUnit[3. Superficie de l’unité agricole (ha)*])),"!","-"))</f>
        <v>!</v>
      </c>
      <c r="J92" s="9" t="str">
        <f ca="1">IFERROR(CONCATENATE(VLOOKUP(A92,GM_Table,12,FALSE)," ",(VLOOKUP(A92,GM_Table,13,FALSE))),"")</f>
        <v/>
      </c>
    </row>
    <row r="93" spans="1:10" ht="15" x14ac:dyDescent="0.2">
      <c r="A93" s="145" t="s">
        <v>984</v>
      </c>
      <c r="B93" s="145" t="s">
        <v>984</v>
      </c>
      <c r="C93" s="6">
        <v>3.19</v>
      </c>
      <c r="D93" s="265">
        <v>7.0689000000000002</v>
      </c>
      <c r="E93" s="265">
        <v>-7.9688999999999997</v>
      </c>
      <c r="F93" s="122" t="b">
        <f>IF(ISBLANK(FarmUnit[[#This Row],[1. Identifiant interne d’exploitation agricole*]]),"",IF(ISERROR(MATCH(FarmUnit[[#This Row],[1. Identifiant interne d’exploitation agricole*]],GroupMember[1. Identifiant interne d’exploitation agricole*],0)),FALSE,TRUE))</f>
        <v>1</v>
      </c>
      <c r="G93" s="4">
        <f t="shared" si="3"/>
        <v>7.0689000000000002</v>
      </c>
      <c r="H93" s="4">
        <f t="shared" si="4"/>
        <v>-7.9688999999999997</v>
      </c>
      <c r="I93" s="20" t="str">
        <f t="array" ref="I93">IF(ISBLANK(C93),"",IF(C93=MAX(IF(FarmUnit[1. Identifiant interne d’exploitation agricole*]=A93,FarmUnit[3. Superficie de l’unité agricole (ha)*])),"!","-"))</f>
        <v>!</v>
      </c>
      <c r="J93" s="9" t="str">
        <f ca="1">IFERROR(CONCATENATE(VLOOKUP(A93,GM_Table,12,FALSE)," ",(VLOOKUP(A93,GM_Table,13,FALSE))),"")</f>
        <v/>
      </c>
    </row>
    <row r="94" spans="1:10" ht="15" x14ac:dyDescent="0.2">
      <c r="A94" s="145" t="s">
        <v>987</v>
      </c>
      <c r="B94" s="145" t="s">
        <v>987</v>
      </c>
      <c r="C94" s="166">
        <v>2.85</v>
      </c>
      <c r="D94" s="265">
        <v>6.9972000000000003</v>
      </c>
      <c r="E94" s="265">
        <v>-8.1903000000000006</v>
      </c>
      <c r="F94" s="122" t="b">
        <f>IF(ISBLANK(FarmUnit[[#This Row],[1. Identifiant interne d’exploitation agricole*]]),"",IF(ISERROR(MATCH(FarmUnit[[#This Row],[1. Identifiant interne d’exploitation agricole*]],GroupMember[1. Identifiant interne d’exploitation agricole*],0)),FALSE,TRUE))</f>
        <v>1</v>
      </c>
      <c r="G94" s="4">
        <f t="shared" si="3"/>
        <v>6.9972000000000003</v>
      </c>
      <c r="H94" s="4">
        <f t="shared" si="4"/>
        <v>-8.1903000000000006</v>
      </c>
      <c r="I94" s="20" t="str">
        <f t="array" ref="I94">IF(ISBLANK(C94),"",IF(C94=MAX(IF(FarmUnit[1. Identifiant interne d’exploitation agricole*]=A94,FarmUnit[3. Superficie de l’unité agricole (ha)*])),"!","-"))</f>
        <v>!</v>
      </c>
      <c r="J94" s="9" t="str">
        <f ca="1">IFERROR(CONCATENATE(VLOOKUP(A94,GM_Table,12,FALSE)," ",(VLOOKUP(A94,GM_Table,13,FALSE))),"")</f>
        <v/>
      </c>
    </row>
    <row r="95" spans="1:10" ht="15" x14ac:dyDescent="0.2">
      <c r="A95" s="145" t="s">
        <v>989</v>
      </c>
      <c r="B95" s="145" t="s">
        <v>989</v>
      </c>
      <c r="C95" s="166">
        <v>2.5</v>
      </c>
      <c r="D95" s="265">
        <v>6.9066000000000001</v>
      </c>
      <c r="E95" s="265">
        <v>-7.9797000000000002</v>
      </c>
      <c r="F95" s="122" t="b">
        <f>IF(ISBLANK(FarmUnit[[#This Row],[1. Identifiant interne d’exploitation agricole*]]),"",IF(ISERROR(MATCH(FarmUnit[[#This Row],[1. Identifiant interne d’exploitation agricole*]],GroupMember[1. Identifiant interne d’exploitation agricole*],0)),FALSE,TRUE))</f>
        <v>1</v>
      </c>
      <c r="G95" s="4">
        <f t="shared" si="3"/>
        <v>6.9066000000000001</v>
      </c>
      <c r="H95" s="4">
        <f t="shared" si="4"/>
        <v>-7.9797000000000002</v>
      </c>
      <c r="I95" s="20" t="str">
        <f t="array" ref="I95">IF(ISBLANK(C95),"",IF(C95=MAX(IF(FarmUnit[1. Identifiant interne d’exploitation agricole*]=A95,FarmUnit[3. Superficie de l’unité agricole (ha)*])),"!","-"))</f>
        <v>!</v>
      </c>
      <c r="J95" s="9" t="str">
        <f ca="1">IFERROR(CONCATENATE(VLOOKUP(A95,GM_Table,12,FALSE)," ",(VLOOKUP(A95,GM_Table,13,FALSE))),"")</f>
        <v/>
      </c>
    </row>
    <row r="96" spans="1:10" ht="15" x14ac:dyDescent="0.2">
      <c r="A96" s="145" t="s">
        <v>994</v>
      </c>
      <c r="B96" s="145" t="s">
        <v>994</v>
      </c>
      <c r="C96" s="6">
        <v>7.5</v>
      </c>
      <c r="D96" s="265">
        <v>6.9089</v>
      </c>
      <c r="E96" s="265">
        <v>-7.9699</v>
      </c>
      <c r="F96" s="122" t="b">
        <f>IF(ISBLANK(FarmUnit[[#This Row],[1. Identifiant interne d’exploitation agricole*]]),"",IF(ISERROR(MATCH(FarmUnit[[#This Row],[1. Identifiant interne d’exploitation agricole*]],GroupMember[1. Identifiant interne d’exploitation agricole*],0)),FALSE,TRUE))</f>
        <v>1</v>
      </c>
      <c r="G96" s="4">
        <f t="shared" si="3"/>
        <v>6.9089</v>
      </c>
      <c r="H96" s="4">
        <f t="shared" si="4"/>
        <v>-7.9699</v>
      </c>
      <c r="I96" s="20" t="str">
        <f t="array" ref="I96">IF(ISBLANK(C96),"",IF(C96=MAX(IF(FarmUnit[1. Identifiant interne d’exploitation agricole*]=A96,FarmUnit[3. Superficie de l’unité agricole (ha)*])),"!","-"))</f>
        <v>!</v>
      </c>
      <c r="J96" s="9" t="str">
        <f ca="1">IFERROR(CONCATENATE(VLOOKUP(A96,GM_Table,12,FALSE)," ",(VLOOKUP(A96,GM_Table,13,FALSE))),"")</f>
        <v/>
      </c>
    </row>
    <row r="97" spans="1:10" ht="15" x14ac:dyDescent="0.2">
      <c r="A97" s="145" t="s">
        <v>998</v>
      </c>
      <c r="B97" s="145" t="s">
        <v>998</v>
      </c>
      <c r="C97" s="264">
        <v>3.66</v>
      </c>
      <c r="D97" s="265">
        <v>6.9481000000000002</v>
      </c>
      <c r="E97" s="265">
        <v>-7.9966999999999997</v>
      </c>
      <c r="F97" s="122" t="b">
        <f>IF(ISBLANK(FarmUnit[[#This Row],[1. Identifiant interne d’exploitation agricole*]]),"",IF(ISERROR(MATCH(FarmUnit[[#This Row],[1. Identifiant interne d’exploitation agricole*]],GroupMember[1. Identifiant interne d’exploitation agricole*],0)),FALSE,TRUE))</f>
        <v>1</v>
      </c>
      <c r="G97" s="4">
        <f t="shared" si="3"/>
        <v>6.9481000000000002</v>
      </c>
      <c r="H97" s="4">
        <f t="shared" si="4"/>
        <v>-7.9966999999999997</v>
      </c>
      <c r="I97" s="20" t="str">
        <f t="array" ref="I97">IF(ISBLANK(C97),"",IF(C97=MAX(IF(FarmUnit[1. Identifiant interne d’exploitation agricole*]=A97,FarmUnit[3. Superficie de l’unité agricole (ha)*])),"!","-"))</f>
        <v>!</v>
      </c>
      <c r="J97" s="9" t="str">
        <f ca="1">IFERROR(CONCATENATE(VLOOKUP(A97,GM_Table,12,FALSE)," ",(VLOOKUP(A97,GM_Table,13,FALSE))),"")</f>
        <v/>
      </c>
    </row>
    <row r="98" spans="1:10" ht="15" x14ac:dyDescent="0.2">
      <c r="A98" s="145" t="s">
        <v>1001</v>
      </c>
      <c r="B98" s="145" t="s">
        <v>1001</v>
      </c>
      <c r="C98" s="264">
        <v>5.28</v>
      </c>
      <c r="D98" s="265">
        <v>6.9513999999999996</v>
      </c>
      <c r="E98" s="265">
        <v>-8.0044000000000004</v>
      </c>
      <c r="F98" s="122" t="b">
        <f>IF(ISBLANK(FarmUnit[[#This Row],[1. Identifiant interne d’exploitation agricole*]]),"",IF(ISERROR(MATCH(FarmUnit[[#This Row],[1. Identifiant interne d’exploitation agricole*]],GroupMember[1. Identifiant interne d’exploitation agricole*],0)),FALSE,TRUE))</f>
        <v>1</v>
      </c>
      <c r="G98" s="4">
        <f t="shared" si="3"/>
        <v>6.9513999999999996</v>
      </c>
      <c r="H98" s="4">
        <f t="shared" si="4"/>
        <v>-8.0044000000000004</v>
      </c>
      <c r="I98" s="20" t="str">
        <f t="array" ref="I98">IF(ISBLANK(C98),"",IF(C98=MAX(IF(FarmUnit[1. Identifiant interne d’exploitation agricole*]=A98,FarmUnit[3. Superficie de l’unité agricole (ha)*])),"!","-"))</f>
        <v>!</v>
      </c>
      <c r="J98" s="9" t="str">
        <f ca="1">IFERROR(CONCATENATE(VLOOKUP(A98,GM_Table,12,FALSE)," ",(VLOOKUP(A98,GM_Table,13,FALSE))),"")</f>
        <v/>
      </c>
    </row>
    <row r="99" spans="1:10" ht="15" x14ac:dyDescent="0.2">
      <c r="A99" s="145" t="s">
        <v>1005</v>
      </c>
      <c r="B99" s="145" t="s">
        <v>1005</v>
      </c>
      <c r="C99" s="264">
        <v>7.42</v>
      </c>
      <c r="D99" s="265">
        <v>7.0266000000000002</v>
      </c>
      <c r="E99" s="265">
        <v>-8.0516000000000005</v>
      </c>
      <c r="F99" s="122" t="b">
        <f>IF(ISBLANK(FarmUnit[[#This Row],[1. Identifiant interne d’exploitation agricole*]]),"",IF(ISERROR(MATCH(FarmUnit[[#This Row],[1. Identifiant interne d’exploitation agricole*]],GroupMember[1. Identifiant interne d’exploitation agricole*],0)),FALSE,TRUE))</f>
        <v>1</v>
      </c>
      <c r="G99" s="4">
        <f t="shared" si="3"/>
        <v>7.0266000000000002</v>
      </c>
      <c r="H99" s="4">
        <f t="shared" si="4"/>
        <v>-8.0516000000000005</v>
      </c>
      <c r="I99" s="20" t="str">
        <f t="array" ref="I99">IF(ISBLANK(C99),"",IF(C99=MAX(IF(FarmUnit[1. Identifiant interne d’exploitation agricole*]=A99,FarmUnit[3. Superficie de l’unité agricole (ha)*])),"!","-"))</f>
        <v>!</v>
      </c>
      <c r="J99" s="9" t="str">
        <f ca="1">IFERROR(CONCATENATE(VLOOKUP(A99,GM_Table,12,FALSE)," ",(VLOOKUP(A99,GM_Table,13,FALSE))),"")</f>
        <v/>
      </c>
    </row>
    <row r="100" spans="1:10" ht="15" x14ac:dyDescent="0.2">
      <c r="A100" s="145" t="s">
        <v>1009</v>
      </c>
      <c r="B100" s="145" t="s">
        <v>1009</v>
      </c>
      <c r="C100" s="264">
        <v>10.44</v>
      </c>
      <c r="D100" s="267">
        <v>6.9142000000000001</v>
      </c>
      <c r="E100" s="267">
        <v>-7.9519000000000002</v>
      </c>
      <c r="F100" s="122" t="b">
        <f>IF(ISBLANK(FarmUnit[[#This Row],[1. Identifiant interne d’exploitation agricole*]]),"",IF(ISERROR(MATCH(FarmUnit[[#This Row],[1. Identifiant interne d’exploitation agricole*]],GroupMember[1. Identifiant interne d’exploitation agricole*],0)),FALSE,TRUE))</f>
        <v>1</v>
      </c>
      <c r="G100" s="4">
        <f t="shared" si="3"/>
        <v>6.9142000000000001</v>
      </c>
      <c r="H100" s="4">
        <f t="shared" si="4"/>
        <v>-7.9519000000000002</v>
      </c>
      <c r="I100" s="20" t="str">
        <f t="array" ref="I100">IF(ISBLANK(C100),"",IF(C100=MAX(IF(FarmUnit[1. Identifiant interne d’exploitation agricole*]=A100,FarmUnit[3. Superficie de l’unité agricole (ha)*])),"!","-"))</f>
        <v>!</v>
      </c>
      <c r="J100" s="9" t="str">
        <f ca="1">IFERROR(CONCATENATE(VLOOKUP(A100,GM_Table,12,FALSE)," ",(VLOOKUP(A100,GM_Table,13,FALSE))),"")</f>
        <v/>
      </c>
    </row>
    <row r="101" spans="1:10" ht="15" x14ac:dyDescent="0.2">
      <c r="A101" s="145" t="s">
        <v>1012</v>
      </c>
      <c r="B101" s="145" t="s">
        <v>1012</v>
      </c>
      <c r="C101" s="6">
        <v>2.5</v>
      </c>
      <c r="D101" s="265">
        <v>6.9092000000000002</v>
      </c>
      <c r="E101" s="265">
        <v>-7.9531000000000001</v>
      </c>
      <c r="F101" s="122" t="b">
        <f>IF(ISBLANK(FarmUnit[[#This Row],[1. Identifiant interne d’exploitation agricole*]]),"",IF(ISERROR(MATCH(FarmUnit[[#This Row],[1. Identifiant interne d’exploitation agricole*]],GroupMember[1. Identifiant interne d’exploitation agricole*],0)),FALSE,TRUE))</f>
        <v>1</v>
      </c>
      <c r="G101" s="4">
        <f t="shared" si="3"/>
        <v>6.9092000000000002</v>
      </c>
      <c r="H101" s="4">
        <f t="shared" si="4"/>
        <v>-7.9531000000000001</v>
      </c>
      <c r="I101" s="20" t="str">
        <f t="array" ref="I101">IF(ISBLANK(C101),"",IF(C101=MAX(IF(FarmUnit[1. Identifiant interne d’exploitation agricole*]=A101,FarmUnit[3. Superficie de l’unité agricole (ha)*])),"!","-"))</f>
        <v>!</v>
      </c>
      <c r="J101" s="9" t="str">
        <f ca="1">IFERROR(CONCATENATE(VLOOKUP(A101,GM_Table,12,FALSE)," ",(VLOOKUP(A101,GM_Table,13,FALSE))),"")</f>
        <v/>
      </c>
    </row>
    <row r="102" spans="1:10" ht="15" x14ac:dyDescent="0.2">
      <c r="A102" s="145" t="s">
        <v>1015</v>
      </c>
      <c r="B102" s="145" t="s">
        <v>1015</v>
      </c>
      <c r="C102" s="264">
        <v>5</v>
      </c>
      <c r="D102" s="267">
        <v>6.9039000000000001</v>
      </c>
      <c r="E102" s="267">
        <v>-7.9668999999999999</v>
      </c>
      <c r="F102" s="122" t="b">
        <f>IF(ISBLANK(FarmUnit[[#This Row],[1. Identifiant interne d’exploitation agricole*]]),"",IF(ISERROR(MATCH(FarmUnit[[#This Row],[1. Identifiant interne d’exploitation agricole*]],GroupMember[1. Identifiant interne d’exploitation agricole*],0)),FALSE,TRUE))</f>
        <v>1</v>
      </c>
      <c r="G102" s="4">
        <f t="shared" si="3"/>
        <v>6.9039000000000001</v>
      </c>
      <c r="H102" s="4">
        <f t="shared" si="4"/>
        <v>-7.9668999999999999</v>
      </c>
      <c r="I102" s="20" t="str">
        <f t="array" ref="I102">IF(ISBLANK(C102),"",IF(C102=MAX(IF(FarmUnit[1. Identifiant interne d’exploitation agricole*]=A102,FarmUnit[3. Superficie de l’unité agricole (ha)*])),"!","-"))</f>
        <v>!</v>
      </c>
      <c r="J102" s="9" t="str">
        <f ca="1">IFERROR(CONCATENATE(VLOOKUP(A102,GM_Table,12,FALSE)," ",(VLOOKUP(A102,GM_Table,13,FALSE))),"")</f>
        <v/>
      </c>
    </row>
    <row r="103" spans="1:10" ht="15" x14ac:dyDescent="0.2">
      <c r="A103" s="145" t="s">
        <v>1019</v>
      </c>
      <c r="B103" s="145" t="s">
        <v>1019</v>
      </c>
      <c r="C103" s="264">
        <v>3.77</v>
      </c>
      <c r="D103" s="265">
        <v>7.0167000000000002</v>
      </c>
      <c r="E103" s="265">
        <v>-8.1997</v>
      </c>
      <c r="F103" s="122" t="b">
        <f>IF(ISBLANK(FarmUnit[[#This Row],[1. Identifiant interne d’exploitation agricole*]]),"",IF(ISERROR(MATCH(FarmUnit[[#This Row],[1. Identifiant interne d’exploitation agricole*]],GroupMember[1. Identifiant interne d’exploitation agricole*],0)),FALSE,TRUE))</f>
        <v>1</v>
      </c>
      <c r="G103" s="4">
        <f t="shared" si="3"/>
        <v>7.0167000000000002</v>
      </c>
      <c r="H103" s="4">
        <f t="shared" si="4"/>
        <v>-8.1997</v>
      </c>
      <c r="I103" s="20" t="str">
        <f t="array" ref="I103">IF(ISBLANK(C103),"",IF(C103=MAX(IF(FarmUnit[1. Identifiant interne d’exploitation agricole*]=A103,FarmUnit[3. Superficie de l’unité agricole (ha)*])),"!","-"))</f>
        <v>!</v>
      </c>
      <c r="J103" s="9" t="str">
        <f ca="1">IFERROR(CONCATENATE(VLOOKUP(A103,GM_Table,12,FALSE)," ",(VLOOKUP(A103,GM_Table,13,FALSE))),"")</f>
        <v/>
      </c>
    </row>
    <row r="104" spans="1:10" ht="15" x14ac:dyDescent="0.2">
      <c r="A104" s="145" t="s">
        <v>1020</v>
      </c>
      <c r="B104" s="145" t="s">
        <v>1020</v>
      </c>
      <c r="C104" s="264">
        <v>4.1399999999999997</v>
      </c>
      <c r="D104" s="265">
        <v>6.9073000000000002</v>
      </c>
      <c r="E104" s="265">
        <v>-7.9810999999999996</v>
      </c>
      <c r="F104" s="122" t="b">
        <f>IF(ISBLANK(FarmUnit[[#This Row],[1. Identifiant interne d’exploitation agricole*]]),"",IF(ISERROR(MATCH(FarmUnit[[#This Row],[1. Identifiant interne d’exploitation agricole*]],GroupMember[1. Identifiant interne d’exploitation agricole*],0)),FALSE,TRUE))</f>
        <v>1</v>
      </c>
      <c r="G104" s="4">
        <f t="shared" si="3"/>
        <v>6.9073000000000002</v>
      </c>
      <c r="H104" s="4">
        <f t="shared" si="4"/>
        <v>-7.9810999999999996</v>
      </c>
      <c r="I104" s="20" t="str">
        <f t="array" ref="I104">IF(ISBLANK(C104),"",IF(C104=MAX(IF(FarmUnit[1. Identifiant interne d’exploitation agricole*]=A104,FarmUnit[3. Superficie de l’unité agricole (ha)*])),"!","-"))</f>
        <v>!</v>
      </c>
      <c r="J104" s="9" t="str">
        <f ca="1">IFERROR(CONCATENATE(VLOOKUP(A104,GM_Table,12,FALSE)," ",(VLOOKUP(A104,GM_Table,13,FALSE))),"")</f>
        <v/>
      </c>
    </row>
    <row r="105" spans="1:10" ht="15" x14ac:dyDescent="0.2">
      <c r="A105" s="145" t="s">
        <v>1024</v>
      </c>
      <c r="B105" s="145" t="s">
        <v>1024</v>
      </c>
      <c r="C105" s="264">
        <v>3.66</v>
      </c>
      <c r="D105" s="265">
        <v>6.9614000000000003</v>
      </c>
      <c r="E105" s="265">
        <v>-8.0394000000000005</v>
      </c>
      <c r="F105" s="122" t="b">
        <f>IF(ISBLANK(FarmUnit[[#This Row],[1. Identifiant interne d’exploitation agricole*]]),"",IF(ISERROR(MATCH(FarmUnit[[#This Row],[1. Identifiant interne d’exploitation agricole*]],GroupMember[1. Identifiant interne d’exploitation agricole*],0)),FALSE,TRUE))</f>
        <v>1</v>
      </c>
      <c r="G105" s="4">
        <f t="shared" si="3"/>
        <v>6.9614000000000003</v>
      </c>
      <c r="H105" s="4">
        <f t="shared" si="4"/>
        <v>-8.0394000000000005</v>
      </c>
      <c r="I105" s="20" t="str">
        <f t="array" ref="I105">IF(ISBLANK(C105),"",IF(C105=MAX(IF(FarmUnit[1. Identifiant interne d’exploitation agricole*]=A105,FarmUnit[3. Superficie de l’unité agricole (ha)*])),"!","-"))</f>
        <v>!</v>
      </c>
      <c r="J105" s="9" t="str">
        <f ca="1">IFERROR(CONCATENATE(VLOOKUP(A105,GM_Table,12,FALSE)," ",(VLOOKUP(A105,GM_Table,13,FALSE))),"")</f>
        <v/>
      </c>
    </row>
    <row r="106" spans="1:10" ht="15" x14ac:dyDescent="0.2">
      <c r="A106" s="145" t="s">
        <v>1028</v>
      </c>
      <c r="B106" s="145" t="s">
        <v>1028</v>
      </c>
      <c r="C106" s="264">
        <v>4</v>
      </c>
      <c r="D106" s="265">
        <v>6.9039999999999999</v>
      </c>
      <c r="E106" s="269">
        <v>-7.9667000000000003</v>
      </c>
      <c r="F106" s="122" t="b">
        <f>IF(ISBLANK(FarmUnit[[#This Row],[1. Identifiant interne d’exploitation agricole*]]),"",IF(ISERROR(MATCH(FarmUnit[[#This Row],[1. Identifiant interne d’exploitation agricole*]],GroupMember[1. Identifiant interne d’exploitation agricole*],0)),FALSE,TRUE))</f>
        <v>1</v>
      </c>
      <c r="G106" s="4">
        <f t="shared" si="3"/>
        <v>6.9039999999999999</v>
      </c>
      <c r="H106" s="4">
        <f t="shared" si="4"/>
        <v>-7.9667000000000003</v>
      </c>
      <c r="I106" s="20" t="str">
        <f t="array" ref="I106">IF(ISBLANK(C106),"",IF(C106=MAX(IF(FarmUnit[1. Identifiant interne d’exploitation agricole*]=A106,FarmUnit[3. Superficie de l’unité agricole (ha)*])),"!","-"))</f>
        <v>!</v>
      </c>
      <c r="J106" s="9" t="str">
        <f ca="1">IFERROR(CONCATENATE(VLOOKUP(A106,GM_Table,12,FALSE)," ",(VLOOKUP(A106,GM_Table,13,FALSE))),"")</f>
        <v/>
      </c>
    </row>
    <row r="107" spans="1:10" ht="15" x14ac:dyDescent="0.2">
      <c r="A107" s="145" t="s">
        <v>1030</v>
      </c>
      <c r="B107" s="145" t="s">
        <v>1030</v>
      </c>
      <c r="C107" s="264">
        <v>1.29</v>
      </c>
      <c r="D107" s="265">
        <v>7.0225</v>
      </c>
      <c r="E107" s="265">
        <v>-8.0002999999999993</v>
      </c>
      <c r="F107" s="122" t="b">
        <f>IF(ISBLANK(FarmUnit[[#This Row],[1. Identifiant interne d’exploitation agricole*]]),"",IF(ISERROR(MATCH(FarmUnit[[#This Row],[1. Identifiant interne d’exploitation agricole*]],GroupMember[1. Identifiant interne d’exploitation agricole*],0)),FALSE,TRUE))</f>
        <v>1</v>
      </c>
      <c r="G107" s="4">
        <f t="shared" si="3"/>
        <v>7.0225</v>
      </c>
      <c r="H107" s="4">
        <f t="shared" si="4"/>
        <v>-8.0002999999999993</v>
      </c>
      <c r="I107" s="20" t="str">
        <f t="array" ref="I107">IF(ISBLANK(C107),"",IF(C107=MAX(IF(FarmUnit[1. Identifiant interne d’exploitation agricole*]=A107,FarmUnit[3. Superficie de l’unité agricole (ha)*])),"!","-"))</f>
        <v>!</v>
      </c>
      <c r="J107" s="9" t="str">
        <f ca="1">IFERROR(CONCATENATE(VLOOKUP(A107,GM_Table,12,FALSE)," ",(VLOOKUP(A107,GM_Table,13,FALSE))),"")</f>
        <v/>
      </c>
    </row>
    <row r="108" spans="1:10" ht="15" x14ac:dyDescent="0.2">
      <c r="A108" s="145" t="s">
        <v>1033</v>
      </c>
      <c r="B108" s="145" t="s">
        <v>1033</v>
      </c>
      <c r="C108" s="264">
        <v>3</v>
      </c>
      <c r="D108" s="265">
        <v>6.9112</v>
      </c>
      <c r="E108" s="265">
        <v>-7.9435000000000002</v>
      </c>
      <c r="F108" s="122" t="b">
        <f>IF(ISBLANK(FarmUnit[[#This Row],[1. Identifiant interne d’exploitation agricole*]]),"",IF(ISERROR(MATCH(FarmUnit[[#This Row],[1. Identifiant interne d’exploitation agricole*]],GroupMember[1. Identifiant interne d’exploitation agricole*],0)),FALSE,TRUE))</f>
        <v>1</v>
      </c>
      <c r="G108" s="4">
        <f t="shared" si="3"/>
        <v>6.9112</v>
      </c>
      <c r="H108" s="4">
        <f t="shared" si="4"/>
        <v>-7.9435000000000002</v>
      </c>
      <c r="I108" s="20" t="str">
        <f t="array" ref="I108">IF(ISBLANK(C108),"",IF(C108=MAX(IF(FarmUnit[1. Identifiant interne d’exploitation agricole*]=A108,FarmUnit[3. Superficie de l’unité agricole (ha)*])),"!","-"))</f>
        <v>!</v>
      </c>
      <c r="J108" s="9" t="str">
        <f ca="1">IFERROR(CONCATENATE(VLOOKUP(A108,GM_Table,12,FALSE)," ",(VLOOKUP(A108,GM_Table,13,FALSE))),"")</f>
        <v/>
      </c>
    </row>
    <row r="109" spans="1:10" ht="15" x14ac:dyDescent="0.2">
      <c r="A109" s="145" t="s">
        <v>1036</v>
      </c>
      <c r="B109" s="145" t="s">
        <v>1036</v>
      </c>
      <c r="C109" s="264">
        <v>2</v>
      </c>
      <c r="D109" s="267">
        <v>6.9301000000000004</v>
      </c>
      <c r="E109" s="267">
        <v>-7.9621000000000004</v>
      </c>
      <c r="F109" s="122" t="b">
        <f>IF(ISBLANK(FarmUnit[[#This Row],[1. Identifiant interne d’exploitation agricole*]]),"",IF(ISERROR(MATCH(FarmUnit[[#This Row],[1. Identifiant interne d’exploitation agricole*]],GroupMember[1. Identifiant interne d’exploitation agricole*],0)),FALSE,TRUE))</f>
        <v>1</v>
      </c>
      <c r="G109" s="4">
        <f t="shared" si="3"/>
        <v>6.9301000000000004</v>
      </c>
      <c r="H109" s="4">
        <f t="shared" si="4"/>
        <v>-7.9621000000000004</v>
      </c>
      <c r="I109" s="20" t="str">
        <f t="array" ref="I109">IF(ISBLANK(C109),"",IF(C109=MAX(IF(FarmUnit[1. Identifiant interne d’exploitation agricole*]=A109,FarmUnit[3. Superficie de l’unité agricole (ha)*])),"!","-"))</f>
        <v>!</v>
      </c>
      <c r="J109" s="9" t="str">
        <f ca="1">IFERROR(CONCATENATE(VLOOKUP(A109,GM_Table,12,FALSE)," ",(VLOOKUP(A109,GM_Table,13,FALSE))),"")</f>
        <v/>
      </c>
    </row>
    <row r="110" spans="1:10" ht="15" x14ac:dyDescent="0.2">
      <c r="A110" s="145" t="s">
        <v>1038</v>
      </c>
      <c r="B110" s="145" t="s">
        <v>1038</v>
      </c>
      <c r="C110" s="264">
        <v>4</v>
      </c>
      <c r="D110" s="267">
        <v>6.9306999999999999</v>
      </c>
      <c r="E110" s="267">
        <v>-7.9667000000000003</v>
      </c>
      <c r="F110" s="122" t="b">
        <f>IF(ISBLANK(FarmUnit[[#This Row],[1. Identifiant interne d’exploitation agricole*]]),"",IF(ISERROR(MATCH(FarmUnit[[#This Row],[1. Identifiant interne d’exploitation agricole*]],GroupMember[1. Identifiant interne d’exploitation agricole*],0)),FALSE,TRUE))</f>
        <v>1</v>
      </c>
      <c r="G110" s="4">
        <f t="shared" si="3"/>
        <v>6.9306999999999999</v>
      </c>
      <c r="H110" s="4">
        <f t="shared" si="4"/>
        <v>-7.9667000000000003</v>
      </c>
      <c r="I110" s="20" t="str">
        <f t="array" ref="I110">IF(ISBLANK(C110),"",IF(C110=MAX(IF(FarmUnit[1. Identifiant interne d’exploitation agricole*]=A110,FarmUnit[3. Superficie de l’unité agricole (ha)*])),"!","-"))</f>
        <v>!</v>
      </c>
      <c r="J110" s="9" t="str">
        <f ca="1">IFERROR(CONCATENATE(VLOOKUP(A110,GM_Table,12,FALSE)," ",(VLOOKUP(A110,GM_Table,13,FALSE))),"")</f>
        <v/>
      </c>
    </row>
    <row r="111" spans="1:10" ht="15" x14ac:dyDescent="0.2">
      <c r="A111" s="145" t="s">
        <v>1040</v>
      </c>
      <c r="B111" s="145" t="s">
        <v>1040</v>
      </c>
      <c r="C111" s="264">
        <v>2.29</v>
      </c>
      <c r="D111" s="265">
        <v>7.0755999999999997</v>
      </c>
      <c r="E111" s="265">
        <v>-7.9771999999999998</v>
      </c>
      <c r="F111" s="122" t="b">
        <f>IF(ISBLANK(FarmUnit[[#This Row],[1. Identifiant interne d’exploitation agricole*]]),"",IF(ISERROR(MATCH(FarmUnit[[#This Row],[1. Identifiant interne d’exploitation agricole*]],GroupMember[1. Identifiant interne d’exploitation agricole*],0)),FALSE,TRUE))</f>
        <v>1</v>
      </c>
      <c r="G111" s="4">
        <f t="shared" si="3"/>
        <v>7.0755999999999997</v>
      </c>
      <c r="H111" s="4">
        <f t="shared" si="4"/>
        <v>-7.9771999999999998</v>
      </c>
      <c r="I111" s="20" t="str">
        <f t="array" ref="I111">IF(ISBLANK(C111),"",IF(C111=MAX(IF(FarmUnit[1. Identifiant interne d’exploitation agricole*]=A111,FarmUnit[3. Superficie de l’unité agricole (ha)*])),"!","-"))</f>
        <v>!</v>
      </c>
      <c r="J111" s="9" t="str">
        <f ca="1">IFERROR(CONCATENATE(VLOOKUP(A111,GM_Table,12,FALSE)," ",(VLOOKUP(A111,GM_Table,13,FALSE))),"")</f>
        <v/>
      </c>
    </row>
    <row r="112" spans="1:10" ht="15" x14ac:dyDescent="0.2">
      <c r="A112" s="145" t="s">
        <v>1043</v>
      </c>
      <c r="B112" s="145" t="s">
        <v>1043</v>
      </c>
      <c r="C112" s="264">
        <v>3</v>
      </c>
      <c r="D112" s="265">
        <v>6.9107000000000003</v>
      </c>
      <c r="E112" s="265">
        <v>-7.9671000000000003</v>
      </c>
      <c r="F112" s="122" t="b">
        <f>IF(ISBLANK(FarmUnit[[#This Row],[1. Identifiant interne d’exploitation agricole*]]),"",IF(ISERROR(MATCH(FarmUnit[[#This Row],[1. Identifiant interne d’exploitation agricole*]],GroupMember[1. Identifiant interne d’exploitation agricole*],0)),FALSE,TRUE))</f>
        <v>1</v>
      </c>
      <c r="G112" s="4">
        <f t="shared" si="3"/>
        <v>6.9107000000000003</v>
      </c>
      <c r="H112" s="4">
        <f t="shared" si="4"/>
        <v>-7.9671000000000003</v>
      </c>
      <c r="I112" s="20" t="str">
        <f t="array" ref="I112">IF(ISBLANK(C112),"",IF(C112=MAX(IF(FarmUnit[1. Identifiant interne d’exploitation agricole*]=A112,FarmUnit[3. Superficie de l’unité agricole (ha)*])),"!","-"))</f>
        <v>!</v>
      </c>
      <c r="J112" s="9" t="str">
        <f ca="1">IFERROR(CONCATENATE(VLOOKUP(A112,GM_Table,12,FALSE)," ",(VLOOKUP(A112,GM_Table,13,FALSE))),"")</f>
        <v/>
      </c>
    </row>
    <row r="113" spans="1:10" ht="15" x14ac:dyDescent="0.2">
      <c r="A113" s="145" t="s">
        <v>1046</v>
      </c>
      <c r="B113" s="145" t="s">
        <v>1046</v>
      </c>
      <c r="C113" s="264">
        <v>1.23</v>
      </c>
      <c r="D113" s="265">
        <v>7.1108000000000002</v>
      </c>
      <c r="E113" s="265">
        <v>-7.9763999999999999</v>
      </c>
      <c r="F113" s="122" t="b">
        <f>IF(ISBLANK(FarmUnit[[#This Row],[1. Identifiant interne d’exploitation agricole*]]),"",IF(ISERROR(MATCH(FarmUnit[[#This Row],[1. Identifiant interne d’exploitation agricole*]],GroupMember[1. Identifiant interne d’exploitation agricole*],0)),FALSE,TRUE))</f>
        <v>1</v>
      </c>
      <c r="G113" s="4">
        <f t="shared" si="3"/>
        <v>7.1108000000000002</v>
      </c>
      <c r="H113" s="4">
        <f t="shared" si="4"/>
        <v>-7.9763999999999999</v>
      </c>
      <c r="I113" s="20" t="str">
        <f t="array" ref="I113">IF(ISBLANK(C113),"",IF(C113=MAX(IF(FarmUnit[1. Identifiant interne d’exploitation agricole*]=A113,FarmUnit[3. Superficie de l’unité agricole (ha)*])),"!","-"))</f>
        <v>!</v>
      </c>
      <c r="J113" s="9" t="str">
        <f ca="1">IFERROR(CONCATENATE(VLOOKUP(A113,GM_Table,12,FALSE)," ",(VLOOKUP(A113,GM_Table,13,FALSE))),"")</f>
        <v/>
      </c>
    </row>
    <row r="114" spans="1:10" ht="15" x14ac:dyDescent="0.2">
      <c r="A114" s="145" t="s">
        <v>1049</v>
      </c>
      <c r="B114" s="145" t="s">
        <v>1049</v>
      </c>
      <c r="C114" s="264">
        <v>1.31</v>
      </c>
      <c r="D114" s="265">
        <v>7.1106999999999996</v>
      </c>
      <c r="E114" s="265">
        <v>-7.9766000000000004</v>
      </c>
      <c r="F114" s="122" t="b">
        <f>IF(ISBLANK(FarmUnit[[#This Row],[1. Identifiant interne d’exploitation agricole*]]),"",IF(ISERROR(MATCH(FarmUnit[[#This Row],[1. Identifiant interne d’exploitation agricole*]],GroupMember[1. Identifiant interne d’exploitation agricole*],0)),FALSE,TRUE))</f>
        <v>1</v>
      </c>
      <c r="G114" s="4">
        <f t="shared" si="3"/>
        <v>7.1106999999999996</v>
      </c>
      <c r="H114" s="4">
        <f t="shared" si="4"/>
        <v>-7.9766000000000004</v>
      </c>
      <c r="I114" s="20" t="str">
        <f t="array" ref="I114">IF(ISBLANK(C114),"",IF(C114=MAX(IF(FarmUnit[1. Identifiant interne d’exploitation agricole*]=A114,FarmUnit[3. Superficie de l’unité agricole (ha)*])),"!","-"))</f>
        <v>!</v>
      </c>
      <c r="J114" s="9" t="str">
        <f ca="1">IFERROR(CONCATENATE(VLOOKUP(A114,GM_Table,12,FALSE)," ",(VLOOKUP(A114,GM_Table,13,FALSE))),"")</f>
        <v/>
      </c>
    </row>
    <row r="115" spans="1:10" ht="15" x14ac:dyDescent="0.2">
      <c r="A115" s="145" t="s">
        <v>1051</v>
      </c>
      <c r="B115" s="145" t="s">
        <v>1051</v>
      </c>
      <c r="C115" s="264">
        <v>3.38</v>
      </c>
      <c r="D115" s="265">
        <v>6.9122000000000003</v>
      </c>
      <c r="E115" s="265">
        <v>-8.1858000000000004</v>
      </c>
      <c r="F115" s="122" t="b">
        <f>IF(ISBLANK(FarmUnit[[#This Row],[1. Identifiant interne d’exploitation agricole*]]),"",IF(ISERROR(MATCH(FarmUnit[[#This Row],[1. Identifiant interne d’exploitation agricole*]],GroupMember[1. Identifiant interne d’exploitation agricole*],0)),FALSE,TRUE))</f>
        <v>1</v>
      </c>
      <c r="G115" s="4">
        <f t="shared" ref="G115:G178" si="5">IF(D115=0,"",D115)</f>
        <v>6.9122000000000003</v>
      </c>
      <c r="H115" s="4">
        <f t="shared" ref="H115:H178" si="6">IF(E115=0,"",E115)</f>
        <v>-8.1858000000000004</v>
      </c>
      <c r="I115" s="20" t="str">
        <f t="array" ref="I115">IF(ISBLANK(C115),"",IF(C115=MAX(IF(FarmUnit[1. Identifiant interne d’exploitation agricole*]=A115,FarmUnit[3. Superficie de l’unité agricole (ha)*])),"!","-"))</f>
        <v>!</v>
      </c>
      <c r="J115" s="9" t="str">
        <f ca="1">IFERROR(CONCATENATE(VLOOKUP(A115,GM_Table,12,FALSE)," ",(VLOOKUP(A115,GM_Table,13,FALSE))),"")</f>
        <v/>
      </c>
    </row>
    <row r="116" spans="1:10" ht="15" x14ac:dyDescent="0.2">
      <c r="A116" s="145" t="s">
        <v>1054</v>
      </c>
      <c r="B116" s="145" t="s">
        <v>1054</v>
      </c>
      <c r="C116" s="264">
        <v>3.41</v>
      </c>
      <c r="D116" s="265">
        <v>6.9008000000000003</v>
      </c>
      <c r="E116" s="265">
        <v>-7.9633000000000003</v>
      </c>
      <c r="F116" s="122" t="b">
        <f>IF(ISBLANK(FarmUnit[[#This Row],[1. Identifiant interne d’exploitation agricole*]]),"",IF(ISERROR(MATCH(FarmUnit[[#This Row],[1. Identifiant interne d’exploitation agricole*]],GroupMember[1. Identifiant interne d’exploitation agricole*],0)),FALSE,TRUE))</f>
        <v>1</v>
      </c>
      <c r="G116" s="4">
        <f t="shared" si="5"/>
        <v>6.9008000000000003</v>
      </c>
      <c r="H116" s="4">
        <f t="shared" si="6"/>
        <v>-7.9633000000000003</v>
      </c>
      <c r="I116" s="20" t="str">
        <f t="array" ref="I116">IF(ISBLANK(C116),"",IF(C116=MAX(IF(FarmUnit[1. Identifiant interne d’exploitation agricole*]=A116,FarmUnit[3. Superficie de l’unité agricole (ha)*])),"!","-"))</f>
        <v>!</v>
      </c>
      <c r="J116" s="9" t="str">
        <f ca="1">IFERROR(CONCATENATE(VLOOKUP(A116,GM_Table,12,FALSE)," ",(VLOOKUP(A116,GM_Table,13,FALSE))),"")</f>
        <v/>
      </c>
    </row>
    <row r="117" spans="1:10" ht="15" x14ac:dyDescent="0.2">
      <c r="A117" s="145" t="s">
        <v>1058</v>
      </c>
      <c r="B117" s="145" t="s">
        <v>1058</v>
      </c>
      <c r="C117" s="264">
        <v>2.79</v>
      </c>
      <c r="D117" s="265">
        <v>6.9805999999999999</v>
      </c>
      <c r="E117" s="265">
        <v>-8.1496999999999993</v>
      </c>
      <c r="F117" s="122" t="b">
        <f>IF(ISBLANK(FarmUnit[[#This Row],[1. Identifiant interne d’exploitation agricole*]]),"",IF(ISERROR(MATCH(FarmUnit[[#This Row],[1. Identifiant interne d’exploitation agricole*]],GroupMember[1. Identifiant interne d’exploitation agricole*],0)),FALSE,TRUE))</f>
        <v>1</v>
      </c>
      <c r="G117" s="4">
        <f t="shared" si="5"/>
        <v>6.9805999999999999</v>
      </c>
      <c r="H117" s="4">
        <f t="shared" si="6"/>
        <v>-8.1496999999999993</v>
      </c>
      <c r="I117" s="20" t="str">
        <f t="array" ref="I117">IF(ISBLANK(C117),"",IF(C117=MAX(IF(FarmUnit[1. Identifiant interne d’exploitation agricole*]=A117,FarmUnit[3. Superficie de l’unité agricole (ha)*])),"!","-"))</f>
        <v>!</v>
      </c>
      <c r="J117" s="9" t="str">
        <f ca="1">IFERROR(CONCATENATE(VLOOKUP(A117,GM_Table,12,FALSE)," ",(VLOOKUP(A117,GM_Table,13,FALSE))),"")</f>
        <v/>
      </c>
    </row>
    <row r="118" spans="1:10" ht="15" x14ac:dyDescent="0.2">
      <c r="A118" s="145" t="s">
        <v>1062</v>
      </c>
      <c r="B118" s="145" t="s">
        <v>1062</v>
      </c>
      <c r="C118" s="264">
        <v>1.55</v>
      </c>
      <c r="D118" s="265">
        <v>6.8867000000000003</v>
      </c>
      <c r="E118" s="265">
        <v>-7.9347000000000003</v>
      </c>
      <c r="F118" s="122" t="b">
        <f>IF(ISBLANK(FarmUnit[[#This Row],[1. Identifiant interne d’exploitation agricole*]]),"",IF(ISERROR(MATCH(FarmUnit[[#This Row],[1. Identifiant interne d’exploitation agricole*]],GroupMember[1. Identifiant interne d’exploitation agricole*],0)),FALSE,TRUE))</f>
        <v>1</v>
      </c>
      <c r="G118" s="4">
        <f t="shared" si="5"/>
        <v>6.8867000000000003</v>
      </c>
      <c r="H118" s="4">
        <f t="shared" si="6"/>
        <v>-7.9347000000000003</v>
      </c>
      <c r="I118" s="20" t="str">
        <f t="array" ref="I118">IF(ISBLANK(C118),"",IF(C118=MAX(IF(FarmUnit[1. Identifiant interne d’exploitation agricole*]=A118,FarmUnit[3. Superficie de l’unité agricole (ha)*])),"!","-"))</f>
        <v>!</v>
      </c>
      <c r="J118" s="9" t="str">
        <f ca="1">IFERROR(CONCATENATE(VLOOKUP(A118,GM_Table,12,FALSE)," ",(VLOOKUP(A118,GM_Table,13,FALSE))),"")</f>
        <v/>
      </c>
    </row>
    <row r="119" spans="1:10" ht="15" x14ac:dyDescent="0.2">
      <c r="A119" s="145" t="s">
        <v>1066</v>
      </c>
      <c r="B119" s="145" t="s">
        <v>1066</v>
      </c>
      <c r="C119" s="264">
        <v>1.29</v>
      </c>
      <c r="D119" s="265">
        <v>6.8860999999999999</v>
      </c>
      <c r="E119" s="265">
        <v>-7.9349999999999996</v>
      </c>
      <c r="F119" s="122" t="b">
        <f>IF(ISBLANK(FarmUnit[[#This Row],[1. Identifiant interne d’exploitation agricole*]]),"",IF(ISERROR(MATCH(FarmUnit[[#This Row],[1. Identifiant interne d’exploitation agricole*]],GroupMember[1. Identifiant interne d’exploitation agricole*],0)),FALSE,TRUE))</f>
        <v>1</v>
      </c>
      <c r="G119" s="4">
        <f t="shared" si="5"/>
        <v>6.8860999999999999</v>
      </c>
      <c r="H119" s="4">
        <f t="shared" si="6"/>
        <v>-7.9349999999999996</v>
      </c>
      <c r="I119" s="20" t="str">
        <f t="array" ref="I119">IF(ISBLANK(C119),"",IF(C119=MAX(IF(FarmUnit[1. Identifiant interne d’exploitation agricole*]=A119,FarmUnit[3. Superficie de l’unité agricole (ha)*])),"!","-"))</f>
        <v>!</v>
      </c>
      <c r="J119" s="9" t="str">
        <f ca="1">IFERROR(CONCATENATE(VLOOKUP(A119,GM_Table,12,FALSE)," ",(VLOOKUP(A119,GM_Table,13,FALSE))),"")</f>
        <v/>
      </c>
    </row>
    <row r="120" spans="1:10" ht="15" x14ac:dyDescent="0.2">
      <c r="A120" s="145" t="s">
        <v>1069</v>
      </c>
      <c r="B120" s="145" t="s">
        <v>1069</v>
      </c>
      <c r="C120" s="264">
        <v>2.93</v>
      </c>
      <c r="D120" s="265">
        <v>6.8871000000000002</v>
      </c>
      <c r="E120" s="265">
        <v>-7.9364999999999997</v>
      </c>
      <c r="F120" s="122" t="b">
        <f>IF(ISBLANK(FarmUnit[[#This Row],[1. Identifiant interne d’exploitation agricole*]]),"",IF(ISERROR(MATCH(FarmUnit[[#This Row],[1. Identifiant interne d’exploitation agricole*]],GroupMember[1. Identifiant interne d’exploitation agricole*],0)),FALSE,TRUE))</f>
        <v>1</v>
      </c>
      <c r="G120" s="4">
        <f t="shared" si="5"/>
        <v>6.8871000000000002</v>
      </c>
      <c r="H120" s="4">
        <f t="shared" si="6"/>
        <v>-7.9364999999999997</v>
      </c>
      <c r="I120" s="20" t="str">
        <f t="array" ref="I120">IF(ISBLANK(C120),"",IF(C120=MAX(IF(FarmUnit[1. Identifiant interne d’exploitation agricole*]=A120,FarmUnit[3. Superficie de l’unité agricole (ha)*])),"!","-"))</f>
        <v>!</v>
      </c>
      <c r="J120" s="9" t="str">
        <f ca="1">IFERROR(CONCATENATE(VLOOKUP(A120,GM_Table,12,FALSE)," ",(VLOOKUP(A120,GM_Table,13,FALSE))),"")</f>
        <v/>
      </c>
    </row>
    <row r="121" spans="1:10" ht="15" x14ac:dyDescent="0.2">
      <c r="A121" s="145" t="s">
        <v>1073</v>
      </c>
      <c r="B121" s="145" t="s">
        <v>1073</v>
      </c>
      <c r="C121" s="264">
        <v>2.7</v>
      </c>
      <c r="D121" s="265">
        <v>6.9635999999999996</v>
      </c>
      <c r="E121" s="265">
        <v>-8.1819000000000006</v>
      </c>
      <c r="F121" s="122" t="b">
        <f>IF(ISBLANK(FarmUnit[[#This Row],[1. Identifiant interne d’exploitation agricole*]]),"",IF(ISERROR(MATCH(FarmUnit[[#This Row],[1. Identifiant interne d’exploitation agricole*]],GroupMember[1. Identifiant interne d’exploitation agricole*],0)),FALSE,TRUE))</f>
        <v>1</v>
      </c>
      <c r="G121" s="4">
        <f t="shared" si="5"/>
        <v>6.9635999999999996</v>
      </c>
      <c r="H121" s="4">
        <f t="shared" si="6"/>
        <v>-8.1819000000000006</v>
      </c>
      <c r="I121" s="20" t="str">
        <f t="array" ref="I121">IF(ISBLANK(C121),"",IF(C121=MAX(IF(FarmUnit[1. Identifiant interne d’exploitation agricole*]=A121,FarmUnit[3. Superficie de l’unité agricole (ha)*])),"!","-"))</f>
        <v>!</v>
      </c>
      <c r="J121" s="9" t="str">
        <f ca="1">IFERROR(CONCATENATE(VLOOKUP(A121,GM_Table,12,FALSE)," ",(VLOOKUP(A121,GM_Table,13,FALSE))),"")</f>
        <v/>
      </c>
    </row>
    <row r="122" spans="1:10" ht="15" x14ac:dyDescent="0.2">
      <c r="A122" s="145" t="s">
        <v>1077</v>
      </c>
      <c r="B122" s="145" t="s">
        <v>1077</v>
      </c>
      <c r="C122" s="264">
        <v>2</v>
      </c>
      <c r="D122" s="265">
        <v>6.8888999999999996</v>
      </c>
      <c r="E122" s="265">
        <v>-7.9302999999999999</v>
      </c>
      <c r="F122" s="122" t="b">
        <f>IF(ISBLANK(FarmUnit[[#This Row],[1. Identifiant interne d’exploitation agricole*]]),"",IF(ISERROR(MATCH(FarmUnit[[#This Row],[1. Identifiant interne d’exploitation agricole*]],GroupMember[1. Identifiant interne d’exploitation agricole*],0)),FALSE,TRUE))</f>
        <v>1</v>
      </c>
      <c r="G122" s="4">
        <f t="shared" si="5"/>
        <v>6.8888999999999996</v>
      </c>
      <c r="H122" s="4">
        <f t="shared" si="6"/>
        <v>-7.9302999999999999</v>
      </c>
      <c r="I122" s="20" t="str">
        <f t="array" ref="I122">IF(ISBLANK(C122),"",IF(C122=MAX(IF(FarmUnit[1. Identifiant interne d’exploitation agricole*]=A122,FarmUnit[3. Superficie de l’unité agricole (ha)*])),"!","-"))</f>
        <v>!</v>
      </c>
      <c r="J122" s="9" t="str">
        <f ca="1">IFERROR(CONCATENATE(VLOOKUP(A122,GM_Table,12,FALSE)," ",(VLOOKUP(A122,GM_Table,13,FALSE))),"")</f>
        <v/>
      </c>
    </row>
    <row r="123" spans="1:10" ht="15" x14ac:dyDescent="0.2">
      <c r="A123" s="145" t="s">
        <v>1080</v>
      </c>
      <c r="B123" s="145" t="s">
        <v>1080</v>
      </c>
      <c r="C123" s="264">
        <v>1.06</v>
      </c>
      <c r="D123" s="265">
        <v>6.9837999999999996</v>
      </c>
      <c r="E123" s="265">
        <v>-8.1693999999999996</v>
      </c>
      <c r="F123" s="122" t="b">
        <f>IF(ISBLANK(FarmUnit[[#This Row],[1. Identifiant interne d’exploitation agricole*]]),"",IF(ISERROR(MATCH(FarmUnit[[#This Row],[1. Identifiant interne d’exploitation agricole*]],GroupMember[1. Identifiant interne d’exploitation agricole*],0)),FALSE,TRUE))</f>
        <v>1</v>
      </c>
      <c r="G123" s="4">
        <f t="shared" si="5"/>
        <v>6.9837999999999996</v>
      </c>
      <c r="H123" s="4">
        <f t="shared" si="6"/>
        <v>-8.1693999999999996</v>
      </c>
      <c r="I123" s="20" t="str">
        <f t="array" ref="I123">IF(ISBLANK(C123),"",IF(C123=MAX(IF(FarmUnit[1. Identifiant interne d’exploitation agricole*]=A123,FarmUnit[3. Superficie de l’unité agricole (ha)*])),"!","-"))</f>
        <v>!</v>
      </c>
      <c r="J123" s="9" t="str">
        <f ca="1">IFERROR(CONCATENATE(VLOOKUP(A123,GM_Table,12,FALSE)," ",(VLOOKUP(A123,GM_Table,13,FALSE))),"")</f>
        <v/>
      </c>
    </row>
    <row r="124" spans="1:10" ht="15" x14ac:dyDescent="0.2">
      <c r="A124" s="145" t="s">
        <v>1084</v>
      </c>
      <c r="B124" s="145" t="s">
        <v>1084</v>
      </c>
      <c r="C124" s="264">
        <v>2.4900000000000002</v>
      </c>
      <c r="D124" s="265">
        <v>6.8727</v>
      </c>
      <c r="E124" s="265">
        <v>-8.23</v>
      </c>
      <c r="F124" s="122" t="b">
        <f>IF(ISBLANK(FarmUnit[[#This Row],[1. Identifiant interne d’exploitation agricole*]]),"",IF(ISERROR(MATCH(FarmUnit[[#This Row],[1. Identifiant interne d’exploitation agricole*]],GroupMember[1. Identifiant interne d’exploitation agricole*],0)),FALSE,TRUE))</f>
        <v>1</v>
      </c>
      <c r="G124" s="4">
        <f t="shared" si="5"/>
        <v>6.8727</v>
      </c>
      <c r="H124" s="4">
        <f t="shared" si="6"/>
        <v>-8.23</v>
      </c>
      <c r="I124" s="20" t="str">
        <f t="array" ref="I124">IF(ISBLANK(C124),"",IF(C124=MAX(IF(FarmUnit[1. Identifiant interne d’exploitation agricole*]=A124,FarmUnit[3. Superficie de l’unité agricole (ha)*])),"!","-"))</f>
        <v>!</v>
      </c>
      <c r="J124" s="9" t="str">
        <f ca="1">IFERROR(CONCATENATE(VLOOKUP(A124,GM_Table,12,FALSE)," ",(VLOOKUP(A124,GM_Table,13,FALSE))),"")</f>
        <v/>
      </c>
    </row>
    <row r="125" spans="1:10" ht="15" x14ac:dyDescent="0.2">
      <c r="A125" s="145" t="s">
        <v>1085</v>
      </c>
      <c r="B125" s="145" t="s">
        <v>1085</v>
      </c>
      <c r="C125" s="264">
        <v>2.02</v>
      </c>
      <c r="D125" s="265">
        <v>6.9005000000000001</v>
      </c>
      <c r="E125" s="265">
        <v>-7.9493</v>
      </c>
      <c r="F125" s="122" t="b">
        <f>IF(ISBLANK(FarmUnit[[#This Row],[1. Identifiant interne d’exploitation agricole*]]),"",IF(ISERROR(MATCH(FarmUnit[[#This Row],[1. Identifiant interne d’exploitation agricole*]],GroupMember[1. Identifiant interne d’exploitation agricole*],0)),FALSE,TRUE))</f>
        <v>1</v>
      </c>
      <c r="G125" s="4">
        <f t="shared" si="5"/>
        <v>6.9005000000000001</v>
      </c>
      <c r="H125" s="4">
        <f t="shared" si="6"/>
        <v>-7.9493</v>
      </c>
      <c r="I125" s="20" t="str">
        <f t="array" ref="I125">IF(ISBLANK(C125),"",IF(C125=MAX(IF(FarmUnit[1. Identifiant interne d’exploitation agricole*]=A125,FarmUnit[3. Superficie de l’unité agricole (ha)*])),"!","-"))</f>
        <v>!</v>
      </c>
      <c r="J125" s="9" t="str">
        <f ca="1">IFERROR(CONCATENATE(VLOOKUP(A125,GM_Table,12,FALSE)," ",(VLOOKUP(A125,GM_Table,13,FALSE))),"")</f>
        <v/>
      </c>
    </row>
    <row r="126" spans="1:10" ht="15" x14ac:dyDescent="0.2">
      <c r="A126" s="145" t="s">
        <v>1089</v>
      </c>
      <c r="B126" s="145" t="s">
        <v>1089</v>
      </c>
      <c r="C126" s="264">
        <v>4.1100000000000003</v>
      </c>
      <c r="D126" s="265">
        <v>6.9263000000000003</v>
      </c>
      <c r="E126" s="265">
        <v>-8.0231999999999992</v>
      </c>
      <c r="F126" s="122" t="b">
        <f>IF(ISBLANK(FarmUnit[[#This Row],[1. Identifiant interne d’exploitation agricole*]]),"",IF(ISERROR(MATCH(FarmUnit[[#This Row],[1. Identifiant interne d’exploitation agricole*]],GroupMember[1. Identifiant interne d’exploitation agricole*],0)),FALSE,TRUE))</f>
        <v>1</v>
      </c>
      <c r="G126" s="4">
        <f t="shared" si="5"/>
        <v>6.9263000000000003</v>
      </c>
      <c r="H126" s="4">
        <f t="shared" si="6"/>
        <v>-8.0231999999999992</v>
      </c>
      <c r="I126" s="20" t="str">
        <f t="array" ref="I126">IF(ISBLANK(C126),"",IF(C126=MAX(IF(FarmUnit[1. Identifiant interne d’exploitation agricole*]=A126,FarmUnit[3. Superficie de l’unité agricole (ha)*])),"!","-"))</f>
        <v>!</v>
      </c>
      <c r="J126" s="9" t="str">
        <f ca="1">IFERROR(CONCATENATE(VLOOKUP(A126,GM_Table,12,FALSE)," ",(VLOOKUP(A126,GM_Table,13,FALSE))),"")</f>
        <v/>
      </c>
    </row>
    <row r="127" spans="1:10" ht="15" x14ac:dyDescent="0.2">
      <c r="A127" s="145" t="s">
        <v>1093</v>
      </c>
      <c r="B127" s="145" t="s">
        <v>1093</v>
      </c>
      <c r="C127" s="264">
        <v>2</v>
      </c>
      <c r="D127" s="265">
        <v>6.9002999999999997</v>
      </c>
      <c r="E127" s="265">
        <v>-7.9396000000000004</v>
      </c>
      <c r="F127" s="122" t="b">
        <f>IF(ISBLANK(FarmUnit[[#This Row],[1. Identifiant interne d’exploitation agricole*]]),"",IF(ISERROR(MATCH(FarmUnit[[#This Row],[1. Identifiant interne d’exploitation agricole*]],GroupMember[1. Identifiant interne d’exploitation agricole*],0)),FALSE,TRUE))</f>
        <v>1</v>
      </c>
      <c r="G127" s="4">
        <f t="shared" si="5"/>
        <v>6.9002999999999997</v>
      </c>
      <c r="H127" s="4">
        <f t="shared" si="6"/>
        <v>-7.9396000000000004</v>
      </c>
      <c r="I127" s="20" t="str">
        <f t="array" ref="I127">IF(ISBLANK(C127),"",IF(C127=MAX(IF(FarmUnit[1. Identifiant interne d’exploitation agricole*]=A127,FarmUnit[3. Superficie de l’unité agricole (ha)*])),"!","-"))</f>
        <v>!</v>
      </c>
      <c r="J127" s="9" t="str">
        <f ca="1">IFERROR(CONCATENATE(VLOOKUP(A127,GM_Table,12,FALSE)," ",(VLOOKUP(A127,GM_Table,13,FALSE))),"")</f>
        <v/>
      </c>
    </row>
    <row r="128" spans="1:10" ht="15" x14ac:dyDescent="0.2">
      <c r="A128" s="145" t="s">
        <v>1095</v>
      </c>
      <c r="B128" s="145" t="s">
        <v>1095</v>
      </c>
      <c r="C128" s="264">
        <v>5</v>
      </c>
      <c r="D128" s="265">
        <v>6.9112</v>
      </c>
      <c r="E128" s="265">
        <v>-7.9268000000000001</v>
      </c>
      <c r="F128" s="122" t="b">
        <f>IF(ISBLANK(FarmUnit[[#This Row],[1. Identifiant interne d’exploitation agricole*]]),"",IF(ISERROR(MATCH(FarmUnit[[#This Row],[1. Identifiant interne d’exploitation agricole*]],GroupMember[1. Identifiant interne d’exploitation agricole*],0)),FALSE,TRUE))</f>
        <v>1</v>
      </c>
      <c r="G128" s="4">
        <f t="shared" si="5"/>
        <v>6.9112</v>
      </c>
      <c r="H128" s="4">
        <f t="shared" si="6"/>
        <v>-7.9268000000000001</v>
      </c>
      <c r="I128" s="20" t="str">
        <f t="array" ref="I128">IF(ISBLANK(C128),"",IF(C128=MAX(IF(FarmUnit[1. Identifiant interne d’exploitation agricole*]=A128,FarmUnit[3. Superficie de l’unité agricole (ha)*])),"!","-"))</f>
        <v>!</v>
      </c>
      <c r="J128" s="9" t="str">
        <f ca="1">IFERROR(CONCATENATE(VLOOKUP(A128,GM_Table,12,FALSE)," ",(VLOOKUP(A128,GM_Table,13,FALSE))),"")</f>
        <v/>
      </c>
    </row>
    <row r="129" spans="1:10" ht="15" x14ac:dyDescent="0.2">
      <c r="A129" s="145" t="s">
        <v>1097</v>
      </c>
      <c r="B129" s="145" t="s">
        <v>1097</v>
      </c>
      <c r="C129" s="264">
        <v>6.58</v>
      </c>
      <c r="D129" s="265">
        <v>6.9212999999999996</v>
      </c>
      <c r="E129" s="265">
        <v>-8.1522000000000006</v>
      </c>
      <c r="F129" s="122" t="b">
        <f>IF(ISBLANK(FarmUnit[[#This Row],[1. Identifiant interne d’exploitation agricole*]]),"",IF(ISERROR(MATCH(FarmUnit[[#This Row],[1. Identifiant interne d’exploitation agricole*]],GroupMember[1. Identifiant interne d’exploitation agricole*],0)),FALSE,TRUE))</f>
        <v>1</v>
      </c>
      <c r="G129" s="4">
        <f t="shared" si="5"/>
        <v>6.9212999999999996</v>
      </c>
      <c r="H129" s="4">
        <f t="shared" si="6"/>
        <v>-8.1522000000000006</v>
      </c>
      <c r="I129" s="20" t="str">
        <f t="array" ref="I129">IF(ISBLANK(C129),"",IF(C129=MAX(IF(FarmUnit[1. Identifiant interne d’exploitation agricole*]=A129,FarmUnit[3. Superficie de l’unité agricole (ha)*])),"!","-"))</f>
        <v>!</v>
      </c>
      <c r="J129" s="9" t="str">
        <f ca="1">IFERROR(CONCATENATE(VLOOKUP(A129,GM_Table,12,FALSE)," ",(VLOOKUP(A129,GM_Table,13,FALSE))),"")</f>
        <v/>
      </c>
    </row>
    <row r="130" spans="1:10" ht="15" x14ac:dyDescent="0.2">
      <c r="A130" s="145" t="s">
        <v>1100</v>
      </c>
      <c r="B130" s="145" t="s">
        <v>1100</v>
      </c>
      <c r="C130" s="264">
        <v>1.18</v>
      </c>
      <c r="D130" s="265">
        <v>7.0711000000000004</v>
      </c>
      <c r="E130" s="265">
        <v>-8.0958000000000006</v>
      </c>
      <c r="F130" s="122" t="b">
        <f>IF(ISBLANK(FarmUnit[[#This Row],[1. Identifiant interne d’exploitation agricole*]]),"",IF(ISERROR(MATCH(FarmUnit[[#This Row],[1. Identifiant interne d’exploitation agricole*]],GroupMember[1. Identifiant interne d’exploitation agricole*],0)),FALSE,TRUE))</f>
        <v>1</v>
      </c>
      <c r="G130" s="4">
        <f t="shared" si="5"/>
        <v>7.0711000000000004</v>
      </c>
      <c r="H130" s="4">
        <f t="shared" si="6"/>
        <v>-8.0958000000000006</v>
      </c>
      <c r="I130" s="20" t="str">
        <f t="array" ref="I130">IF(ISBLANK(C130),"",IF(C130=MAX(IF(FarmUnit[1. Identifiant interne d’exploitation agricole*]=A130,FarmUnit[3. Superficie de l’unité agricole (ha)*])),"!","-"))</f>
        <v>!</v>
      </c>
      <c r="J130" s="9" t="str">
        <f ca="1">IFERROR(CONCATENATE(VLOOKUP(A130,GM_Table,12,FALSE)," ",(VLOOKUP(A130,GM_Table,13,FALSE))),"")</f>
        <v/>
      </c>
    </row>
    <row r="131" spans="1:10" ht="15" x14ac:dyDescent="0.2">
      <c r="A131" s="145" t="s">
        <v>1103</v>
      </c>
      <c r="B131" s="145" t="s">
        <v>1103</v>
      </c>
      <c r="C131" s="264">
        <v>2.44</v>
      </c>
      <c r="D131" s="265">
        <v>6.9863</v>
      </c>
      <c r="E131" s="265">
        <v>-8.1268999999999991</v>
      </c>
      <c r="F131" s="122" t="b">
        <f>IF(ISBLANK(FarmUnit[[#This Row],[1. Identifiant interne d’exploitation agricole*]]),"",IF(ISERROR(MATCH(FarmUnit[[#This Row],[1. Identifiant interne d’exploitation agricole*]],GroupMember[1. Identifiant interne d’exploitation agricole*],0)),FALSE,TRUE))</f>
        <v>1</v>
      </c>
      <c r="G131" s="4">
        <f t="shared" si="5"/>
        <v>6.9863</v>
      </c>
      <c r="H131" s="4">
        <f t="shared" si="6"/>
        <v>-8.1268999999999991</v>
      </c>
      <c r="I131" s="20" t="str">
        <f t="array" ref="I131">IF(ISBLANK(C131),"",IF(C131=MAX(IF(FarmUnit[1. Identifiant interne d’exploitation agricole*]=A131,FarmUnit[3. Superficie de l’unité agricole (ha)*])),"!","-"))</f>
        <v>!</v>
      </c>
      <c r="J131" s="9" t="str">
        <f ca="1">IFERROR(CONCATENATE(VLOOKUP(A131,GM_Table,12,FALSE)," ",(VLOOKUP(A131,GM_Table,13,FALSE))),"")</f>
        <v/>
      </c>
    </row>
    <row r="132" spans="1:10" ht="15" x14ac:dyDescent="0.2">
      <c r="A132" s="145" t="s">
        <v>1106</v>
      </c>
      <c r="B132" s="145" t="s">
        <v>1106</v>
      </c>
      <c r="C132" s="264">
        <v>2.61</v>
      </c>
      <c r="D132" s="265">
        <v>6.9349999999999996</v>
      </c>
      <c r="E132" s="265">
        <v>-8.1974999999999998</v>
      </c>
      <c r="F132" s="122" t="b">
        <f>IF(ISBLANK(FarmUnit[[#This Row],[1. Identifiant interne d’exploitation agricole*]]),"",IF(ISERROR(MATCH(FarmUnit[[#This Row],[1. Identifiant interne d’exploitation agricole*]],GroupMember[1. Identifiant interne d’exploitation agricole*],0)),FALSE,TRUE))</f>
        <v>1</v>
      </c>
      <c r="G132" s="4">
        <f t="shared" si="5"/>
        <v>6.9349999999999996</v>
      </c>
      <c r="H132" s="4">
        <f t="shared" si="6"/>
        <v>-8.1974999999999998</v>
      </c>
      <c r="I132" s="20" t="str">
        <f t="array" ref="I132">IF(ISBLANK(C132),"",IF(C132=MAX(IF(FarmUnit[1. Identifiant interne d’exploitation agricole*]=A132,FarmUnit[3. Superficie de l’unité agricole (ha)*])),"!","-"))</f>
        <v>!</v>
      </c>
      <c r="J132" s="9" t="str">
        <f ca="1">IFERROR(CONCATENATE(VLOOKUP(A132,GM_Table,12,FALSE)," ",(VLOOKUP(A132,GM_Table,13,FALSE))),"")</f>
        <v/>
      </c>
    </row>
    <row r="133" spans="1:10" ht="15" x14ac:dyDescent="0.2">
      <c r="A133" s="145" t="s">
        <v>1109</v>
      </c>
      <c r="B133" s="145" t="s">
        <v>1109</v>
      </c>
      <c r="C133" s="264">
        <v>2.0499999999999998</v>
      </c>
      <c r="D133" s="265">
        <v>6.9236000000000004</v>
      </c>
      <c r="E133" s="265">
        <v>-8.0657999999999994</v>
      </c>
      <c r="F133" s="122" t="b">
        <f>IF(ISBLANK(FarmUnit[[#This Row],[1. Identifiant interne d’exploitation agricole*]]),"",IF(ISERROR(MATCH(FarmUnit[[#This Row],[1. Identifiant interne d’exploitation agricole*]],GroupMember[1. Identifiant interne d’exploitation agricole*],0)),FALSE,TRUE))</f>
        <v>1</v>
      </c>
      <c r="G133" s="4">
        <f t="shared" si="5"/>
        <v>6.9236000000000004</v>
      </c>
      <c r="H133" s="4">
        <f t="shared" si="6"/>
        <v>-8.0657999999999994</v>
      </c>
      <c r="I133" s="20" t="str">
        <f t="array" ref="I133">IF(ISBLANK(C133),"",IF(C133=MAX(IF(FarmUnit[1. Identifiant interne d’exploitation agricole*]=A133,FarmUnit[3. Superficie de l’unité agricole (ha)*])),"!","-"))</f>
        <v>!</v>
      </c>
      <c r="J133" s="9" t="str">
        <f ca="1">IFERROR(CONCATENATE(VLOOKUP(A133,GM_Table,12,FALSE)," ",(VLOOKUP(A133,GM_Table,13,FALSE))),"")</f>
        <v/>
      </c>
    </row>
    <row r="134" spans="1:10" ht="15" x14ac:dyDescent="0.2">
      <c r="A134" s="145" t="s">
        <v>1112</v>
      </c>
      <c r="B134" s="145" t="s">
        <v>1112</v>
      </c>
      <c r="C134" s="264">
        <v>2.41</v>
      </c>
      <c r="D134" s="265">
        <v>6.9675000000000002</v>
      </c>
      <c r="E134" s="265">
        <v>-8.0297000000000001</v>
      </c>
      <c r="F134" s="122" t="b">
        <f>IF(ISBLANK(FarmUnit[[#This Row],[1. Identifiant interne d’exploitation agricole*]]),"",IF(ISERROR(MATCH(FarmUnit[[#This Row],[1. Identifiant interne d’exploitation agricole*]],GroupMember[1. Identifiant interne d’exploitation agricole*],0)),FALSE,TRUE))</f>
        <v>1</v>
      </c>
      <c r="G134" s="4">
        <f t="shared" si="5"/>
        <v>6.9675000000000002</v>
      </c>
      <c r="H134" s="4">
        <f t="shared" si="6"/>
        <v>-8.0297000000000001</v>
      </c>
      <c r="I134" s="20" t="str">
        <f t="array" ref="I134">IF(ISBLANK(C134),"",IF(C134=MAX(IF(FarmUnit[1. Identifiant interne d’exploitation agricole*]=A134,FarmUnit[3. Superficie de l’unité agricole (ha)*])),"!","-"))</f>
        <v>!</v>
      </c>
      <c r="J134" s="9" t="str">
        <f ca="1">IFERROR(CONCATENATE(VLOOKUP(A134,GM_Table,12,FALSE)," ",(VLOOKUP(A134,GM_Table,13,FALSE))),"")</f>
        <v/>
      </c>
    </row>
    <row r="135" spans="1:10" ht="15" x14ac:dyDescent="0.2">
      <c r="A135" s="145" t="s">
        <v>1116</v>
      </c>
      <c r="B135" s="145" t="s">
        <v>1116</v>
      </c>
      <c r="C135" s="264">
        <v>0.75</v>
      </c>
      <c r="D135" s="265">
        <v>7.0864000000000003</v>
      </c>
      <c r="E135" s="265">
        <v>-8.0806000000000004</v>
      </c>
      <c r="F135" s="122" t="b">
        <f>IF(ISBLANK(FarmUnit[[#This Row],[1. Identifiant interne d’exploitation agricole*]]),"",IF(ISERROR(MATCH(FarmUnit[[#This Row],[1. Identifiant interne d’exploitation agricole*]],GroupMember[1. Identifiant interne d’exploitation agricole*],0)),FALSE,TRUE))</f>
        <v>1</v>
      </c>
      <c r="G135" s="4">
        <f t="shared" si="5"/>
        <v>7.0864000000000003</v>
      </c>
      <c r="H135" s="4">
        <f t="shared" si="6"/>
        <v>-8.0806000000000004</v>
      </c>
      <c r="I135" s="20" t="str">
        <f t="array" ref="I135">IF(ISBLANK(C135),"",IF(C135=MAX(IF(FarmUnit[1. Identifiant interne d’exploitation agricole*]=A135,FarmUnit[3. Superficie de l’unité agricole (ha)*])),"!","-"))</f>
        <v>!</v>
      </c>
      <c r="J135" s="9" t="str">
        <f ca="1">IFERROR(CONCATENATE(VLOOKUP(A135,GM_Table,12,FALSE)," ",(VLOOKUP(A135,GM_Table,13,FALSE))),"")</f>
        <v/>
      </c>
    </row>
    <row r="136" spans="1:10" ht="15" x14ac:dyDescent="0.2">
      <c r="A136" s="145" t="s">
        <v>1119</v>
      </c>
      <c r="B136" s="145" t="s">
        <v>1119</v>
      </c>
      <c r="C136" s="264">
        <v>2</v>
      </c>
      <c r="D136" s="265">
        <v>6.9112</v>
      </c>
      <c r="E136" s="265">
        <v>-7.9570999999999996</v>
      </c>
      <c r="F136" s="122" t="b">
        <f>IF(ISBLANK(FarmUnit[[#This Row],[1. Identifiant interne d’exploitation agricole*]]),"",IF(ISERROR(MATCH(FarmUnit[[#This Row],[1. Identifiant interne d’exploitation agricole*]],GroupMember[1. Identifiant interne d’exploitation agricole*],0)),FALSE,TRUE))</f>
        <v>1</v>
      </c>
      <c r="G136" s="4">
        <f t="shared" si="5"/>
        <v>6.9112</v>
      </c>
      <c r="H136" s="4">
        <f t="shared" si="6"/>
        <v>-7.9570999999999996</v>
      </c>
      <c r="I136" s="20" t="str">
        <f t="array" ref="I136">IF(ISBLANK(C136),"",IF(C136=MAX(IF(FarmUnit[1. Identifiant interne d’exploitation agricole*]=A136,FarmUnit[3. Superficie de l’unité agricole (ha)*])),"!","-"))</f>
        <v>!</v>
      </c>
      <c r="J136" s="9" t="str">
        <f ca="1">IFERROR(CONCATENATE(VLOOKUP(A136,GM_Table,12,FALSE)," ",(VLOOKUP(A136,GM_Table,13,FALSE))),"")</f>
        <v/>
      </c>
    </row>
    <row r="137" spans="1:10" ht="15" x14ac:dyDescent="0.2">
      <c r="A137" s="145" t="s">
        <v>1122</v>
      </c>
      <c r="B137" s="145" t="s">
        <v>1122</v>
      </c>
      <c r="C137" s="264">
        <v>3</v>
      </c>
      <c r="D137" s="265">
        <v>6.9095000000000004</v>
      </c>
      <c r="E137" s="265">
        <v>-7.9478999999999997</v>
      </c>
      <c r="F137" s="122" t="b">
        <f>IF(ISBLANK(FarmUnit[[#This Row],[1. Identifiant interne d’exploitation agricole*]]),"",IF(ISERROR(MATCH(FarmUnit[[#This Row],[1. Identifiant interne d’exploitation agricole*]],GroupMember[1. Identifiant interne d’exploitation agricole*],0)),FALSE,TRUE))</f>
        <v>1</v>
      </c>
      <c r="G137" s="4">
        <f t="shared" si="5"/>
        <v>6.9095000000000004</v>
      </c>
      <c r="H137" s="4">
        <f t="shared" si="6"/>
        <v>-7.9478999999999997</v>
      </c>
      <c r="I137" s="20" t="str">
        <f t="array" ref="I137">IF(ISBLANK(C137),"",IF(C137=MAX(IF(FarmUnit[1. Identifiant interne d’exploitation agricole*]=A137,FarmUnit[3. Superficie de l’unité agricole (ha)*])),"!","-"))</f>
        <v>!</v>
      </c>
      <c r="J137" s="9" t="str">
        <f ca="1">IFERROR(CONCATENATE(VLOOKUP(A137,GM_Table,12,FALSE)," ",(VLOOKUP(A137,GM_Table,13,FALSE))),"")</f>
        <v/>
      </c>
    </row>
    <row r="138" spans="1:10" ht="15" x14ac:dyDescent="0.2">
      <c r="A138" s="145" t="s">
        <v>1126</v>
      </c>
      <c r="B138" s="145" t="s">
        <v>1126</v>
      </c>
      <c r="C138" s="264">
        <v>0.84</v>
      </c>
      <c r="D138" s="265">
        <v>6.9078999999999997</v>
      </c>
      <c r="E138" s="265">
        <v>-7.9476000000000004</v>
      </c>
      <c r="F138" s="122" t="b">
        <f>IF(ISBLANK(FarmUnit[[#This Row],[1. Identifiant interne d’exploitation agricole*]]),"",IF(ISERROR(MATCH(FarmUnit[[#This Row],[1. Identifiant interne d’exploitation agricole*]],GroupMember[1. Identifiant interne d’exploitation agricole*],0)),FALSE,TRUE))</f>
        <v>1</v>
      </c>
      <c r="G138" s="4">
        <f t="shared" si="5"/>
        <v>6.9078999999999997</v>
      </c>
      <c r="H138" s="4">
        <f t="shared" si="6"/>
        <v>-7.9476000000000004</v>
      </c>
      <c r="I138" s="20" t="str">
        <f t="array" ref="I138">IF(ISBLANK(C138),"",IF(C138=MAX(IF(FarmUnit[1. Identifiant interne d’exploitation agricole*]=A138,FarmUnit[3. Superficie de l’unité agricole (ha)*])),"!","-"))</f>
        <v>!</v>
      </c>
      <c r="J138" s="9" t="str">
        <f ca="1">IFERROR(CONCATENATE(VLOOKUP(A138,GM_Table,12,FALSE)," ",(VLOOKUP(A138,GM_Table,13,FALSE))),"")</f>
        <v/>
      </c>
    </row>
    <row r="139" spans="1:10" ht="15" x14ac:dyDescent="0.2">
      <c r="A139" s="145" t="s">
        <v>1128</v>
      </c>
      <c r="B139" s="145" t="s">
        <v>1128</v>
      </c>
      <c r="C139" s="264">
        <v>6.19</v>
      </c>
      <c r="D139" s="265">
        <v>6.9861000000000004</v>
      </c>
      <c r="E139" s="265">
        <v>-8.0374999999999996</v>
      </c>
      <c r="F139" s="122" t="b">
        <f>IF(ISBLANK(FarmUnit[[#This Row],[1. Identifiant interne d’exploitation agricole*]]),"",IF(ISERROR(MATCH(FarmUnit[[#This Row],[1. Identifiant interne d’exploitation agricole*]],GroupMember[1. Identifiant interne d’exploitation agricole*],0)),FALSE,TRUE))</f>
        <v>1</v>
      </c>
      <c r="G139" s="4">
        <f t="shared" si="5"/>
        <v>6.9861000000000004</v>
      </c>
      <c r="H139" s="4">
        <f t="shared" si="6"/>
        <v>-8.0374999999999996</v>
      </c>
      <c r="I139" s="20" t="str">
        <f t="array" ref="I139">IF(ISBLANK(C139),"",IF(C139=MAX(IF(FarmUnit[1. Identifiant interne d’exploitation agricole*]=A139,FarmUnit[3. Superficie de l’unité agricole (ha)*])),"!","-"))</f>
        <v>!</v>
      </c>
      <c r="J139" s="9" t="str">
        <f ca="1">IFERROR(CONCATENATE(VLOOKUP(A139,GM_Table,12,FALSE)," ",(VLOOKUP(A139,GM_Table,13,FALSE))),"")</f>
        <v/>
      </c>
    </row>
    <row r="140" spans="1:10" ht="15" x14ac:dyDescent="0.2">
      <c r="A140" s="145" t="s">
        <v>1131</v>
      </c>
      <c r="B140" s="145" t="s">
        <v>1131</v>
      </c>
      <c r="C140" s="264">
        <v>2.0099999999999998</v>
      </c>
      <c r="D140" s="265">
        <v>7.0000999999999998</v>
      </c>
      <c r="E140" s="265">
        <v>-8.1933000000000007</v>
      </c>
      <c r="F140" s="122" t="b">
        <f>IF(ISBLANK(FarmUnit[[#This Row],[1. Identifiant interne d’exploitation agricole*]]),"",IF(ISERROR(MATCH(FarmUnit[[#This Row],[1. Identifiant interne d’exploitation agricole*]],GroupMember[1. Identifiant interne d’exploitation agricole*],0)),FALSE,TRUE))</f>
        <v>1</v>
      </c>
      <c r="G140" s="4">
        <f t="shared" si="5"/>
        <v>7.0000999999999998</v>
      </c>
      <c r="H140" s="4">
        <f t="shared" si="6"/>
        <v>-8.1933000000000007</v>
      </c>
      <c r="I140" s="20" t="str">
        <f t="array" ref="I140">IF(ISBLANK(C140),"",IF(C140=MAX(IF(FarmUnit[1. Identifiant interne d’exploitation agricole*]=A140,FarmUnit[3. Superficie de l’unité agricole (ha)*])),"!","-"))</f>
        <v>!</v>
      </c>
      <c r="J140" s="9" t="str">
        <f ca="1">IFERROR(CONCATENATE(VLOOKUP(A140,GM_Table,12,FALSE)," ",(VLOOKUP(A140,GM_Table,13,FALSE))),"")</f>
        <v/>
      </c>
    </row>
    <row r="141" spans="1:10" ht="15" x14ac:dyDescent="0.2">
      <c r="A141" s="145" t="s">
        <v>1135</v>
      </c>
      <c r="B141" s="145" t="s">
        <v>1135</v>
      </c>
      <c r="C141" s="264">
        <v>2.0099999999999998</v>
      </c>
      <c r="D141" s="265">
        <v>6.9038000000000004</v>
      </c>
      <c r="E141" s="265">
        <v>-8.1374999999999993</v>
      </c>
      <c r="F141" s="122" t="b">
        <f>IF(ISBLANK(FarmUnit[[#This Row],[1. Identifiant interne d’exploitation agricole*]]),"",IF(ISERROR(MATCH(FarmUnit[[#This Row],[1. Identifiant interne d’exploitation agricole*]],GroupMember[1. Identifiant interne d’exploitation agricole*],0)),FALSE,TRUE))</f>
        <v>1</v>
      </c>
      <c r="G141" s="4">
        <f t="shared" si="5"/>
        <v>6.9038000000000004</v>
      </c>
      <c r="H141" s="4">
        <f t="shared" si="6"/>
        <v>-8.1374999999999993</v>
      </c>
      <c r="I141" s="20" t="str">
        <f t="array" ref="I141">IF(ISBLANK(C141),"",IF(C141=MAX(IF(FarmUnit[1. Identifiant interne d’exploitation agricole*]=A141,FarmUnit[3. Superficie de l’unité agricole (ha)*])),"!","-"))</f>
        <v>!</v>
      </c>
      <c r="J141" s="9" t="str">
        <f ca="1">IFERROR(CONCATENATE(VLOOKUP(A141,GM_Table,12,FALSE)," ",(VLOOKUP(A141,GM_Table,13,FALSE))),"")</f>
        <v/>
      </c>
    </row>
    <row r="142" spans="1:10" ht="15" x14ac:dyDescent="0.2">
      <c r="A142" s="145" t="s">
        <v>1138</v>
      </c>
      <c r="B142" s="145" t="s">
        <v>1138</v>
      </c>
      <c r="C142" s="264">
        <v>1.41</v>
      </c>
      <c r="D142" s="265">
        <v>6.9249999999999998</v>
      </c>
      <c r="E142" s="265">
        <v>-8.1260999999999992</v>
      </c>
      <c r="F142" s="122" t="b">
        <f>IF(ISBLANK(FarmUnit[[#This Row],[1. Identifiant interne d’exploitation agricole*]]),"",IF(ISERROR(MATCH(FarmUnit[[#This Row],[1. Identifiant interne d’exploitation agricole*]],GroupMember[1. Identifiant interne d’exploitation agricole*],0)),FALSE,TRUE))</f>
        <v>1</v>
      </c>
      <c r="G142" s="4">
        <f t="shared" si="5"/>
        <v>6.9249999999999998</v>
      </c>
      <c r="H142" s="4">
        <f t="shared" si="6"/>
        <v>-8.1260999999999992</v>
      </c>
      <c r="I142" s="20" t="str">
        <f t="array" ref="I142">IF(ISBLANK(C142),"",IF(C142=MAX(IF(FarmUnit[1. Identifiant interne d’exploitation agricole*]=A142,FarmUnit[3. Superficie de l’unité agricole (ha)*])),"!","-"))</f>
        <v>!</v>
      </c>
      <c r="J142" s="9" t="str">
        <f ca="1">IFERROR(CONCATENATE(VLOOKUP(A142,GM_Table,12,FALSE)," ",(VLOOKUP(A142,GM_Table,13,FALSE))),"")</f>
        <v/>
      </c>
    </row>
    <row r="143" spans="1:10" ht="15" x14ac:dyDescent="0.2">
      <c r="A143" s="145" t="s">
        <v>1142</v>
      </c>
      <c r="B143" s="145" t="s">
        <v>1142</v>
      </c>
      <c r="C143" s="264">
        <v>5.66</v>
      </c>
      <c r="D143" s="265">
        <v>7.0566000000000004</v>
      </c>
      <c r="E143" s="265">
        <v>-8.1176999999999992</v>
      </c>
      <c r="F143" s="122" t="b">
        <f>IF(ISBLANK(FarmUnit[[#This Row],[1. Identifiant interne d’exploitation agricole*]]),"",IF(ISERROR(MATCH(FarmUnit[[#This Row],[1. Identifiant interne d’exploitation agricole*]],GroupMember[1. Identifiant interne d’exploitation agricole*],0)),FALSE,TRUE))</f>
        <v>1</v>
      </c>
      <c r="G143" s="4">
        <f t="shared" si="5"/>
        <v>7.0566000000000004</v>
      </c>
      <c r="H143" s="4">
        <f t="shared" si="6"/>
        <v>-8.1176999999999992</v>
      </c>
      <c r="I143" s="20" t="str">
        <f t="array" ref="I143">IF(ISBLANK(C143),"",IF(C143=MAX(IF(FarmUnit[1. Identifiant interne d’exploitation agricole*]=A143,FarmUnit[3. Superficie de l’unité agricole (ha)*])),"!","-"))</f>
        <v>!</v>
      </c>
      <c r="J143" s="9" t="str">
        <f ca="1">IFERROR(CONCATENATE(VLOOKUP(A143,GM_Table,12,FALSE)," ",(VLOOKUP(A143,GM_Table,13,FALSE))),"")</f>
        <v/>
      </c>
    </row>
    <row r="144" spans="1:10" ht="15" x14ac:dyDescent="0.2">
      <c r="A144" s="145" t="s">
        <v>1146</v>
      </c>
      <c r="B144" s="145" t="s">
        <v>1146</v>
      </c>
      <c r="C144" s="264">
        <v>3.11</v>
      </c>
      <c r="D144" s="265">
        <v>6.9264999999999999</v>
      </c>
      <c r="E144" s="265">
        <v>-7.9828999999999999</v>
      </c>
      <c r="F144" s="122" t="b">
        <f>IF(ISBLANK(FarmUnit[[#This Row],[1. Identifiant interne d’exploitation agricole*]]),"",IF(ISERROR(MATCH(FarmUnit[[#This Row],[1. Identifiant interne d’exploitation agricole*]],GroupMember[1. Identifiant interne d’exploitation agricole*],0)),FALSE,TRUE))</f>
        <v>1</v>
      </c>
      <c r="G144" s="4">
        <f t="shared" si="5"/>
        <v>6.9264999999999999</v>
      </c>
      <c r="H144" s="4">
        <f t="shared" si="6"/>
        <v>-7.9828999999999999</v>
      </c>
      <c r="I144" s="20" t="str">
        <f t="array" ref="I144">IF(ISBLANK(C144),"",IF(C144=MAX(IF(FarmUnit[1. Identifiant interne d’exploitation agricole*]=A144,FarmUnit[3. Superficie de l’unité agricole (ha)*])),"!","-"))</f>
        <v>!</v>
      </c>
      <c r="J144" s="9" t="str">
        <f ca="1">IFERROR(CONCATENATE(VLOOKUP(A144,GM_Table,12,FALSE)," ",(VLOOKUP(A144,GM_Table,13,FALSE))),"")</f>
        <v/>
      </c>
    </row>
    <row r="145" spans="1:10" ht="15" x14ac:dyDescent="0.2">
      <c r="A145" s="145" t="s">
        <v>1150</v>
      </c>
      <c r="B145" s="145" t="s">
        <v>1150</v>
      </c>
      <c r="C145" s="264">
        <v>1.25</v>
      </c>
      <c r="D145" s="265">
        <v>7.1368</v>
      </c>
      <c r="E145" s="265">
        <v>-8.1616999999999997</v>
      </c>
      <c r="F145" s="122" t="b">
        <f>IF(ISBLANK(FarmUnit[[#This Row],[1. Identifiant interne d’exploitation agricole*]]),"",IF(ISERROR(MATCH(FarmUnit[[#This Row],[1. Identifiant interne d’exploitation agricole*]],GroupMember[1. Identifiant interne d’exploitation agricole*],0)),FALSE,TRUE))</f>
        <v>1</v>
      </c>
      <c r="G145" s="4">
        <f t="shared" si="5"/>
        <v>7.1368</v>
      </c>
      <c r="H145" s="4">
        <f t="shared" si="6"/>
        <v>-8.1616999999999997</v>
      </c>
      <c r="I145" s="20" t="str">
        <f t="array" ref="I145">IF(ISBLANK(C145),"",IF(C145=MAX(IF(FarmUnit[1. Identifiant interne d’exploitation agricole*]=A145,FarmUnit[3. Superficie de l’unité agricole (ha)*])),"!","-"))</f>
        <v>!</v>
      </c>
      <c r="J145" s="9" t="str">
        <f ca="1">IFERROR(CONCATENATE(VLOOKUP(A145,GM_Table,12,FALSE)," ",(VLOOKUP(A145,GM_Table,13,FALSE))),"")</f>
        <v/>
      </c>
    </row>
    <row r="146" spans="1:10" ht="15" x14ac:dyDescent="0.2">
      <c r="A146" s="145" t="s">
        <v>1153</v>
      </c>
      <c r="B146" s="145" t="s">
        <v>1153</v>
      </c>
      <c r="C146" s="264">
        <v>4</v>
      </c>
      <c r="D146" s="265">
        <v>6.9147999999999996</v>
      </c>
      <c r="E146" s="265">
        <v>-7.9306999999999999</v>
      </c>
      <c r="F146" s="122" t="b">
        <f>IF(ISBLANK(FarmUnit[[#This Row],[1. Identifiant interne d’exploitation agricole*]]),"",IF(ISERROR(MATCH(FarmUnit[[#This Row],[1. Identifiant interne d’exploitation agricole*]],GroupMember[1. Identifiant interne d’exploitation agricole*],0)),FALSE,TRUE))</f>
        <v>1</v>
      </c>
      <c r="G146" s="4">
        <f t="shared" si="5"/>
        <v>6.9147999999999996</v>
      </c>
      <c r="H146" s="4">
        <f t="shared" si="6"/>
        <v>-7.9306999999999999</v>
      </c>
      <c r="I146" s="20" t="str">
        <f t="array" ref="I146">IF(ISBLANK(C146),"",IF(C146=MAX(IF(FarmUnit[1. Identifiant interne d’exploitation agricole*]=A146,FarmUnit[3. Superficie de l’unité agricole (ha)*])),"!","-"))</f>
        <v>!</v>
      </c>
      <c r="J146" s="9" t="str">
        <f ca="1">IFERROR(CONCATENATE(VLOOKUP(A146,GM_Table,12,FALSE)," ",(VLOOKUP(A146,GM_Table,13,FALSE))),"")</f>
        <v/>
      </c>
    </row>
    <row r="147" spans="1:10" ht="15" x14ac:dyDescent="0.2">
      <c r="A147" s="145" t="s">
        <v>1155</v>
      </c>
      <c r="B147" s="145" t="s">
        <v>1155</v>
      </c>
      <c r="C147" s="264">
        <v>0.72</v>
      </c>
      <c r="D147" s="265">
        <v>6.9341999999999997</v>
      </c>
      <c r="E147" s="265">
        <v>-7.9992000000000001</v>
      </c>
      <c r="F147" s="122" t="b">
        <f>IF(ISBLANK(FarmUnit[[#This Row],[1. Identifiant interne d’exploitation agricole*]]),"",IF(ISERROR(MATCH(FarmUnit[[#This Row],[1. Identifiant interne d’exploitation agricole*]],GroupMember[1. Identifiant interne d’exploitation agricole*],0)),FALSE,TRUE))</f>
        <v>1</v>
      </c>
      <c r="G147" s="4">
        <f t="shared" si="5"/>
        <v>6.9341999999999997</v>
      </c>
      <c r="H147" s="4">
        <f t="shared" si="6"/>
        <v>-7.9992000000000001</v>
      </c>
      <c r="I147" s="20" t="str">
        <f t="array" ref="I147">IF(ISBLANK(C147),"",IF(C147=MAX(IF(FarmUnit[1. Identifiant interne d’exploitation agricole*]=A147,FarmUnit[3. Superficie de l’unité agricole (ha)*])),"!","-"))</f>
        <v>!</v>
      </c>
      <c r="J147" s="9" t="str">
        <f ca="1">IFERROR(CONCATENATE(VLOOKUP(A147,GM_Table,12,FALSE)," ",(VLOOKUP(A147,GM_Table,13,FALSE))),"")</f>
        <v/>
      </c>
    </row>
    <row r="148" spans="1:10" ht="15" x14ac:dyDescent="0.2">
      <c r="A148" s="145" t="s">
        <v>1159</v>
      </c>
      <c r="B148" s="145" t="s">
        <v>1159</v>
      </c>
      <c r="C148" s="264">
        <v>4.42</v>
      </c>
      <c r="D148" s="265">
        <v>7.1627999999999998</v>
      </c>
      <c r="E148" s="265">
        <v>-8.0897000000000006</v>
      </c>
      <c r="F148" s="122" t="b">
        <f>IF(ISBLANK(FarmUnit[[#This Row],[1. Identifiant interne d’exploitation agricole*]]),"",IF(ISERROR(MATCH(FarmUnit[[#This Row],[1. Identifiant interne d’exploitation agricole*]],GroupMember[1. Identifiant interne d’exploitation agricole*],0)),FALSE,TRUE))</f>
        <v>1</v>
      </c>
      <c r="G148" s="4">
        <f t="shared" si="5"/>
        <v>7.1627999999999998</v>
      </c>
      <c r="H148" s="4">
        <f t="shared" si="6"/>
        <v>-8.0897000000000006</v>
      </c>
      <c r="I148" s="20" t="str">
        <f t="array" ref="I148">IF(ISBLANK(C148),"",IF(C148=MAX(IF(FarmUnit[1. Identifiant interne d’exploitation agricole*]=A148,FarmUnit[3. Superficie de l’unité agricole (ha)*])),"!","-"))</f>
        <v>!</v>
      </c>
      <c r="J148" s="9" t="str">
        <f ca="1">IFERROR(CONCATENATE(VLOOKUP(A148,GM_Table,12,FALSE)," ",(VLOOKUP(A148,GM_Table,13,FALSE))),"")</f>
        <v/>
      </c>
    </row>
    <row r="149" spans="1:10" ht="15" x14ac:dyDescent="0.2">
      <c r="A149" s="145" t="s">
        <v>1164</v>
      </c>
      <c r="B149" s="145" t="s">
        <v>1164</v>
      </c>
      <c r="C149" s="264">
        <v>4.53</v>
      </c>
      <c r="D149" s="265">
        <v>6.9316000000000004</v>
      </c>
      <c r="E149" s="265">
        <v>-7.9581</v>
      </c>
      <c r="F149" s="122" t="b">
        <f>IF(ISBLANK(FarmUnit[[#This Row],[1. Identifiant interne d’exploitation agricole*]]),"",IF(ISERROR(MATCH(FarmUnit[[#This Row],[1. Identifiant interne d’exploitation agricole*]],GroupMember[1. Identifiant interne d’exploitation agricole*],0)),FALSE,TRUE))</f>
        <v>1</v>
      </c>
      <c r="G149" s="4">
        <f t="shared" si="5"/>
        <v>6.9316000000000004</v>
      </c>
      <c r="H149" s="4">
        <f t="shared" si="6"/>
        <v>-7.9581</v>
      </c>
      <c r="I149" s="20" t="str">
        <f t="array" ref="I149">IF(ISBLANK(C149),"",IF(C149=MAX(IF(FarmUnit[1. Identifiant interne d’exploitation agricole*]=A149,FarmUnit[3. Superficie de l’unité agricole (ha)*])),"!","-"))</f>
        <v>!</v>
      </c>
      <c r="J149" s="9" t="str">
        <f ca="1">IFERROR(CONCATENATE(VLOOKUP(A149,GM_Table,12,FALSE)," ",(VLOOKUP(A149,GM_Table,13,FALSE))),"")</f>
        <v/>
      </c>
    </row>
    <row r="150" spans="1:10" ht="15" x14ac:dyDescent="0.2">
      <c r="A150" s="145" t="s">
        <v>1169</v>
      </c>
      <c r="B150" s="145" t="s">
        <v>1169</v>
      </c>
      <c r="C150" s="264">
        <v>1.07</v>
      </c>
      <c r="D150" s="265">
        <v>7.1767000000000003</v>
      </c>
      <c r="E150" s="265">
        <v>-8.1178000000000008</v>
      </c>
      <c r="F150" s="122" t="b">
        <f>IF(ISBLANK(FarmUnit[[#This Row],[1. Identifiant interne d’exploitation agricole*]]),"",IF(ISERROR(MATCH(FarmUnit[[#This Row],[1. Identifiant interne d’exploitation agricole*]],GroupMember[1. Identifiant interne d’exploitation agricole*],0)),FALSE,TRUE))</f>
        <v>1</v>
      </c>
      <c r="G150" s="4">
        <f t="shared" si="5"/>
        <v>7.1767000000000003</v>
      </c>
      <c r="H150" s="4">
        <f t="shared" si="6"/>
        <v>-8.1178000000000008</v>
      </c>
      <c r="I150" s="20" t="str">
        <f t="array" ref="I150">IF(ISBLANK(C150),"",IF(C150=MAX(IF(FarmUnit[1. Identifiant interne d’exploitation agricole*]=A150,FarmUnit[3. Superficie de l’unité agricole (ha)*])),"!","-"))</f>
        <v>!</v>
      </c>
      <c r="J150" s="9" t="str">
        <f ca="1">IFERROR(CONCATENATE(VLOOKUP(A150,GM_Table,12,FALSE)," ",(VLOOKUP(A150,GM_Table,13,FALSE))),"")</f>
        <v/>
      </c>
    </row>
    <row r="151" spans="1:10" ht="15" x14ac:dyDescent="0.2">
      <c r="A151" s="145" t="s">
        <v>1173</v>
      </c>
      <c r="B151" s="145" t="s">
        <v>1173</v>
      </c>
      <c r="C151" s="264">
        <v>2</v>
      </c>
      <c r="D151" s="265">
        <v>6.9322999999999997</v>
      </c>
      <c r="E151" s="265">
        <v>-7.9598000000000004</v>
      </c>
      <c r="F151" s="122" t="b">
        <f>IF(ISBLANK(FarmUnit[[#This Row],[1. Identifiant interne d’exploitation agricole*]]),"",IF(ISERROR(MATCH(FarmUnit[[#This Row],[1. Identifiant interne d’exploitation agricole*]],GroupMember[1. Identifiant interne d’exploitation agricole*],0)),FALSE,TRUE))</f>
        <v>1</v>
      </c>
      <c r="G151" s="4">
        <f t="shared" si="5"/>
        <v>6.9322999999999997</v>
      </c>
      <c r="H151" s="4">
        <f t="shared" si="6"/>
        <v>-7.9598000000000004</v>
      </c>
      <c r="I151" s="20" t="str">
        <f t="array" ref="I151">IF(ISBLANK(C151),"",IF(C151=MAX(IF(FarmUnit[1. Identifiant interne d’exploitation agricole*]=A151,FarmUnit[3. Superficie de l’unité agricole (ha)*])),"!","-"))</f>
        <v>!</v>
      </c>
      <c r="J151" s="9" t="str">
        <f ca="1">IFERROR(CONCATENATE(VLOOKUP(A151,GM_Table,12,FALSE)," ",(VLOOKUP(A151,GM_Table,13,FALSE))),"")</f>
        <v/>
      </c>
    </row>
    <row r="152" spans="1:10" ht="15" x14ac:dyDescent="0.2">
      <c r="A152" s="145" t="s">
        <v>1175</v>
      </c>
      <c r="B152" s="145" t="s">
        <v>1175</v>
      </c>
      <c r="C152" s="264">
        <v>2</v>
      </c>
      <c r="D152" s="265">
        <v>6.9340999999999999</v>
      </c>
      <c r="E152" s="265">
        <v>-7.9508000000000001</v>
      </c>
      <c r="F152" s="122" t="b">
        <f>IF(ISBLANK(FarmUnit[[#This Row],[1. Identifiant interne d’exploitation agricole*]]),"",IF(ISERROR(MATCH(FarmUnit[[#This Row],[1. Identifiant interne d’exploitation agricole*]],GroupMember[1. Identifiant interne d’exploitation agricole*],0)),FALSE,TRUE))</f>
        <v>1</v>
      </c>
      <c r="G152" s="4">
        <f t="shared" si="5"/>
        <v>6.9340999999999999</v>
      </c>
      <c r="H152" s="4">
        <f t="shared" si="6"/>
        <v>-7.9508000000000001</v>
      </c>
      <c r="I152" s="20" t="str">
        <f t="array" ref="I152">IF(ISBLANK(C152),"",IF(C152=MAX(IF(FarmUnit[1. Identifiant interne d’exploitation agricole*]=A152,FarmUnit[3. Superficie de l’unité agricole (ha)*])),"!","-"))</f>
        <v>!</v>
      </c>
      <c r="J152" s="9" t="str">
        <f ca="1">IFERROR(CONCATENATE(VLOOKUP(A152,GM_Table,12,FALSE)," ",(VLOOKUP(A152,GM_Table,13,FALSE))),"")</f>
        <v/>
      </c>
    </row>
    <row r="153" spans="1:10" ht="15" x14ac:dyDescent="0.2">
      <c r="A153" s="145" t="s">
        <v>1178</v>
      </c>
      <c r="B153" s="145" t="s">
        <v>1178</v>
      </c>
      <c r="C153" s="264">
        <v>5</v>
      </c>
      <c r="D153" s="265">
        <v>6.9371</v>
      </c>
      <c r="E153" s="265">
        <v>-7.9503000000000004</v>
      </c>
      <c r="F153" s="122" t="b">
        <f>IF(ISBLANK(FarmUnit[[#This Row],[1. Identifiant interne d’exploitation agricole*]]),"",IF(ISERROR(MATCH(FarmUnit[[#This Row],[1. Identifiant interne d’exploitation agricole*]],GroupMember[1. Identifiant interne d’exploitation agricole*],0)),FALSE,TRUE))</f>
        <v>1</v>
      </c>
      <c r="G153" s="4">
        <f t="shared" si="5"/>
        <v>6.9371</v>
      </c>
      <c r="H153" s="4">
        <f t="shared" si="6"/>
        <v>-7.9503000000000004</v>
      </c>
      <c r="I153" s="20" t="str">
        <f t="array" ref="I153">IF(ISBLANK(C153),"",IF(C153=MAX(IF(FarmUnit[1. Identifiant interne d’exploitation agricole*]=A153,FarmUnit[3. Superficie de l’unité agricole (ha)*])),"!","-"))</f>
        <v>!</v>
      </c>
      <c r="J153" s="9" t="str">
        <f ca="1">IFERROR(CONCATENATE(VLOOKUP(A153,GM_Table,12,FALSE)," ",(VLOOKUP(A153,GM_Table,13,FALSE))),"")</f>
        <v/>
      </c>
    </row>
    <row r="154" spans="1:10" ht="15" x14ac:dyDescent="0.2">
      <c r="A154" s="145" t="s">
        <v>1181</v>
      </c>
      <c r="B154" s="145" t="s">
        <v>1181</v>
      </c>
      <c r="C154" s="264">
        <v>1.79</v>
      </c>
      <c r="D154" s="265">
        <v>7.1574999999999998</v>
      </c>
      <c r="E154" s="265">
        <v>-7.9739000000000004</v>
      </c>
      <c r="F154" s="122" t="b">
        <f>IF(ISBLANK(FarmUnit[[#This Row],[1. Identifiant interne d’exploitation agricole*]]),"",IF(ISERROR(MATCH(FarmUnit[[#This Row],[1. Identifiant interne d’exploitation agricole*]],GroupMember[1. Identifiant interne d’exploitation agricole*],0)),FALSE,TRUE))</f>
        <v>1</v>
      </c>
      <c r="G154" s="4">
        <f t="shared" si="5"/>
        <v>7.1574999999999998</v>
      </c>
      <c r="H154" s="4">
        <f t="shared" si="6"/>
        <v>-7.9739000000000004</v>
      </c>
      <c r="I154" s="20" t="str">
        <f t="array" ref="I154">IF(ISBLANK(C154),"",IF(C154=MAX(IF(FarmUnit[1. Identifiant interne d’exploitation agricole*]=A154,FarmUnit[3. Superficie de l’unité agricole (ha)*])),"!","-"))</f>
        <v>!</v>
      </c>
      <c r="J154" s="9" t="str">
        <f ca="1">IFERROR(CONCATENATE(VLOOKUP(A154,GM_Table,12,FALSE)," ",(VLOOKUP(A154,GM_Table,13,FALSE))),"")</f>
        <v/>
      </c>
    </row>
    <row r="155" spans="1:10" ht="15" x14ac:dyDescent="0.2">
      <c r="A155" s="145" t="s">
        <v>1185</v>
      </c>
      <c r="B155" s="145" t="s">
        <v>1185</v>
      </c>
      <c r="C155" s="264">
        <v>1.91</v>
      </c>
      <c r="D155" s="265">
        <v>6.9385000000000003</v>
      </c>
      <c r="E155" s="265">
        <v>-8.2143999999999995</v>
      </c>
      <c r="F155" s="122" t="b">
        <f>IF(ISBLANK(FarmUnit[[#This Row],[1. Identifiant interne d’exploitation agricole*]]),"",IF(ISERROR(MATCH(FarmUnit[[#This Row],[1. Identifiant interne d’exploitation agricole*]],GroupMember[1. Identifiant interne d’exploitation agricole*],0)),FALSE,TRUE))</f>
        <v>1</v>
      </c>
      <c r="G155" s="4">
        <f t="shared" si="5"/>
        <v>6.9385000000000003</v>
      </c>
      <c r="H155" s="4">
        <f t="shared" si="6"/>
        <v>-8.2143999999999995</v>
      </c>
      <c r="I155" s="20" t="str">
        <f t="array" ref="I155">IF(ISBLANK(C155),"",IF(C155=MAX(IF(FarmUnit[1. Identifiant interne d’exploitation agricole*]=A155,FarmUnit[3. Superficie de l’unité agricole (ha)*])),"!","-"))</f>
        <v>!</v>
      </c>
      <c r="J155" s="9" t="str">
        <f ca="1">IFERROR(CONCATENATE(VLOOKUP(A155,GM_Table,12,FALSE)," ",(VLOOKUP(A155,GM_Table,13,FALSE))),"")</f>
        <v/>
      </c>
    </row>
    <row r="156" spans="1:10" ht="15" x14ac:dyDescent="0.2">
      <c r="A156" s="145" t="s">
        <v>1189</v>
      </c>
      <c r="B156" s="145" t="s">
        <v>1189</v>
      </c>
      <c r="C156" s="264">
        <v>1.31</v>
      </c>
      <c r="D156" s="265">
        <v>6.9310999999999998</v>
      </c>
      <c r="E156" s="265">
        <v>-7.9611999999999998</v>
      </c>
      <c r="F156" s="122" t="b">
        <f>IF(ISBLANK(FarmUnit[[#This Row],[1. Identifiant interne d’exploitation agricole*]]),"",IF(ISERROR(MATCH(FarmUnit[[#This Row],[1. Identifiant interne d’exploitation agricole*]],GroupMember[1. Identifiant interne d’exploitation agricole*],0)),FALSE,TRUE))</f>
        <v>1</v>
      </c>
      <c r="G156" s="4">
        <f t="shared" si="5"/>
        <v>6.9310999999999998</v>
      </c>
      <c r="H156" s="4">
        <f t="shared" si="6"/>
        <v>-7.9611999999999998</v>
      </c>
      <c r="I156" s="20" t="str">
        <f t="array" ref="I156">IF(ISBLANK(C156),"",IF(C156=MAX(IF(FarmUnit[1. Identifiant interne d’exploitation agricole*]=A156,FarmUnit[3. Superficie de l’unité agricole (ha)*])),"!","-"))</f>
        <v>!</v>
      </c>
      <c r="J156" s="9" t="str">
        <f ca="1">IFERROR(CONCATENATE(VLOOKUP(A156,GM_Table,12,FALSE)," ",(VLOOKUP(A156,GM_Table,13,FALSE))),"")</f>
        <v/>
      </c>
    </row>
    <row r="157" spans="1:10" ht="15" x14ac:dyDescent="0.2">
      <c r="A157" s="145" t="s">
        <v>1192</v>
      </c>
      <c r="B157" s="145" t="s">
        <v>1192</v>
      </c>
      <c r="C157" s="264">
        <v>2.36</v>
      </c>
      <c r="D157" s="265">
        <v>7.0461</v>
      </c>
      <c r="E157" s="265">
        <v>-8.1349999999999998</v>
      </c>
      <c r="F157" s="122" t="b">
        <f>IF(ISBLANK(FarmUnit[[#This Row],[1. Identifiant interne d’exploitation agricole*]]),"",IF(ISERROR(MATCH(FarmUnit[[#This Row],[1. Identifiant interne d’exploitation agricole*]],GroupMember[1. Identifiant interne d’exploitation agricole*],0)),FALSE,TRUE))</f>
        <v>1</v>
      </c>
      <c r="G157" s="4">
        <f t="shared" si="5"/>
        <v>7.0461</v>
      </c>
      <c r="H157" s="4">
        <f t="shared" si="6"/>
        <v>-8.1349999999999998</v>
      </c>
      <c r="I157" s="20" t="str">
        <f t="array" ref="I157">IF(ISBLANK(C157),"",IF(C157=MAX(IF(FarmUnit[1. Identifiant interne d’exploitation agricole*]=A157,FarmUnit[3. Superficie de l’unité agricole (ha)*])),"!","-"))</f>
        <v>!</v>
      </c>
      <c r="J157" s="9" t="str">
        <f ca="1">IFERROR(CONCATENATE(VLOOKUP(A157,GM_Table,12,FALSE)," ",(VLOOKUP(A157,GM_Table,13,FALSE))),"")</f>
        <v/>
      </c>
    </row>
    <row r="158" spans="1:10" ht="15" x14ac:dyDescent="0.2">
      <c r="A158" s="145" t="s">
        <v>1195</v>
      </c>
      <c r="B158" s="145" t="s">
        <v>1195</v>
      </c>
      <c r="C158" s="264">
        <v>1.25</v>
      </c>
      <c r="D158" s="265">
        <v>7.1764000000000001</v>
      </c>
      <c r="E158" s="265">
        <v>-7.9852999999999996</v>
      </c>
      <c r="F158" s="122" t="b">
        <f>IF(ISBLANK(FarmUnit[[#This Row],[1. Identifiant interne d’exploitation agricole*]]),"",IF(ISERROR(MATCH(FarmUnit[[#This Row],[1. Identifiant interne d’exploitation agricole*]],GroupMember[1. Identifiant interne d’exploitation agricole*],0)),FALSE,TRUE))</f>
        <v>1</v>
      </c>
      <c r="G158" s="4">
        <f t="shared" si="5"/>
        <v>7.1764000000000001</v>
      </c>
      <c r="H158" s="4">
        <f t="shared" si="6"/>
        <v>-7.9852999999999996</v>
      </c>
      <c r="I158" s="20" t="str">
        <f t="array" ref="I158">IF(ISBLANK(C158),"",IF(C158=MAX(IF(FarmUnit[1. Identifiant interne d’exploitation agricole*]=A158,FarmUnit[3. Superficie de l’unité agricole (ha)*])),"!","-"))</f>
        <v>!</v>
      </c>
      <c r="J158" s="9" t="str">
        <f ca="1">IFERROR(CONCATENATE(VLOOKUP(A158,GM_Table,12,FALSE)," ",(VLOOKUP(A158,GM_Table,13,FALSE))),"")</f>
        <v/>
      </c>
    </row>
    <row r="159" spans="1:10" ht="15" x14ac:dyDescent="0.2">
      <c r="A159" s="145" t="s">
        <v>1198</v>
      </c>
      <c r="B159" s="145" t="s">
        <v>1198</v>
      </c>
      <c r="C159" s="264">
        <v>0.86</v>
      </c>
      <c r="D159" s="265">
        <v>7.1886000000000001</v>
      </c>
      <c r="E159" s="265">
        <v>-7.9505999999999997</v>
      </c>
      <c r="F159" s="122" t="b">
        <f>IF(ISBLANK(FarmUnit[[#This Row],[1. Identifiant interne d’exploitation agricole*]]),"",IF(ISERROR(MATCH(FarmUnit[[#This Row],[1. Identifiant interne d’exploitation agricole*]],GroupMember[1. Identifiant interne d’exploitation agricole*],0)),FALSE,TRUE))</f>
        <v>1</v>
      </c>
      <c r="G159" s="4">
        <f t="shared" si="5"/>
        <v>7.1886000000000001</v>
      </c>
      <c r="H159" s="4">
        <f t="shared" si="6"/>
        <v>-7.9505999999999997</v>
      </c>
      <c r="I159" s="20" t="str">
        <f t="array" ref="I159">IF(ISBLANK(C159),"",IF(C159=MAX(IF(FarmUnit[1. Identifiant interne d’exploitation agricole*]=A159,FarmUnit[3. Superficie de l’unité agricole (ha)*])),"!","-"))</f>
        <v>!</v>
      </c>
      <c r="J159" s="9" t="str">
        <f ca="1">IFERROR(CONCATENATE(VLOOKUP(A159,GM_Table,12,FALSE)," ",(VLOOKUP(A159,GM_Table,13,FALSE))),"")</f>
        <v/>
      </c>
    </row>
    <row r="160" spans="1:10" ht="15" x14ac:dyDescent="0.2">
      <c r="A160" s="145" t="s">
        <v>1200</v>
      </c>
      <c r="B160" s="145" t="s">
        <v>1200</v>
      </c>
      <c r="C160" s="264">
        <v>1.44</v>
      </c>
      <c r="D160" s="265">
        <v>7.0164999999999997</v>
      </c>
      <c r="E160" s="265">
        <v>-8.1580999999999992</v>
      </c>
      <c r="F160" s="122" t="b">
        <f>IF(ISBLANK(FarmUnit[[#This Row],[1. Identifiant interne d’exploitation agricole*]]),"",IF(ISERROR(MATCH(FarmUnit[[#This Row],[1. Identifiant interne d’exploitation agricole*]],GroupMember[1. Identifiant interne d’exploitation agricole*],0)),FALSE,TRUE))</f>
        <v>1</v>
      </c>
      <c r="G160" s="4">
        <f t="shared" si="5"/>
        <v>7.0164999999999997</v>
      </c>
      <c r="H160" s="4">
        <f t="shared" si="6"/>
        <v>-8.1580999999999992</v>
      </c>
      <c r="I160" s="20" t="str">
        <f t="array" ref="I160">IF(ISBLANK(C160),"",IF(C160=MAX(IF(FarmUnit[1. Identifiant interne d’exploitation agricole*]=A160,FarmUnit[3. Superficie de l’unité agricole (ha)*])),"!","-"))</f>
        <v>!</v>
      </c>
      <c r="J160" s="9" t="str">
        <f ca="1">IFERROR(CONCATENATE(VLOOKUP(A160,GM_Table,12,FALSE)," ",(VLOOKUP(A160,GM_Table,13,FALSE))),"")</f>
        <v/>
      </c>
    </row>
    <row r="161" spans="1:10" ht="15" x14ac:dyDescent="0.2">
      <c r="A161" s="145" t="s">
        <v>1204</v>
      </c>
      <c r="B161" s="145" t="s">
        <v>1204</v>
      </c>
      <c r="C161" s="264">
        <v>5</v>
      </c>
      <c r="D161" s="265">
        <v>6.9107000000000003</v>
      </c>
      <c r="E161" s="265">
        <v>-7.9653</v>
      </c>
      <c r="F161" s="122" t="b">
        <f>IF(ISBLANK(FarmUnit[[#This Row],[1. Identifiant interne d’exploitation agricole*]]),"",IF(ISERROR(MATCH(FarmUnit[[#This Row],[1. Identifiant interne d’exploitation agricole*]],GroupMember[1. Identifiant interne d’exploitation agricole*],0)),FALSE,TRUE))</f>
        <v>1</v>
      </c>
      <c r="G161" s="4">
        <f t="shared" si="5"/>
        <v>6.9107000000000003</v>
      </c>
      <c r="H161" s="4">
        <f t="shared" si="6"/>
        <v>-7.9653</v>
      </c>
      <c r="I161" s="20" t="str">
        <f t="array" ref="I161">IF(ISBLANK(C161),"",IF(C161=MAX(IF(FarmUnit[1. Identifiant interne d’exploitation agricole*]=A161,FarmUnit[3. Superficie de l’unité agricole (ha)*])),"!","-"))</f>
        <v>!</v>
      </c>
      <c r="J161" s="9" t="str">
        <f ca="1">IFERROR(CONCATENATE(VLOOKUP(A161,GM_Table,12,FALSE)," ",(VLOOKUP(A161,GM_Table,13,FALSE))),"")</f>
        <v/>
      </c>
    </row>
    <row r="162" spans="1:10" ht="15" x14ac:dyDescent="0.2">
      <c r="A162" s="145" t="s">
        <v>1206</v>
      </c>
      <c r="B162" s="145" t="s">
        <v>1206</v>
      </c>
      <c r="C162" s="264">
        <v>0.74</v>
      </c>
      <c r="D162" s="265">
        <v>7.1044</v>
      </c>
      <c r="E162" s="265">
        <v>-8.1117000000000008</v>
      </c>
      <c r="F162" s="122" t="b">
        <f>IF(ISBLANK(FarmUnit[[#This Row],[1. Identifiant interne d’exploitation agricole*]]),"",IF(ISERROR(MATCH(FarmUnit[[#This Row],[1. Identifiant interne d’exploitation agricole*]],GroupMember[1. Identifiant interne d’exploitation agricole*],0)),FALSE,TRUE))</f>
        <v>1</v>
      </c>
      <c r="G162" s="4">
        <f t="shared" si="5"/>
        <v>7.1044</v>
      </c>
      <c r="H162" s="4">
        <f t="shared" si="6"/>
        <v>-8.1117000000000008</v>
      </c>
      <c r="I162" s="20" t="str">
        <f t="array" ref="I162">IF(ISBLANK(C162),"",IF(C162=MAX(IF(FarmUnit[1. Identifiant interne d’exploitation agricole*]=A162,FarmUnit[3. Superficie de l’unité agricole (ha)*])),"!","-"))</f>
        <v>!</v>
      </c>
      <c r="J162" s="9" t="str">
        <f ca="1">IFERROR(CONCATENATE(VLOOKUP(A162,GM_Table,12,FALSE)," ",(VLOOKUP(A162,GM_Table,13,FALSE))),"")</f>
        <v/>
      </c>
    </row>
    <row r="163" spans="1:10" ht="15" x14ac:dyDescent="0.2">
      <c r="A163" s="145" t="s">
        <v>1209</v>
      </c>
      <c r="B163" s="145" t="s">
        <v>1209</v>
      </c>
      <c r="C163" s="264">
        <v>0.64</v>
      </c>
      <c r="D163" s="265">
        <v>7.1653000000000002</v>
      </c>
      <c r="E163" s="265">
        <v>-8.1541999999999994</v>
      </c>
      <c r="F163" s="122" t="b">
        <f>IF(ISBLANK(FarmUnit[[#This Row],[1. Identifiant interne d’exploitation agricole*]]),"",IF(ISERROR(MATCH(FarmUnit[[#This Row],[1. Identifiant interne d’exploitation agricole*]],GroupMember[1. Identifiant interne d’exploitation agricole*],0)),FALSE,TRUE))</f>
        <v>1</v>
      </c>
      <c r="G163" s="4">
        <f t="shared" si="5"/>
        <v>7.1653000000000002</v>
      </c>
      <c r="H163" s="4">
        <f t="shared" si="6"/>
        <v>-8.1541999999999994</v>
      </c>
      <c r="I163" s="20" t="str">
        <f t="array" ref="I163">IF(ISBLANK(C163),"",IF(C163=MAX(IF(FarmUnit[1. Identifiant interne d’exploitation agricole*]=A163,FarmUnit[3. Superficie de l’unité agricole (ha)*])),"!","-"))</f>
        <v>!</v>
      </c>
      <c r="J163" s="9" t="str">
        <f ca="1">IFERROR(CONCATENATE(VLOOKUP(A163,GM_Table,12,FALSE)," ",(VLOOKUP(A163,GM_Table,13,FALSE))),"")</f>
        <v/>
      </c>
    </row>
    <row r="164" spans="1:10" ht="15" x14ac:dyDescent="0.2">
      <c r="A164" s="145" t="s">
        <v>1213</v>
      </c>
      <c r="B164" s="145" t="s">
        <v>1213</v>
      </c>
      <c r="C164" s="264">
        <v>1.79</v>
      </c>
      <c r="D164" s="265">
        <v>7.1650999999999998</v>
      </c>
      <c r="E164" s="265">
        <v>-8.1544000000000008</v>
      </c>
      <c r="F164" s="122" t="b">
        <f>IF(ISBLANK(FarmUnit[[#This Row],[1. Identifiant interne d’exploitation agricole*]]),"",IF(ISERROR(MATCH(FarmUnit[[#This Row],[1. Identifiant interne d’exploitation agricole*]],GroupMember[1. Identifiant interne d’exploitation agricole*],0)),FALSE,TRUE))</f>
        <v>1</v>
      </c>
      <c r="G164" s="4">
        <f t="shared" si="5"/>
        <v>7.1650999999999998</v>
      </c>
      <c r="H164" s="4">
        <f t="shared" si="6"/>
        <v>-8.1544000000000008</v>
      </c>
      <c r="I164" s="20" t="str">
        <f t="array" ref="I164">IF(ISBLANK(C164),"",IF(C164=MAX(IF(FarmUnit[1. Identifiant interne d’exploitation agricole*]=A164,FarmUnit[3. Superficie de l’unité agricole (ha)*])),"!","-"))</f>
        <v>!</v>
      </c>
      <c r="J164" s="9" t="str">
        <f ca="1">IFERROR(CONCATENATE(VLOOKUP(A164,GM_Table,12,FALSE)," ",(VLOOKUP(A164,GM_Table,13,FALSE))),"")</f>
        <v/>
      </c>
    </row>
    <row r="165" spans="1:10" ht="15" x14ac:dyDescent="0.2">
      <c r="A165" s="145" t="s">
        <v>1215</v>
      </c>
      <c r="B165" s="145" t="s">
        <v>1215</v>
      </c>
      <c r="C165" s="264">
        <v>1.64</v>
      </c>
      <c r="D165" s="265">
        <v>6.9752999999999998</v>
      </c>
      <c r="E165" s="265">
        <v>-8.1266999999999996</v>
      </c>
      <c r="F165" s="122" t="b">
        <f>IF(ISBLANK(FarmUnit[[#This Row],[1. Identifiant interne d’exploitation agricole*]]),"",IF(ISERROR(MATCH(FarmUnit[[#This Row],[1. Identifiant interne d’exploitation agricole*]],GroupMember[1. Identifiant interne d’exploitation agricole*],0)),FALSE,TRUE))</f>
        <v>1</v>
      </c>
      <c r="G165" s="4">
        <f t="shared" si="5"/>
        <v>6.9752999999999998</v>
      </c>
      <c r="H165" s="4">
        <f t="shared" si="6"/>
        <v>-8.1266999999999996</v>
      </c>
      <c r="I165" s="20" t="str">
        <f t="array" ref="I165">IF(ISBLANK(C165),"",IF(C165=MAX(IF(FarmUnit[1. Identifiant interne d’exploitation agricole*]=A165,FarmUnit[3. Superficie de l’unité agricole (ha)*])),"!","-"))</f>
        <v>!</v>
      </c>
      <c r="J165" s="9" t="str">
        <f ca="1">IFERROR(CONCATENATE(VLOOKUP(A165,GM_Table,12,FALSE)," ",(VLOOKUP(A165,GM_Table,13,FALSE))),"")</f>
        <v/>
      </c>
    </row>
    <row r="166" spans="1:10" ht="15" x14ac:dyDescent="0.2">
      <c r="A166" s="145" t="s">
        <v>1216</v>
      </c>
      <c r="B166" s="145" t="s">
        <v>1216</v>
      </c>
      <c r="C166" s="264">
        <v>1.86</v>
      </c>
      <c r="D166" s="265">
        <v>7.1367000000000003</v>
      </c>
      <c r="E166" s="265">
        <v>-8.1982999999999997</v>
      </c>
      <c r="F166" s="122" t="b">
        <f>IF(ISBLANK(FarmUnit[[#This Row],[1. Identifiant interne d’exploitation agricole*]]),"",IF(ISERROR(MATCH(FarmUnit[[#This Row],[1. Identifiant interne d’exploitation agricole*]],GroupMember[1. Identifiant interne d’exploitation agricole*],0)),FALSE,TRUE))</f>
        <v>1</v>
      </c>
      <c r="G166" s="4">
        <f t="shared" si="5"/>
        <v>7.1367000000000003</v>
      </c>
      <c r="H166" s="4">
        <f t="shared" si="6"/>
        <v>-8.1982999999999997</v>
      </c>
      <c r="I166" s="20" t="str">
        <f t="array" ref="I166">IF(ISBLANK(C166),"",IF(C166=MAX(IF(FarmUnit[1. Identifiant interne d’exploitation agricole*]=A166,FarmUnit[3. Superficie de l’unité agricole (ha)*])),"!","-"))</f>
        <v>!</v>
      </c>
      <c r="J166" s="9" t="str">
        <f ca="1">IFERROR(CONCATENATE(VLOOKUP(A166,GM_Table,12,FALSE)," ",(VLOOKUP(A166,GM_Table,13,FALSE))),"")</f>
        <v/>
      </c>
    </row>
    <row r="167" spans="1:10" ht="15" x14ac:dyDescent="0.2">
      <c r="A167" s="145" t="s">
        <v>1218</v>
      </c>
      <c r="B167" s="145" t="s">
        <v>1218</v>
      </c>
      <c r="C167" s="264">
        <v>1.52</v>
      </c>
      <c r="D167" s="265">
        <v>7.0042</v>
      </c>
      <c r="E167" s="265">
        <v>-8.1720000000000006</v>
      </c>
      <c r="F167" s="122" t="b">
        <f>IF(ISBLANK(FarmUnit[[#This Row],[1. Identifiant interne d’exploitation agricole*]]),"",IF(ISERROR(MATCH(FarmUnit[[#This Row],[1. Identifiant interne d’exploitation agricole*]],GroupMember[1. Identifiant interne d’exploitation agricole*],0)),FALSE,TRUE))</f>
        <v>1</v>
      </c>
      <c r="G167" s="4">
        <f t="shared" si="5"/>
        <v>7.0042</v>
      </c>
      <c r="H167" s="4">
        <f t="shared" si="6"/>
        <v>-8.1720000000000006</v>
      </c>
      <c r="I167" s="20" t="str">
        <f t="array" ref="I167">IF(ISBLANK(C167),"",IF(C167=MAX(IF(FarmUnit[1. Identifiant interne d’exploitation agricole*]=A167,FarmUnit[3. Superficie de l’unité agricole (ha)*])),"!","-"))</f>
        <v>!</v>
      </c>
      <c r="J167" s="9" t="str">
        <f ca="1">IFERROR(CONCATENATE(VLOOKUP(A167,GM_Table,12,FALSE)," ",(VLOOKUP(A167,GM_Table,13,FALSE))),"")</f>
        <v/>
      </c>
    </row>
    <row r="168" spans="1:10" ht="15" x14ac:dyDescent="0.2">
      <c r="A168" s="145" t="s">
        <v>1222</v>
      </c>
      <c r="B168" s="145" t="s">
        <v>1222</v>
      </c>
      <c r="C168" s="264">
        <v>2.77</v>
      </c>
      <c r="D168" s="265">
        <v>6.9728000000000003</v>
      </c>
      <c r="E168" s="265">
        <v>-8.1807999999999996</v>
      </c>
      <c r="F168" s="122" t="b">
        <f>IF(ISBLANK(FarmUnit[[#This Row],[1. Identifiant interne d’exploitation agricole*]]),"",IF(ISERROR(MATCH(FarmUnit[[#This Row],[1. Identifiant interne d’exploitation agricole*]],GroupMember[1. Identifiant interne d’exploitation agricole*],0)),FALSE,TRUE))</f>
        <v>1</v>
      </c>
      <c r="G168" s="4">
        <f t="shared" si="5"/>
        <v>6.9728000000000003</v>
      </c>
      <c r="H168" s="4">
        <f t="shared" si="6"/>
        <v>-8.1807999999999996</v>
      </c>
      <c r="I168" s="20" t="str">
        <f t="array" ref="I168">IF(ISBLANK(C168),"",IF(C168=MAX(IF(FarmUnit[1. Identifiant interne d’exploitation agricole*]=A168,FarmUnit[3. Superficie de l’unité agricole (ha)*])),"!","-"))</f>
        <v>!</v>
      </c>
      <c r="J168" s="9" t="str">
        <f ca="1">IFERROR(CONCATENATE(VLOOKUP(A168,GM_Table,12,FALSE)," ",(VLOOKUP(A168,GM_Table,13,FALSE))),"")</f>
        <v/>
      </c>
    </row>
    <row r="169" spans="1:10" ht="15" x14ac:dyDescent="0.2">
      <c r="A169" s="150" t="s">
        <v>1226</v>
      </c>
      <c r="B169" s="150" t="s">
        <v>1226</v>
      </c>
      <c r="C169" s="264">
        <v>0.65</v>
      </c>
      <c r="D169" s="265">
        <v>7.1510999999999996</v>
      </c>
      <c r="E169" s="265">
        <v>-8.0338999999999992</v>
      </c>
      <c r="F169" s="122" t="b">
        <f>IF(ISBLANK(FarmUnit[[#This Row],[1. Identifiant interne d’exploitation agricole*]]),"",IF(ISERROR(MATCH(FarmUnit[[#This Row],[1. Identifiant interne d’exploitation agricole*]],GroupMember[1. Identifiant interne d’exploitation agricole*],0)),FALSE,TRUE))</f>
        <v>1</v>
      </c>
      <c r="G169" s="4">
        <f t="shared" si="5"/>
        <v>7.1510999999999996</v>
      </c>
      <c r="H169" s="4">
        <f t="shared" si="6"/>
        <v>-8.0338999999999992</v>
      </c>
      <c r="I169" s="20" t="str">
        <f t="array" ref="I169">IF(ISBLANK(C169),"",IF(C169=MAX(IF(FarmUnit[1. Identifiant interne d’exploitation agricole*]=A169,FarmUnit[3. Superficie de l’unité agricole (ha)*])),"!","-"))</f>
        <v>!</v>
      </c>
      <c r="J169" s="9" t="str">
        <f ca="1">IFERROR(CONCATENATE(VLOOKUP(A169,GM_Table,12,FALSE)," ",(VLOOKUP(A169,GM_Table,13,FALSE))),"")</f>
        <v/>
      </c>
    </row>
    <row r="170" spans="1:10" ht="15" x14ac:dyDescent="0.2">
      <c r="A170" s="150" t="s">
        <v>1229</v>
      </c>
      <c r="B170" s="150" t="s">
        <v>1229</v>
      </c>
      <c r="C170" s="264">
        <v>2.42</v>
      </c>
      <c r="D170" s="265">
        <v>7.1725000000000003</v>
      </c>
      <c r="E170" s="265">
        <v>-8.1485000000000003</v>
      </c>
      <c r="F170" s="122" t="b">
        <f>IF(ISBLANK(FarmUnit[[#This Row],[1. Identifiant interne d’exploitation agricole*]]),"",IF(ISERROR(MATCH(FarmUnit[[#This Row],[1. Identifiant interne d’exploitation agricole*]],GroupMember[1. Identifiant interne d’exploitation agricole*],0)),FALSE,TRUE))</f>
        <v>1</v>
      </c>
      <c r="G170" s="4">
        <f t="shared" si="5"/>
        <v>7.1725000000000003</v>
      </c>
      <c r="H170" s="4">
        <f t="shared" si="6"/>
        <v>-8.1485000000000003</v>
      </c>
      <c r="I170" s="20" t="str">
        <f t="array" ref="I170">IF(ISBLANK(C170),"",IF(C170=MAX(IF(FarmUnit[1. Identifiant interne d’exploitation agricole*]=A170,FarmUnit[3. Superficie de l’unité agricole (ha)*])),"!","-"))</f>
        <v>!</v>
      </c>
      <c r="J170" s="9" t="str">
        <f ca="1">IFERROR(CONCATENATE(VLOOKUP(A170,GM_Table,12,FALSE)," ",(VLOOKUP(A170,GM_Table,13,FALSE))),"")</f>
        <v/>
      </c>
    </row>
    <row r="171" spans="1:10" ht="15" x14ac:dyDescent="0.2">
      <c r="A171" s="150" t="s">
        <v>1232</v>
      </c>
      <c r="B171" s="150" t="s">
        <v>1232</v>
      </c>
      <c r="C171" s="264">
        <v>1.38</v>
      </c>
      <c r="D171" s="265">
        <v>6.9878</v>
      </c>
      <c r="E171" s="265">
        <v>-8.1724999999999994</v>
      </c>
      <c r="F171" s="122" t="b">
        <f>IF(ISBLANK(FarmUnit[[#This Row],[1. Identifiant interne d’exploitation agricole*]]),"",IF(ISERROR(MATCH(FarmUnit[[#This Row],[1. Identifiant interne d’exploitation agricole*]],GroupMember[1. Identifiant interne d’exploitation agricole*],0)),FALSE,TRUE))</f>
        <v>1</v>
      </c>
      <c r="G171" s="4">
        <f t="shared" si="5"/>
        <v>6.9878</v>
      </c>
      <c r="H171" s="4">
        <f t="shared" si="6"/>
        <v>-8.1724999999999994</v>
      </c>
      <c r="I171" s="20" t="str">
        <f t="array" ref="I171">IF(ISBLANK(C171),"",IF(C171=MAX(IF(FarmUnit[1. Identifiant interne d’exploitation agricole*]=A171,FarmUnit[3. Superficie de l’unité agricole (ha)*])),"!","-"))</f>
        <v>!</v>
      </c>
      <c r="J171" s="9" t="str">
        <f ca="1">IFERROR(CONCATENATE(VLOOKUP(A171,GM_Table,12,FALSE)," ",(VLOOKUP(A171,GM_Table,13,FALSE))),"")</f>
        <v/>
      </c>
    </row>
    <row r="172" spans="1:10" ht="15" x14ac:dyDescent="0.2">
      <c r="A172" s="150" t="s">
        <v>1235</v>
      </c>
      <c r="B172" s="150" t="s">
        <v>1235</v>
      </c>
      <c r="C172" s="264">
        <v>1.05</v>
      </c>
      <c r="D172" s="265">
        <v>7.1264000000000003</v>
      </c>
      <c r="E172" s="265">
        <v>-7.992</v>
      </c>
      <c r="F172" s="122" t="b">
        <f>IF(ISBLANK(FarmUnit[[#This Row],[1. Identifiant interne d’exploitation agricole*]]),"",IF(ISERROR(MATCH(FarmUnit[[#This Row],[1. Identifiant interne d’exploitation agricole*]],GroupMember[1. Identifiant interne d’exploitation agricole*],0)),FALSE,TRUE))</f>
        <v>1</v>
      </c>
      <c r="G172" s="4">
        <f t="shared" si="5"/>
        <v>7.1264000000000003</v>
      </c>
      <c r="H172" s="4">
        <f t="shared" si="6"/>
        <v>-7.992</v>
      </c>
      <c r="I172" s="20" t="str">
        <f t="array" ref="I172">IF(ISBLANK(C172),"",IF(C172=MAX(IF(FarmUnit[1. Identifiant interne d’exploitation agricole*]=A172,FarmUnit[3. Superficie de l’unité agricole (ha)*])),"!","-"))</f>
        <v>!</v>
      </c>
      <c r="J172" s="9" t="str">
        <f ca="1">IFERROR(CONCATENATE(VLOOKUP(A172,GM_Table,12,FALSE)," ",(VLOOKUP(A172,GM_Table,13,FALSE))),"")</f>
        <v/>
      </c>
    </row>
    <row r="173" spans="1:10" ht="15" x14ac:dyDescent="0.2">
      <c r="A173" s="150" t="s">
        <v>1238</v>
      </c>
      <c r="B173" s="150" t="s">
        <v>1238</v>
      </c>
      <c r="C173" s="264">
        <v>1.91</v>
      </c>
      <c r="D173" s="265">
        <v>7.1936</v>
      </c>
      <c r="E173" s="265">
        <v>-8.1480999999999995</v>
      </c>
      <c r="F173" s="122" t="b">
        <f>IF(ISBLANK(FarmUnit[[#This Row],[1. Identifiant interne d’exploitation agricole*]]),"",IF(ISERROR(MATCH(FarmUnit[[#This Row],[1. Identifiant interne d’exploitation agricole*]],GroupMember[1. Identifiant interne d’exploitation agricole*],0)),FALSE,TRUE))</f>
        <v>1</v>
      </c>
      <c r="G173" s="4">
        <f t="shared" si="5"/>
        <v>7.1936</v>
      </c>
      <c r="H173" s="4">
        <f t="shared" si="6"/>
        <v>-8.1480999999999995</v>
      </c>
      <c r="I173" s="20" t="str">
        <f t="array" ref="I173">IF(ISBLANK(C173),"",IF(C173=MAX(IF(FarmUnit[1. Identifiant interne d’exploitation agricole*]=A173,FarmUnit[3. Superficie de l’unité agricole (ha)*])),"!","-"))</f>
        <v>!</v>
      </c>
      <c r="J173" s="9" t="str">
        <f ca="1">IFERROR(CONCATENATE(VLOOKUP(A173,GM_Table,12,FALSE)," ",(VLOOKUP(A173,GM_Table,13,FALSE))),"")</f>
        <v/>
      </c>
    </row>
    <row r="174" spans="1:10" ht="15" x14ac:dyDescent="0.2">
      <c r="A174" s="150" t="s">
        <v>1241</v>
      </c>
      <c r="B174" s="150" t="s">
        <v>1241</v>
      </c>
      <c r="C174" s="264">
        <v>1.62</v>
      </c>
      <c r="D174" s="265">
        <v>7.1868999999999996</v>
      </c>
      <c r="E174" s="265">
        <v>-8.1396999999999995</v>
      </c>
      <c r="F174" s="122" t="b">
        <f>IF(ISBLANK(FarmUnit[[#This Row],[1. Identifiant interne d’exploitation agricole*]]),"",IF(ISERROR(MATCH(FarmUnit[[#This Row],[1. Identifiant interne d’exploitation agricole*]],GroupMember[1. Identifiant interne d’exploitation agricole*],0)),FALSE,TRUE))</f>
        <v>1</v>
      </c>
      <c r="G174" s="4">
        <f t="shared" si="5"/>
        <v>7.1868999999999996</v>
      </c>
      <c r="H174" s="4">
        <f t="shared" si="6"/>
        <v>-8.1396999999999995</v>
      </c>
      <c r="I174" s="20" t="str">
        <f t="array" ref="I174">IF(ISBLANK(C174),"",IF(C174=MAX(IF(FarmUnit[1. Identifiant interne d’exploitation agricole*]=A174,FarmUnit[3. Superficie de l’unité agricole (ha)*])),"!","-"))</f>
        <v>!</v>
      </c>
      <c r="J174" s="9" t="str">
        <f ca="1">IFERROR(CONCATENATE(VLOOKUP(A174,GM_Table,12,FALSE)," ",(VLOOKUP(A174,GM_Table,13,FALSE))),"")</f>
        <v/>
      </c>
    </row>
    <row r="175" spans="1:10" ht="15" x14ac:dyDescent="0.2">
      <c r="A175" s="150" t="s">
        <v>1243</v>
      </c>
      <c r="B175" s="150" t="s">
        <v>1243</v>
      </c>
      <c r="C175" s="264">
        <v>1.63</v>
      </c>
      <c r="D175" s="265">
        <v>7.1920999999999999</v>
      </c>
      <c r="E175" s="265">
        <v>-8.0100999999999996</v>
      </c>
      <c r="F175" s="122" t="b">
        <f>IF(ISBLANK(FarmUnit[[#This Row],[1. Identifiant interne d’exploitation agricole*]]),"",IF(ISERROR(MATCH(FarmUnit[[#This Row],[1. Identifiant interne d’exploitation agricole*]],GroupMember[1. Identifiant interne d’exploitation agricole*],0)),FALSE,TRUE))</f>
        <v>1</v>
      </c>
      <c r="G175" s="4">
        <f t="shared" si="5"/>
        <v>7.1920999999999999</v>
      </c>
      <c r="H175" s="4">
        <f t="shared" si="6"/>
        <v>-8.0100999999999996</v>
      </c>
      <c r="I175" s="20" t="str">
        <f t="array" ref="I175">IF(ISBLANK(C175),"",IF(C175=MAX(IF(FarmUnit[1. Identifiant interne d’exploitation agricole*]=A175,FarmUnit[3. Superficie de l’unité agricole (ha)*])),"!","-"))</f>
        <v>!</v>
      </c>
      <c r="J175" s="9" t="str">
        <f ca="1">IFERROR(CONCATENATE(VLOOKUP(A175,GM_Table,12,FALSE)," ",(VLOOKUP(A175,GM_Table,13,FALSE))),"")</f>
        <v/>
      </c>
    </row>
    <row r="176" spans="1:10" ht="15" x14ac:dyDescent="0.2">
      <c r="A176" s="150" t="s">
        <v>1245</v>
      </c>
      <c r="B176" s="150" t="s">
        <v>1245</v>
      </c>
      <c r="C176" s="264">
        <v>2</v>
      </c>
      <c r="D176" s="267">
        <v>6.9316000000000004</v>
      </c>
      <c r="E176" s="267">
        <v>-7.9604999999999997</v>
      </c>
      <c r="F176" s="122" t="b">
        <f>IF(ISBLANK(FarmUnit[[#This Row],[1. Identifiant interne d’exploitation agricole*]]),"",IF(ISERROR(MATCH(FarmUnit[[#This Row],[1. Identifiant interne d’exploitation agricole*]],GroupMember[1. Identifiant interne d’exploitation agricole*],0)),FALSE,TRUE))</f>
        <v>1</v>
      </c>
      <c r="G176" s="4">
        <f t="shared" si="5"/>
        <v>6.9316000000000004</v>
      </c>
      <c r="H176" s="4">
        <f t="shared" si="6"/>
        <v>-7.9604999999999997</v>
      </c>
      <c r="I176" s="20" t="str">
        <f t="array" ref="I176">IF(ISBLANK(C176),"",IF(C176=MAX(IF(FarmUnit[1. Identifiant interne d’exploitation agricole*]=A176,FarmUnit[3. Superficie de l’unité agricole (ha)*])),"!","-"))</f>
        <v>!</v>
      </c>
      <c r="J176" s="9" t="str">
        <f ca="1">IFERROR(CONCATENATE(VLOOKUP(A176,GM_Table,12,FALSE)," ",(VLOOKUP(A176,GM_Table,13,FALSE))),"")</f>
        <v/>
      </c>
    </row>
    <row r="177" spans="1:10" ht="15" x14ac:dyDescent="0.2">
      <c r="A177" s="150" t="s">
        <v>1247</v>
      </c>
      <c r="B177" s="150" t="s">
        <v>1247</v>
      </c>
      <c r="C177" s="264">
        <v>1.51</v>
      </c>
      <c r="D177" s="265">
        <v>7.2061000000000002</v>
      </c>
      <c r="E177" s="265">
        <v>-8.0206</v>
      </c>
      <c r="F177" s="122" t="b">
        <f>IF(ISBLANK(FarmUnit[[#This Row],[1. Identifiant interne d’exploitation agricole*]]),"",IF(ISERROR(MATCH(FarmUnit[[#This Row],[1. Identifiant interne d’exploitation agricole*]],GroupMember[1. Identifiant interne d’exploitation agricole*],0)),FALSE,TRUE))</f>
        <v>1</v>
      </c>
      <c r="G177" s="4">
        <f t="shared" si="5"/>
        <v>7.2061000000000002</v>
      </c>
      <c r="H177" s="4">
        <f t="shared" si="6"/>
        <v>-8.0206</v>
      </c>
      <c r="I177" s="20" t="str">
        <f t="array" ref="I177">IF(ISBLANK(C177),"",IF(C177=MAX(IF(FarmUnit[1. Identifiant interne d’exploitation agricole*]=A177,FarmUnit[3. Superficie de l’unité agricole (ha)*])),"!","-"))</f>
        <v>!</v>
      </c>
      <c r="J177" s="9" t="str">
        <f ca="1">IFERROR(CONCATENATE(VLOOKUP(A177,GM_Table,12,FALSE)," ",(VLOOKUP(A177,GM_Table,13,FALSE))),"")</f>
        <v/>
      </c>
    </row>
    <row r="178" spans="1:10" ht="15" x14ac:dyDescent="0.2">
      <c r="A178" s="150" t="s">
        <v>1249</v>
      </c>
      <c r="B178" s="150" t="s">
        <v>1249</v>
      </c>
      <c r="C178" s="264">
        <v>2.16</v>
      </c>
      <c r="D178" s="265">
        <v>7.1928000000000001</v>
      </c>
      <c r="E178" s="265">
        <v>-8.2013999999999996</v>
      </c>
      <c r="F178" s="122" t="b">
        <f>IF(ISBLANK(FarmUnit[[#This Row],[1. Identifiant interne d’exploitation agricole*]]),"",IF(ISERROR(MATCH(FarmUnit[[#This Row],[1. Identifiant interne d’exploitation agricole*]],GroupMember[1. Identifiant interne d’exploitation agricole*],0)),FALSE,TRUE))</f>
        <v>1</v>
      </c>
      <c r="G178" s="4">
        <f t="shared" si="5"/>
        <v>7.1928000000000001</v>
      </c>
      <c r="H178" s="4">
        <f t="shared" si="6"/>
        <v>-8.2013999999999996</v>
      </c>
      <c r="I178" s="20" t="str">
        <f t="array" ref="I178">IF(ISBLANK(C178),"",IF(C178=MAX(IF(FarmUnit[1. Identifiant interne d’exploitation agricole*]=A178,FarmUnit[3. Superficie de l’unité agricole (ha)*])),"!","-"))</f>
        <v>!</v>
      </c>
      <c r="J178" s="9" t="str">
        <f ca="1">IFERROR(CONCATENATE(VLOOKUP(A178,GM_Table,12,FALSE)," ",(VLOOKUP(A178,GM_Table,13,FALSE))),"")</f>
        <v/>
      </c>
    </row>
    <row r="179" spans="1:10" ht="15" x14ac:dyDescent="0.2">
      <c r="A179" s="150" t="s">
        <v>1252</v>
      </c>
      <c r="B179" s="150" t="s">
        <v>1252</v>
      </c>
      <c r="C179" s="264">
        <v>1.42</v>
      </c>
      <c r="D179" s="265">
        <v>7.1924999999999999</v>
      </c>
      <c r="E179" s="265">
        <v>-8.2012</v>
      </c>
      <c r="F179" s="122" t="b">
        <f>IF(ISBLANK(FarmUnit[[#This Row],[1. Identifiant interne d’exploitation agricole*]]),"",IF(ISERROR(MATCH(FarmUnit[[#This Row],[1. Identifiant interne d’exploitation agricole*]],GroupMember[1. Identifiant interne d’exploitation agricole*],0)),FALSE,TRUE))</f>
        <v>1</v>
      </c>
      <c r="G179" s="4">
        <f t="shared" ref="G179:G242" si="7">IF(D179=0,"",D179)</f>
        <v>7.1924999999999999</v>
      </c>
      <c r="H179" s="4">
        <f t="shared" ref="H179:H242" si="8">IF(E179=0,"",E179)</f>
        <v>-8.2012</v>
      </c>
      <c r="I179" s="20" t="str">
        <f t="array" ref="I179">IF(ISBLANK(C179),"",IF(C179=MAX(IF(FarmUnit[1. Identifiant interne d’exploitation agricole*]=A179,FarmUnit[3. Superficie de l’unité agricole (ha)*])),"!","-"))</f>
        <v>!</v>
      </c>
      <c r="J179" s="9" t="str">
        <f ca="1">IFERROR(CONCATENATE(VLOOKUP(A179,GM_Table,12,FALSE)," ",(VLOOKUP(A179,GM_Table,13,FALSE))),"")</f>
        <v/>
      </c>
    </row>
    <row r="180" spans="1:10" ht="15" x14ac:dyDescent="0.2">
      <c r="A180" s="150" t="s">
        <v>1255</v>
      </c>
      <c r="B180" s="150" t="s">
        <v>1255</v>
      </c>
      <c r="C180" s="264">
        <v>1.89</v>
      </c>
      <c r="D180" s="267">
        <v>6.9447000000000001</v>
      </c>
      <c r="E180" s="267">
        <v>-7.9839000000000002</v>
      </c>
      <c r="F180" s="122" t="b">
        <f>IF(ISBLANK(FarmUnit[[#This Row],[1. Identifiant interne d’exploitation agricole*]]),"",IF(ISERROR(MATCH(FarmUnit[[#This Row],[1. Identifiant interne d’exploitation agricole*]],GroupMember[1. Identifiant interne d’exploitation agricole*],0)),FALSE,TRUE))</f>
        <v>1</v>
      </c>
      <c r="G180" s="4">
        <f t="shared" si="7"/>
        <v>6.9447000000000001</v>
      </c>
      <c r="H180" s="4">
        <f t="shared" si="8"/>
        <v>-7.9839000000000002</v>
      </c>
      <c r="I180" s="20" t="str">
        <f t="array" ref="I180">IF(ISBLANK(C180),"",IF(C180=MAX(IF(FarmUnit[1. Identifiant interne d’exploitation agricole*]=A180,FarmUnit[3. Superficie de l’unité agricole (ha)*])),"!","-"))</f>
        <v>!</v>
      </c>
      <c r="J180" s="9" t="str">
        <f ca="1">IFERROR(CONCATENATE(VLOOKUP(A180,GM_Table,12,FALSE)," ",(VLOOKUP(A180,GM_Table,13,FALSE))),"")</f>
        <v/>
      </c>
    </row>
    <row r="181" spans="1:10" ht="15" x14ac:dyDescent="0.2">
      <c r="A181" s="150" t="s">
        <v>1258</v>
      </c>
      <c r="B181" s="150" t="s">
        <v>1258</v>
      </c>
      <c r="C181" s="264">
        <v>1.68</v>
      </c>
      <c r="D181" s="267">
        <v>6.9375999999999998</v>
      </c>
      <c r="E181" s="267">
        <v>-7.9752000000000001</v>
      </c>
      <c r="F181" s="122" t="b">
        <f>IF(ISBLANK(FarmUnit[[#This Row],[1. Identifiant interne d’exploitation agricole*]]),"",IF(ISERROR(MATCH(FarmUnit[[#This Row],[1. Identifiant interne d’exploitation agricole*]],GroupMember[1. Identifiant interne d’exploitation agricole*],0)),FALSE,TRUE))</f>
        <v>1</v>
      </c>
      <c r="G181" s="4">
        <f t="shared" si="7"/>
        <v>6.9375999999999998</v>
      </c>
      <c r="H181" s="4">
        <f t="shared" si="8"/>
        <v>-7.9752000000000001</v>
      </c>
      <c r="I181" s="20" t="str">
        <f t="array" ref="I181">IF(ISBLANK(C181),"",IF(C181=MAX(IF(FarmUnit[1. Identifiant interne d’exploitation agricole*]=A181,FarmUnit[3. Superficie de l’unité agricole (ha)*])),"!","-"))</f>
        <v>!</v>
      </c>
      <c r="J181" s="9" t="str">
        <f ca="1">IFERROR(CONCATENATE(VLOOKUP(A181,GM_Table,12,FALSE)," ",(VLOOKUP(A181,GM_Table,13,FALSE))),"")</f>
        <v/>
      </c>
    </row>
    <row r="182" spans="1:10" ht="15" x14ac:dyDescent="0.2">
      <c r="A182" s="150" t="s">
        <v>1260</v>
      </c>
      <c r="B182" s="150" t="s">
        <v>1260</v>
      </c>
      <c r="C182" s="264">
        <v>1.1200000000000001</v>
      </c>
      <c r="D182" s="265">
        <v>6.9961000000000002</v>
      </c>
      <c r="E182" s="265">
        <v>-8.0696999999999992</v>
      </c>
      <c r="F182" s="122" t="b">
        <f>IF(ISBLANK(FarmUnit[[#This Row],[1. Identifiant interne d’exploitation agricole*]]),"",IF(ISERROR(MATCH(FarmUnit[[#This Row],[1. Identifiant interne d’exploitation agricole*]],GroupMember[1. Identifiant interne d’exploitation agricole*],0)),FALSE,TRUE))</f>
        <v>1</v>
      </c>
      <c r="G182" s="4">
        <f t="shared" si="7"/>
        <v>6.9961000000000002</v>
      </c>
      <c r="H182" s="4">
        <f t="shared" si="8"/>
        <v>-8.0696999999999992</v>
      </c>
      <c r="I182" s="20" t="str">
        <f t="array" ref="I182">IF(ISBLANK(C182),"",IF(C182=MAX(IF(FarmUnit[1. Identifiant interne d’exploitation agricole*]=A182,FarmUnit[3. Superficie de l’unité agricole (ha)*])),"!","-"))</f>
        <v>!</v>
      </c>
      <c r="J182" s="9" t="str">
        <f ca="1">IFERROR(CONCATENATE(VLOOKUP(A182,GM_Table,12,FALSE)," ",(VLOOKUP(A182,GM_Table,13,FALSE))),"")</f>
        <v/>
      </c>
    </row>
    <row r="183" spans="1:10" ht="15" x14ac:dyDescent="0.2">
      <c r="A183" s="150" t="s">
        <v>1263</v>
      </c>
      <c r="B183" s="150" t="s">
        <v>1263</v>
      </c>
      <c r="C183" s="264">
        <v>1.57</v>
      </c>
      <c r="D183" s="265">
        <v>7.0946999999999996</v>
      </c>
      <c r="E183" s="265">
        <v>-8.2200000000000006</v>
      </c>
      <c r="F183" s="122" t="b">
        <f>IF(ISBLANK(FarmUnit[[#This Row],[1. Identifiant interne d’exploitation agricole*]]),"",IF(ISERROR(MATCH(FarmUnit[[#This Row],[1. Identifiant interne d’exploitation agricole*]],GroupMember[1. Identifiant interne d’exploitation agricole*],0)),FALSE,TRUE))</f>
        <v>1</v>
      </c>
      <c r="G183" s="4">
        <f t="shared" si="7"/>
        <v>7.0946999999999996</v>
      </c>
      <c r="H183" s="4">
        <f t="shared" si="8"/>
        <v>-8.2200000000000006</v>
      </c>
      <c r="I183" s="20" t="str">
        <f t="array" ref="I183">IF(ISBLANK(C183),"",IF(C183=MAX(IF(FarmUnit[1. Identifiant interne d’exploitation agricole*]=A183,FarmUnit[3. Superficie de l’unité agricole (ha)*])),"!","-"))</f>
        <v>!</v>
      </c>
      <c r="J183" s="9" t="str">
        <f ca="1">IFERROR(CONCATENATE(VLOOKUP(A183,GM_Table,12,FALSE)," ",(VLOOKUP(A183,GM_Table,13,FALSE))),"")</f>
        <v/>
      </c>
    </row>
    <row r="184" spans="1:10" ht="15" x14ac:dyDescent="0.2">
      <c r="A184" s="150" t="s">
        <v>1265</v>
      </c>
      <c r="B184" s="150" t="s">
        <v>1265</v>
      </c>
      <c r="C184" s="264">
        <v>1.31</v>
      </c>
      <c r="D184" s="265">
        <v>7.0414000000000003</v>
      </c>
      <c r="E184" s="265">
        <v>-8.1791999999999998</v>
      </c>
      <c r="F184" s="122" t="b">
        <f>IF(ISBLANK(FarmUnit[[#This Row],[1. Identifiant interne d’exploitation agricole*]]),"",IF(ISERROR(MATCH(FarmUnit[[#This Row],[1. Identifiant interne d’exploitation agricole*]],GroupMember[1. Identifiant interne d’exploitation agricole*],0)),FALSE,TRUE))</f>
        <v>1</v>
      </c>
      <c r="G184" s="4">
        <f t="shared" si="7"/>
        <v>7.0414000000000003</v>
      </c>
      <c r="H184" s="4">
        <f t="shared" si="8"/>
        <v>-8.1791999999999998</v>
      </c>
      <c r="I184" s="20" t="str">
        <f t="array" ref="I184">IF(ISBLANK(C184),"",IF(C184=MAX(IF(FarmUnit[1. Identifiant interne d’exploitation agricole*]=A184,FarmUnit[3. Superficie de l’unité agricole (ha)*])),"!","-"))</f>
        <v>!</v>
      </c>
      <c r="J184" s="9" t="str">
        <f ca="1">IFERROR(CONCATENATE(VLOOKUP(A184,GM_Table,12,FALSE)," ",(VLOOKUP(A184,GM_Table,13,FALSE))),"")</f>
        <v/>
      </c>
    </row>
    <row r="185" spans="1:10" ht="15" x14ac:dyDescent="0.2">
      <c r="A185" s="150" t="s">
        <v>1267</v>
      </c>
      <c r="B185" s="150" t="s">
        <v>1267</v>
      </c>
      <c r="C185" s="264">
        <v>1.73</v>
      </c>
      <c r="D185" s="267">
        <v>6.9474999999999998</v>
      </c>
      <c r="E185" s="267">
        <v>-7.9817999999999998</v>
      </c>
      <c r="F185" s="122" t="b">
        <f>IF(ISBLANK(FarmUnit[[#This Row],[1. Identifiant interne d’exploitation agricole*]]),"",IF(ISERROR(MATCH(FarmUnit[[#This Row],[1. Identifiant interne d’exploitation agricole*]],GroupMember[1. Identifiant interne d’exploitation agricole*],0)),FALSE,TRUE))</f>
        <v>1</v>
      </c>
      <c r="G185" s="4">
        <f t="shared" si="7"/>
        <v>6.9474999999999998</v>
      </c>
      <c r="H185" s="4">
        <f t="shared" si="8"/>
        <v>-7.9817999999999998</v>
      </c>
      <c r="I185" s="20" t="str">
        <f t="array" ref="I185">IF(ISBLANK(C185),"",IF(C185=MAX(IF(FarmUnit[1. Identifiant interne d’exploitation agricole*]=A185,FarmUnit[3. Superficie de l’unité agricole (ha)*])),"!","-"))</f>
        <v>!</v>
      </c>
      <c r="J185" s="9" t="str">
        <f ca="1">IFERROR(CONCATENATE(VLOOKUP(A185,GM_Table,12,FALSE)," ",(VLOOKUP(A185,GM_Table,13,FALSE))),"")</f>
        <v/>
      </c>
    </row>
    <row r="186" spans="1:10" ht="15" x14ac:dyDescent="0.2">
      <c r="A186" s="150" t="s">
        <v>1269</v>
      </c>
      <c r="B186" s="150" t="s">
        <v>1269</v>
      </c>
      <c r="C186" s="264">
        <v>1.1000000000000001</v>
      </c>
      <c r="D186" s="265">
        <v>7.1802000000000001</v>
      </c>
      <c r="E186" s="265">
        <v>-7.9840999999999998</v>
      </c>
      <c r="F186" s="122" t="b">
        <f>IF(ISBLANK(FarmUnit[[#This Row],[1. Identifiant interne d’exploitation agricole*]]),"",IF(ISERROR(MATCH(FarmUnit[[#This Row],[1. Identifiant interne d’exploitation agricole*]],GroupMember[1. Identifiant interne d’exploitation agricole*],0)),FALSE,TRUE))</f>
        <v>1</v>
      </c>
      <c r="G186" s="4">
        <f t="shared" si="7"/>
        <v>7.1802000000000001</v>
      </c>
      <c r="H186" s="4">
        <f t="shared" si="8"/>
        <v>-7.9840999999999998</v>
      </c>
      <c r="I186" s="20" t="str">
        <f t="array" ref="I186">IF(ISBLANK(C186),"",IF(C186=MAX(IF(FarmUnit[1. Identifiant interne d’exploitation agricole*]=A186,FarmUnit[3. Superficie de l’unité agricole (ha)*])),"!","-"))</f>
        <v>!</v>
      </c>
      <c r="J186" s="9" t="str">
        <f ca="1">IFERROR(CONCATENATE(VLOOKUP(A186,GM_Table,12,FALSE)," ",(VLOOKUP(A186,GM_Table,13,FALSE))),"")</f>
        <v/>
      </c>
    </row>
    <row r="187" spans="1:10" ht="15" x14ac:dyDescent="0.2">
      <c r="A187" s="150" t="s">
        <v>1271</v>
      </c>
      <c r="B187" s="150" t="s">
        <v>1271</v>
      </c>
      <c r="C187" s="264">
        <v>1.59</v>
      </c>
      <c r="D187" s="267">
        <v>6.9340000000000002</v>
      </c>
      <c r="E187" s="267">
        <v>-7.9678000000000004</v>
      </c>
      <c r="F187" s="122" t="b">
        <f>IF(ISBLANK(FarmUnit[[#This Row],[1. Identifiant interne d’exploitation agricole*]]),"",IF(ISERROR(MATCH(FarmUnit[[#This Row],[1. Identifiant interne d’exploitation agricole*]],GroupMember[1. Identifiant interne d’exploitation agricole*],0)),FALSE,TRUE))</f>
        <v>1</v>
      </c>
      <c r="G187" s="4">
        <f t="shared" si="7"/>
        <v>6.9340000000000002</v>
      </c>
      <c r="H187" s="4">
        <f t="shared" si="8"/>
        <v>-7.9678000000000004</v>
      </c>
      <c r="I187" s="20" t="str">
        <f t="array" ref="I187">IF(ISBLANK(C187),"",IF(C187=MAX(IF(FarmUnit[1. Identifiant interne d’exploitation agricole*]=A187,FarmUnit[3. Superficie de l’unité agricole (ha)*])),"!","-"))</f>
        <v>!</v>
      </c>
      <c r="J187" s="9" t="str">
        <f ca="1">IFERROR(CONCATENATE(VLOOKUP(A187,GM_Table,12,FALSE)," ",(VLOOKUP(A187,GM_Table,13,FALSE))),"")</f>
        <v/>
      </c>
    </row>
    <row r="188" spans="1:10" ht="15" x14ac:dyDescent="0.2">
      <c r="A188" s="150" t="s">
        <v>1274</v>
      </c>
      <c r="B188" s="150" t="s">
        <v>1274</v>
      </c>
      <c r="C188" s="264">
        <v>1.18</v>
      </c>
      <c r="D188" s="265">
        <v>6.9109999999999996</v>
      </c>
      <c r="E188" s="265">
        <v>-7.9576000000000002</v>
      </c>
      <c r="F188" s="122" t="b">
        <f>IF(ISBLANK(FarmUnit[[#This Row],[1. Identifiant interne d’exploitation agricole*]]),"",IF(ISERROR(MATCH(FarmUnit[[#This Row],[1. Identifiant interne d’exploitation agricole*]],GroupMember[1. Identifiant interne d’exploitation agricole*],0)),FALSE,TRUE))</f>
        <v>1</v>
      </c>
      <c r="G188" s="4">
        <f t="shared" si="7"/>
        <v>6.9109999999999996</v>
      </c>
      <c r="H188" s="4">
        <f t="shared" si="8"/>
        <v>-7.9576000000000002</v>
      </c>
      <c r="I188" s="20" t="str">
        <f t="array" ref="I188">IF(ISBLANK(C188),"",IF(C188=MAX(IF(FarmUnit[1. Identifiant interne d’exploitation agricole*]=A188,FarmUnit[3. Superficie de l’unité agricole (ha)*])),"!","-"))</f>
        <v>!</v>
      </c>
      <c r="J188" s="9" t="str">
        <f ca="1">IFERROR(CONCATENATE(VLOOKUP(A188,GM_Table,12,FALSE)," ",(VLOOKUP(A188,GM_Table,13,FALSE))),"")</f>
        <v/>
      </c>
    </row>
    <row r="189" spans="1:10" ht="15" x14ac:dyDescent="0.2">
      <c r="A189" s="150" t="s">
        <v>1276</v>
      </c>
      <c r="B189" s="150" t="s">
        <v>1276</v>
      </c>
      <c r="C189" s="264">
        <v>2.12</v>
      </c>
      <c r="D189" s="265">
        <v>6.9112999999999998</v>
      </c>
      <c r="E189" s="265">
        <v>-7.9577</v>
      </c>
      <c r="F189" s="122" t="b">
        <f>IF(ISBLANK(FarmUnit[[#This Row],[1. Identifiant interne d’exploitation agricole*]]),"",IF(ISERROR(MATCH(FarmUnit[[#This Row],[1. Identifiant interne d’exploitation agricole*]],GroupMember[1. Identifiant interne d’exploitation agricole*],0)),FALSE,TRUE))</f>
        <v>1</v>
      </c>
      <c r="G189" s="4">
        <f t="shared" si="7"/>
        <v>6.9112999999999998</v>
      </c>
      <c r="H189" s="4">
        <f t="shared" si="8"/>
        <v>-7.9577</v>
      </c>
      <c r="I189" s="20" t="str">
        <f t="array" ref="I189">IF(ISBLANK(C189),"",IF(C189=MAX(IF(FarmUnit[1. Identifiant interne d’exploitation agricole*]=A189,FarmUnit[3. Superficie de l’unité agricole (ha)*])),"!","-"))</f>
        <v>!</v>
      </c>
      <c r="J189" s="9" t="str">
        <f ca="1">IFERROR(CONCATENATE(VLOOKUP(A189,GM_Table,12,FALSE)," ",(VLOOKUP(A189,GM_Table,13,FALSE))),"")</f>
        <v/>
      </c>
    </row>
    <row r="190" spans="1:10" ht="15" x14ac:dyDescent="0.2">
      <c r="A190" s="150" t="s">
        <v>1278</v>
      </c>
      <c r="B190" s="150" t="s">
        <v>1278</v>
      </c>
      <c r="C190" s="264">
        <v>0.94</v>
      </c>
      <c r="D190" s="265">
        <v>7.1238999999999999</v>
      </c>
      <c r="E190" s="265">
        <v>-8.0155999999999992</v>
      </c>
      <c r="F190" s="122" t="b">
        <f>IF(ISBLANK(FarmUnit[[#This Row],[1. Identifiant interne d’exploitation agricole*]]),"",IF(ISERROR(MATCH(FarmUnit[[#This Row],[1. Identifiant interne d’exploitation agricole*]],GroupMember[1. Identifiant interne d’exploitation agricole*],0)),FALSE,TRUE))</f>
        <v>1</v>
      </c>
      <c r="G190" s="4">
        <f t="shared" si="7"/>
        <v>7.1238999999999999</v>
      </c>
      <c r="H190" s="4">
        <f t="shared" si="8"/>
        <v>-8.0155999999999992</v>
      </c>
      <c r="I190" s="20" t="str">
        <f t="array" ref="I190">IF(ISBLANK(C190),"",IF(C190=MAX(IF(FarmUnit[1. Identifiant interne d’exploitation agricole*]=A190,FarmUnit[3. Superficie de l’unité agricole (ha)*])),"!","-"))</f>
        <v>!</v>
      </c>
      <c r="J190" s="9" t="str">
        <f ca="1">IFERROR(CONCATENATE(VLOOKUP(A190,GM_Table,12,FALSE)," ",(VLOOKUP(A190,GM_Table,13,FALSE))),"")</f>
        <v/>
      </c>
    </row>
    <row r="191" spans="1:10" ht="15" x14ac:dyDescent="0.2">
      <c r="A191" s="150" t="s">
        <v>1281</v>
      </c>
      <c r="B191" s="150" t="s">
        <v>1281</v>
      </c>
      <c r="C191" s="264">
        <v>3.05</v>
      </c>
      <c r="D191" s="265">
        <v>7.1237000000000004</v>
      </c>
      <c r="E191" s="265">
        <v>-8.0152999999999999</v>
      </c>
      <c r="F191" s="122" t="b">
        <f>IF(ISBLANK(FarmUnit[[#This Row],[1. Identifiant interne d’exploitation agricole*]]),"",IF(ISERROR(MATCH(FarmUnit[[#This Row],[1. Identifiant interne d’exploitation agricole*]],GroupMember[1. Identifiant interne d’exploitation agricole*],0)),FALSE,TRUE))</f>
        <v>1</v>
      </c>
      <c r="G191" s="4">
        <f t="shared" si="7"/>
        <v>7.1237000000000004</v>
      </c>
      <c r="H191" s="4">
        <f t="shared" si="8"/>
        <v>-8.0152999999999999</v>
      </c>
      <c r="I191" s="20" t="str">
        <f t="array" ref="I191">IF(ISBLANK(C191),"",IF(C191=MAX(IF(FarmUnit[1. Identifiant interne d’exploitation agricole*]=A191,FarmUnit[3. Superficie de l’unité agricole (ha)*])),"!","-"))</f>
        <v>!</v>
      </c>
      <c r="J191" s="9" t="str">
        <f ca="1">IFERROR(CONCATENATE(VLOOKUP(A191,GM_Table,12,FALSE)," ",(VLOOKUP(A191,GM_Table,13,FALSE))),"")</f>
        <v/>
      </c>
    </row>
    <row r="192" spans="1:10" ht="15" x14ac:dyDescent="0.2">
      <c r="A192" s="150" t="s">
        <v>1283</v>
      </c>
      <c r="B192" s="150" t="s">
        <v>1283</v>
      </c>
      <c r="C192" s="264">
        <v>1.92</v>
      </c>
      <c r="D192" s="265">
        <v>6.9555999999999996</v>
      </c>
      <c r="E192" s="265">
        <v>-8.0158000000000005</v>
      </c>
      <c r="F192" s="122" t="b">
        <f>IF(ISBLANK(FarmUnit[[#This Row],[1. Identifiant interne d’exploitation agricole*]]),"",IF(ISERROR(MATCH(FarmUnit[[#This Row],[1. Identifiant interne d’exploitation agricole*]],GroupMember[1. Identifiant interne d’exploitation agricole*],0)),FALSE,TRUE))</f>
        <v>1</v>
      </c>
      <c r="G192" s="4">
        <f t="shared" si="7"/>
        <v>6.9555999999999996</v>
      </c>
      <c r="H192" s="4">
        <f t="shared" si="8"/>
        <v>-8.0158000000000005</v>
      </c>
      <c r="I192" s="20" t="str">
        <f t="array" ref="I192">IF(ISBLANK(C192),"",IF(C192=MAX(IF(FarmUnit[1. Identifiant interne d’exploitation agricole*]=A192,FarmUnit[3. Superficie de l’unité agricole (ha)*])),"!","-"))</f>
        <v>!</v>
      </c>
      <c r="J192" s="9" t="str">
        <f ca="1">IFERROR(CONCATENATE(VLOOKUP(A192,GM_Table,12,FALSE)," ",(VLOOKUP(A192,GM_Table,13,FALSE))),"")</f>
        <v/>
      </c>
    </row>
    <row r="193" spans="1:10" ht="15" x14ac:dyDescent="0.2">
      <c r="A193" s="150" t="s">
        <v>1286</v>
      </c>
      <c r="B193" s="150" t="s">
        <v>1286</v>
      </c>
      <c r="C193" s="264">
        <v>1.21</v>
      </c>
      <c r="D193" s="265">
        <v>7.08</v>
      </c>
      <c r="E193" s="265">
        <v>-8.0260999999999996</v>
      </c>
      <c r="F193" s="122" t="b">
        <f>IF(ISBLANK(FarmUnit[[#This Row],[1. Identifiant interne d’exploitation agricole*]]),"",IF(ISERROR(MATCH(FarmUnit[[#This Row],[1. Identifiant interne d’exploitation agricole*]],GroupMember[1. Identifiant interne d’exploitation agricole*],0)),FALSE,TRUE))</f>
        <v>1</v>
      </c>
      <c r="G193" s="4">
        <f t="shared" si="7"/>
        <v>7.08</v>
      </c>
      <c r="H193" s="4">
        <f t="shared" si="8"/>
        <v>-8.0260999999999996</v>
      </c>
      <c r="I193" s="20" t="str">
        <f t="array" ref="I193">IF(ISBLANK(C193),"",IF(C193=MAX(IF(FarmUnit[1. Identifiant interne d’exploitation agricole*]=A193,FarmUnit[3. Superficie de l’unité agricole (ha)*])),"!","-"))</f>
        <v>!</v>
      </c>
      <c r="J193" s="9" t="str">
        <f ca="1">IFERROR(CONCATENATE(VLOOKUP(A193,GM_Table,12,FALSE)," ",(VLOOKUP(A193,GM_Table,13,FALSE))),"")</f>
        <v/>
      </c>
    </row>
    <row r="194" spans="1:10" ht="15" x14ac:dyDescent="0.2">
      <c r="A194" s="150" t="s">
        <v>1289</v>
      </c>
      <c r="B194" s="150" t="s">
        <v>1289</v>
      </c>
      <c r="C194" s="264">
        <v>1.0900000000000001</v>
      </c>
      <c r="D194" s="265">
        <v>6.9542000000000002</v>
      </c>
      <c r="E194" s="265">
        <v>-7.9736000000000002</v>
      </c>
      <c r="F194" s="122" t="b">
        <f>IF(ISBLANK(FarmUnit[[#This Row],[1. Identifiant interne d’exploitation agricole*]]),"",IF(ISERROR(MATCH(FarmUnit[[#This Row],[1. Identifiant interne d’exploitation agricole*]],GroupMember[1. Identifiant interne d’exploitation agricole*],0)),FALSE,TRUE))</f>
        <v>1</v>
      </c>
      <c r="G194" s="4">
        <f t="shared" si="7"/>
        <v>6.9542000000000002</v>
      </c>
      <c r="H194" s="4">
        <f t="shared" si="8"/>
        <v>-7.9736000000000002</v>
      </c>
      <c r="I194" s="20" t="str">
        <f t="array" ref="I194">IF(ISBLANK(C194),"",IF(C194=MAX(IF(FarmUnit[1. Identifiant interne d’exploitation agricole*]=A194,FarmUnit[3. Superficie de l’unité agricole (ha)*])),"!","-"))</f>
        <v>!</v>
      </c>
      <c r="J194" s="9" t="str">
        <f ca="1">IFERROR(CONCATENATE(VLOOKUP(A194,GM_Table,12,FALSE)," ",(VLOOKUP(A194,GM_Table,13,FALSE))),"")</f>
        <v/>
      </c>
    </row>
    <row r="195" spans="1:10" ht="15" x14ac:dyDescent="0.2">
      <c r="A195" s="150" t="s">
        <v>1293</v>
      </c>
      <c r="B195" s="150" t="s">
        <v>1293</v>
      </c>
      <c r="C195" s="264">
        <v>5</v>
      </c>
      <c r="D195" s="267">
        <v>6.9257</v>
      </c>
      <c r="E195" s="267">
        <v>-7.9591000000000003</v>
      </c>
      <c r="F195" s="122" t="b">
        <f>IF(ISBLANK(FarmUnit[[#This Row],[1. Identifiant interne d’exploitation agricole*]]),"",IF(ISERROR(MATCH(FarmUnit[[#This Row],[1. Identifiant interne d’exploitation agricole*]],GroupMember[1. Identifiant interne d’exploitation agricole*],0)),FALSE,TRUE))</f>
        <v>1</v>
      </c>
      <c r="G195" s="4">
        <f t="shared" si="7"/>
        <v>6.9257</v>
      </c>
      <c r="H195" s="4">
        <f t="shared" si="8"/>
        <v>-7.9591000000000003</v>
      </c>
      <c r="I195" s="20" t="str">
        <f t="array" ref="I195">IF(ISBLANK(C195),"",IF(C195=MAX(IF(FarmUnit[1. Identifiant interne d’exploitation agricole*]=A195,FarmUnit[3. Superficie de l’unité agricole (ha)*])),"!","-"))</f>
        <v>!</v>
      </c>
      <c r="J195" s="9" t="str">
        <f ca="1">IFERROR(CONCATENATE(VLOOKUP(A195,GM_Table,12,FALSE)," ",(VLOOKUP(A195,GM_Table,13,FALSE))),"")</f>
        <v/>
      </c>
    </row>
    <row r="196" spans="1:10" ht="15" x14ac:dyDescent="0.2">
      <c r="A196" s="150" t="s">
        <v>1296</v>
      </c>
      <c r="B196" s="150" t="s">
        <v>1296</v>
      </c>
      <c r="C196" s="264">
        <v>1.17</v>
      </c>
      <c r="D196" s="265">
        <v>6.9558</v>
      </c>
      <c r="E196" s="265">
        <v>-8.0627999999999993</v>
      </c>
      <c r="F196" s="122" t="b">
        <f>IF(ISBLANK(FarmUnit[[#This Row],[1. Identifiant interne d’exploitation agricole*]]),"",IF(ISERROR(MATCH(FarmUnit[[#This Row],[1. Identifiant interne d’exploitation agricole*]],GroupMember[1. Identifiant interne d’exploitation agricole*],0)),FALSE,TRUE))</f>
        <v>1</v>
      </c>
      <c r="G196" s="4">
        <f t="shared" si="7"/>
        <v>6.9558</v>
      </c>
      <c r="H196" s="4">
        <f t="shared" si="8"/>
        <v>-8.0627999999999993</v>
      </c>
      <c r="I196" s="20" t="str">
        <f t="array" ref="I196">IF(ISBLANK(C196),"",IF(C196=MAX(IF(FarmUnit[1. Identifiant interne d’exploitation agricole*]=A196,FarmUnit[3. Superficie de l’unité agricole (ha)*])),"!","-"))</f>
        <v>!</v>
      </c>
      <c r="J196" s="9" t="str">
        <f ca="1">IFERROR(CONCATENATE(VLOOKUP(A196,GM_Table,12,FALSE)," ",(VLOOKUP(A196,GM_Table,13,FALSE))),"")</f>
        <v/>
      </c>
    </row>
    <row r="197" spans="1:10" ht="15" x14ac:dyDescent="0.2">
      <c r="A197" s="150" t="s">
        <v>1298</v>
      </c>
      <c r="B197" s="150" t="s">
        <v>1298</v>
      </c>
      <c r="C197" s="264">
        <v>2.5</v>
      </c>
      <c r="D197" s="267">
        <v>6.9344000000000001</v>
      </c>
      <c r="E197" s="267">
        <v>-7.9687999999999999</v>
      </c>
      <c r="F197" s="122" t="b">
        <f>IF(ISBLANK(FarmUnit[[#This Row],[1. Identifiant interne d’exploitation agricole*]]),"",IF(ISERROR(MATCH(FarmUnit[[#This Row],[1. Identifiant interne d’exploitation agricole*]],GroupMember[1. Identifiant interne d’exploitation agricole*],0)),FALSE,TRUE))</f>
        <v>1</v>
      </c>
      <c r="G197" s="4">
        <f t="shared" si="7"/>
        <v>6.9344000000000001</v>
      </c>
      <c r="H197" s="4">
        <f t="shared" si="8"/>
        <v>-7.9687999999999999</v>
      </c>
      <c r="I197" s="20" t="str">
        <f t="array" ref="I197">IF(ISBLANK(C197),"",IF(C197=MAX(IF(FarmUnit[1. Identifiant interne d’exploitation agricole*]=A197,FarmUnit[3. Superficie de l’unité agricole (ha)*])),"!","-"))</f>
        <v>!</v>
      </c>
      <c r="J197" s="9" t="str">
        <f ca="1">IFERROR(CONCATENATE(VLOOKUP(A197,GM_Table,12,FALSE)," ",(VLOOKUP(A197,GM_Table,13,FALSE))),"")</f>
        <v/>
      </c>
    </row>
    <row r="198" spans="1:10" ht="15" x14ac:dyDescent="0.2">
      <c r="A198" s="150" t="s">
        <v>1300</v>
      </c>
      <c r="B198" s="150" t="s">
        <v>1300</v>
      </c>
      <c r="C198" s="264">
        <v>1.22</v>
      </c>
      <c r="D198" s="265">
        <v>7.0414000000000003</v>
      </c>
      <c r="E198" s="265">
        <v>-8.1172000000000004</v>
      </c>
      <c r="F198" s="122" t="b">
        <f>IF(ISBLANK(FarmUnit[[#This Row],[1. Identifiant interne d’exploitation agricole*]]),"",IF(ISERROR(MATCH(FarmUnit[[#This Row],[1. Identifiant interne d’exploitation agricole*]],GroupMember[1. Identifiant interne d’exploitation agricole*],0)),FALSE,TRUE))</f>
        <v>1</v>
      </c>
      <c r="G198" s="4">
        <f t="shared" si="7"/>
        <v>7.0414000000000003</v>
      </c>
      <c r="H198" s="4">
        <f t="shared" si="8"/>
        <v>-8.1172000000000004</v>
      </c>
      <c r="I198" s="20" t="str">
        <f t="array" ref="I198">IF(ISBLANK(C198),"",IF(C198=MAX(IF(FarmUnit[1. Identifiant interne d’exploitation agricole*]=A198,FarmUnit[3. Superficie de l’unité agricole (ha)*])),"!","-"))</f>
        <v>!</v>
      </c>
      <c r="J198" s="9" t="str">
        <f ca="1">IFERROR(CONCATENATE(VLOOKUP(A198,GM_Table,12,FALSE)," ",(VLOOKUP(A198,GM_Table,13,FALSE))),"")</f>
        <v/>
      </c>
    </row>
    <row r="199" spans="1:10" ht="15" x14ac:dyDescent="0.2">
      <c r="A199" s="150" t="s">
        <v>1303</v>
      </c>
      <c r="B199" s="150" t="s">
        <v>1303</v>
      </c>
      <c r="C199" s="264">
        <v>3</v>
      </c>
      <c r="D199" s="267">
        <v>6.9002999999999997</v>
      </c>
      <c r="E199" s="267">
        <v>-7.9645000000000001</v>
      </c>
      <c r="F199" s="122" t="b">
        <f>IF(ISBLANK(FarmUnit[[#This Row],[1. Identifiant interne d’exploitation agricole*]]),"",IF(ISERROR(MATCH(FarmUnit[[#This Row],[1. Identifiant interne d’exploitation agricole*]],GroupMember[1. Identifiant interne d’exploitation agricole*],0)),FALSE,TRUE))</f>
        <v>1</v>
      </c>
      <c r="G199" s="4">
        <f t="shared" si="7"/>
        <v>6.9002999999999997</v>
      </c>
      <c r="H199" s="4">
        <f t="shared" si="8"/>
        <v>-7.9645000000000001</v>
      </c>
      <c r="I199" s="20" t="str">
        <f t="array" ref="I199">IF(ISBLANK(C199),"",IF(C199=MAX(IF(FarmUnit[1. Identifiant interne d’exploitation agricole*]=A199,FarmUnit[3. Superficie de l’unité agricole (ha)*])),"!","-"))</f>
        <v>!</v>
      </c>
      <c r="J199" s="9" t="str">
        <f ca="1">IFERROR(CONCATENATE(VLOOKUP(A199,GM_Table,12,FALSE)," ",(VLOOKUP(A199,GM_Table,13,FALSE))),"")</f>
        <v/>
      </c>
    </row>
    <row r="200" spans="1:10" ht="15" x14ac:dyDescent="0.2">
      <c r="A200" s="150" t="s">
        <v>1305</v>
      </c>
      <c r="B200" s="150" t="s">
        <v>1305</v>
      </c>
      <c r="C200" s="264">
        <v>2.7</v>
      </c>
      <c r="D200" s="265">
        <v>6.8952</v>
      </c>
      <c r="E200" s="265">
        <v>-7.9349999999999996</v>
      </c>
      <c r="F200" s="122" t="b">
        <f>IF(ISBLANK(FarmUnit[[#This Row],[1. Identifiant interne d’exploitation agricole*]]),"",IF(ISERROR(MATCH(FarmUnit[[#This Row],[1. Identifiant interne d’exploitation agricole*]],GroupMember[1. Identifiant interne d’exploitation agricole*],0)),FALSE,TRUE))</f>
        <v>1</v>
      </c>
      <c r="G200" s="4">
        <f t="shared" si="7"/>
        <v>6.8952</v>
      </c>
      <c r="H200" s="4">
        <f t="shared" si="8"/>
        <v>-7.9349999999999996</v>
      </c>
      <c r="I200" s="20" t="str">
        <f t="array" ref="I200">IF(ISBLANK(C200),"",IF(C200=MAX(IF(FarmUnit[1. Identifiant interne d’exploitation agricole*]=A200,FarmUnit[3. Superficie de l’unité agricole (ha)*])),"!","-"))</f>
        <v>!</v>
      </c>
      <c r="J200" s="9" t="str">
        <f ca="1">IFERROR(CONCATENATE(VLOOKUP(A200,GM_Table,12,FALSE)," ",(VLOOKUP(A200,GM_Table,13,FALSE))),"")</f>
        <v/>
      </c>
    </row>
    <row r="201" spans="1:10" ht="15" x14ac:dyDescent="0.2">
      <c r="A201" s="150" t="s">
        <v>1307</v>
      </c>
      <c r="B201" s="150" t="s">
        <v>1307</v>
      </c>
      <c r="C201" s="264">
        <v>1.65</v>
      </c>
      <c r="D201" s="265">
        <v>7.0260999999999996</v>
      </c>
      <c r="E201" s="265">
        <v>-8.0152000000000001</v>
      </c>
      <c r="F201" s="122" t="b">
        <f>IF(ISBLANK(FarmUnit[[#This Row],[1. Identifiant interne d’exploitation agricole*]]),"",IF(ISERROR(MATCH(FarmUnit[[#This Row],[1. Identifiant interne d’exploitation agricole*]],GroupMember[1. Identifiant interne d’exploitation agricole*],0)),FALSE,TRUE))</f>
        <v>1</v>
      </c>
      <c r="G201" s="4">
        <f t="shared" si="7"/>
        <v>7.0260999999999996</v>
      </c>
      <c r="H201" s="4">
        <f t="shared" si="8"/>
        <v>-8.0152000000000001</v>
      </c>
      <c r="I201" s="20" t="str">
        <f t="array" ref="I201">IF(ISBLANK(C201),"",IF(C201=MAX(IF(FarmUnit[1. Identifiant interne d’exploitation agricole*]=A201,FarmUnit[3. Superficie de l’unité agricole (ha)*])),"!","-"))</f>
        <v>!</v>
      </c>
      <c r="J201" s="9" t="str">
        <f ca="1">IFERROR(CONCATENATE(VLOOKUP(A201,GM_Table,12,FALSE)," ",(VLOOKUP(A201,GM_Table,13,FALSE))),"")</f>
        <v/>
      </c>
    </row>
    <row r="202" spans="1:10" ht="15" x14ac:dyDescent="0.2">
      <c r="A202" s="150" t="s">
        <v>1310</v>
      </c>
      <c r="B202" s="150" t="s">
        <v>1310</v>
      </c>
      <c r="C202" s="264">
        <v>1.61</v>
      </c>
      <c r="D202" s="265">
        <v>6.89</v>
      </c>
      <c r="E202" s="265">
        <v>-7.9482999999999997</v>
      </c>
      <c r="F202" s="122" t="b">
        <f>IF(ISBLANK(FarmUnit[[#This Row],[1. Identifiant interne d’exploitation agricole*]]),"",IF(ISERROR(MATCH(FarmUnit[[#This Row],[1. Identifiant interne d’exploitation agricole*]],GroupMember[1. Identifiant interne d’exploitation agricole*],0)),FALSE,TRUE))</f>
        <v>1</v>
      </c>
      <c r="G202" s="4">
        <f t="shared" si="7"/>
        <v>6.89</v>
      </c>
      <c r="H202" s="4">
        <f t="shared" si="8"/>
        <v>-7.9482999999999997</v>
      </c>
      <c r="I202" s="20" t="str">
        <f t="array" ref="I202">IF(ISBLANK(C202),"",IF(C202=MAX(IF(FarmUnit[1. Identifiant interne d’exploitation agricole*]=A202,FarmUnit[3. Superficie de l’unité agricole (ha)*])),"!","-"))</f>
        <v>!</v>
      </c>
      <c r="J202" s="9" t="str">
        <f ca="1">IFERROR(CONCATENATE(VLOOKUP(A202,GM_Table,12,FALSE)," ",(VLOOKUP(A202,GM_Table,13,FALSE))),"")</f>
        <v/>
      </c>
    </row>
    <row r="203" spans="1:10" ht="15" x14ac:dyDescent="0.2">
      <c r="A203" s="150" t="s">
        <v>1312</v>
      </c>
      <c r="B203" s="150" t="s">
        <v>1312</v>
      </c>
      <c r="C203" s="264">
        <v>2.11</v>
      </c>
      <c r="D203" s="265">
        <v>7.0252999999999997</v>
      </c>
      <c r="E203" s="265">
        <v>-8.0513999999999992</v>
      </c>
      <c r="F203" s="122" t="b">
        <f>IF(ISBLANK(FarmUnit[[#This Row],[1. Identifiant interne d’exploitation agricole*]]),"",IF(ISERROR(MATCH(FarmUnit[[#This Row],[1. Identifiant interne d’exploitation agricole*]],GroupMember[1. Identifiant interne d’exploitation agricole*],0)),FALSE,TRUE))</f>
        <v>1</v>
      </c>
      <c r="G203" s="4">
        <f t="shared" si="7"/>
        <v>7.0252999999999997</v>
      </c>
      <c r="H203" s="4">
        <f t="shared" si="8"/>
        <v>-8.0513999999999992</v>
      </c>
      <c r="I203" s="20" t="str">
        <f t="array" ref="I203">IF(ISBLANK(C203),"",IF(C203=MAX(IF(FarmUnit[1. Identifiant interne d’exploitation agricole*]=A203,FarmUnit[3. Superficie de l’unité agricole (ha)*])),"!","-"))</f>
        <v>!</v>
      </c>
      <c r="J203" s="9" t="str">
        <f ca="1">IFERROR(CONCATENATE(VLOOKUP(A203,GM_Table,12,FALSE)," ",(VLOOKUP(A203,GM_Table,13,FALSE))),"")</f>
        <v/>
      </c>
    </row>
    <row r="204" spans="1:10" ht="15" x14ac:dyDescent="0.2">
      <c r="A204" s="150" t="s">
        <v>1314</v>
      </c>
      <c r="B204" s="150" t="s">
        <v>1314</v>
      </c>
      <c r="C204" s="264">
        <v>4.21</v>
      </c>
      <c r="D204" s="265">
        <v>6.9630000000000001</v>
      </c>
      <c r="E204" s="265">
        <v>-7.9462999999999999</v>
      </c>
      <c r="F204" s="122" t="b">
        <f>IF(ISBLANK(FarmUnit[[#This Row],[1. Identifiant interne d’exploitation agricole*]]),"",IF(ISERROR(MATCH(FarmUnit[[#This Row],[1. Identifiant interne d’exploitation agricole*]],GroupMember[1. Identifiant interne d’exploitation agricole*],0)),FALSE,TRUE))</f>
        <v>1</v>
      </c>
      <c r="G204" s="4">
        <f t="shared" si="7"/>
        <v>6.9630000000000001</v>
      </c>
      <c r="H204" s="4">
        <f t="shared" si="8"/>
        <v>-7.9462999999999999</v>
      </c>
      <c r="I204" s="20" t="str">
        <f t="array" ref="I204">IF(ISBLANK(C204),"",IF(C204=MAX(IF(FarmUnit[1. Identifiant interne d’exploitation agricole*]=A204,FarmUnit[3. Superficie de l’unité agricole (ha)*])),"!","-"))</f>
        <v>!</v>
      </c>
      <c r="J204" s="9" t="str">
        <f ca="1">IFERROR(CONCATENATE(VLOOKUP(A204,GM_Table,12,FALSE)," ",(VLOOKUP(A204,GM_Table,13,FALSE))),"")</f>
        <v/>
      </c>
    </row>
    <row r="205" spans="1:10" ht="15" x14ac:dyDescent="0.2">
      <c r="A205" s="150" t="s">
        <v>1316</v>
      </c>
      <c r="B205" s="150" t="s">
        <v>1316</v>
      </c>
      <c r="C205" s="264">
        <v>0.89</v>
      </c>
      <c r="D205" s="265">
        <v>7.1405000000000003</v>
      </c>
      <c r="E205" s="265">
        <v>-8.0036000000000005</v>
      </c>
      <c r="F205" s="122" t="b">
        <f>IF(ISBLANK(FarmUnit[[#This Row],[1. Identifiant interne d’exploitation agricole*]]),"",IF(ISERROR(MATCH(FarmUnit[[#This Row],[1. Identifiant interne d’exploitation agricole*]],GroupMember[1. Identifiant interne d’exploitation agricole*],0)),FALSE,TRUE))</f>
        <v>1</v>
      </c>
      <c r="G205" s="4">
        <f t="shared" si="7"/>
        <v>7.1405000000000003</v>
      </c>
      <c r="H205" s="4">
        <f t="shared" si="8"/>
        <v>-8.0036000000000005</v>
      </c>
      <c r="I205" s="20" t="str">
        <f t="array" ref="I205">IF(ISBLANK(C205),"",IF(C205=MAX(IF(FarmUnit[1. Identifiant interne d’exploitation agricole*]=A205,FarmUnit[3. Superficie de l’unité agricole (ha)*])),"!","-"))</f>
        <v>!</v>
      </c>
      <c r="J205" s="9" t="str">
        <f ca="1">IFERROR(CONCATENATE(VLOOKUP(A205,GM_Table,12,FALSE)," ",(VLOOKUP(A205,GM_Table,13,FALSE))),"")</f>
        <v/>
      </c>
    </row>
    <row r="206" spans="1:10" ht="15" x14ac:dyDescent="0.2">
      <c r="A206" s="150" t="s">
        <v>1318</v>
      </c>
      <c r="B206" s="150" t="s">
        <v>1318</v>
      </c>
      <c r="C206" s="264">
        <v>1.83</v>
      </c>
      <c r="D206" s="265">
        <v>6.9736000000000002</v>
      </c>
      <c r="E206" s="265">
        <v>-7.9207999999999998</v>
      </c>
      <c r="F206" s="122" t="b">
        <f>IF(ISBLANK(FarmUnit[[#This Row],[1. Identifiant interne d’exploitation agricole*]]),"",IF(ISERROR(MATCH(FarmUnit[[#This Row],[1. Identifiant interne d’exploitation agricole*]],GroupMember[1. Identifiant interne d’exploitation agricole*],0)),FALSE,TRUE))</f>
        <v>1</v>
      </c>
      <c r="G206" s="4">
        <f t="shared" si="7"/>
        <v>6.9736000000000002</v>
      </c>
      <c r="H206" s="4">
        <f t="shared" si="8"/>
        <v>-7.9207999999999998</v>
      </c>
      <c r="I206" s="20" t="str">
        <f t="array" ref="I206">IF(ISBLANK(C206),"",IF(C206=MAX(IF(FarmUnit[1. Identifiant interne d’exploitation agricole*]=A206,FarmUnit[3. Superficie de l’unité agricole (ha)*])),"!","-"))</f>
        <v>!</v>
      </c>
      <c r="J206" s="9" t="str">
        <f ca="1">IFERROR(CONCATENATE(VLOOKUP(A206,GM_Table,12,FALSE)," ",(VLOOKUP(A206,GM_Table,13,FALSE))),"")</f>
        <v/>
      </c>
    </row>
    <row r="207" spans="1:10" ht="15" x14ac:dyDescent="0.2">
      <c r="A207" s="150" t="s">
        <v>1321</v>
      </c>
      <c r="B207" s="150" t="s">
        <v>1321</v>
      </c>
      <c r="C207" s="264">
        <v>1.1499999999999999</v>
      </c>
      <c r="D207" s="265">
        <v>6.9683000000000002</v>
      </c>
      <c r="E207" s="265">
        <v>-8.0922000000000001</v>
      </c>
      <c r="F207" s="122" t="b">
        <f>IF(ISBLANK(FarmUnit[[#This Row],[1. Identifiant interne d’exploitation agricole*]]),"",IF(ISERROR(MATCH(FarmUnit[[#This Row],[1. Identifiant interne d’exploitation agricole*]],GroupMember[1. Identifiant interne d’exploitation agricole*],0)),FALSE,TRUE))</f>
        <v>1</v>
      </c>
      <c r="G207" s="4">
        <f t="shared" si="7"/>
        <v>6.9683000000000002</v>
      </c>
      <c r="H207" s="4">
        <f t="shared" si="8"/>
        <v>-8.0922000000000001</v>
      </c>
      <c r="I207" s="20" t="str">
        <f t="array" ref="I207">IF(ISBLANK(C207),"",IF(C207=MAX(IF(FarmUnit[1. Identifiant interne d’exploitation agricole*]=A207,FarmUnit[3. Superficie de l’unité agricole (ha)*])),"!","-"))</f>
        <v>!</v>
      </c>
      <c r="J207" s="9" t="str">
        <f ca="1">IFERROR(CONCATENATE(VLOOKUP(A207,GM_Table,12,FALSE)," ",(VLOOKUP(A207,GM_Table,13,FALSE))),"")</f>
        <v/>
      </c>
    </row>
    <row r="208" spans="1:10" ht="15" x14ac:dyDescent="0.2">
      <c r="A208" s="150" t="s">
        <v>1323</v>
      </c>
      <c r="B208" s="150" t="s">
        <v>1323</v>
      </c>
      <c r="C208" s="264">
        <v>5.4</v>
      </c>
      <c r="D208" s="267">
        <v>6.9278000000000004</v>
      </c>
      <c r="E208" s="267">
        <v>-7.9595000000000002</v>
      </c>
      <c r="F208" s="122" t="b">
        <f>IF(ISBLANK(FarmUnit[[#This Row],[1. Identifiant interne d’exploitation agricole*]]),"",IF(ISERROR(MATCH(FarmUnit[[#This Row],[1. Identifiant interne d’exploitation agricole*]],GroupMember[1. Identifiant interne d’exploitation agricole*],0)),FALSE,TRUE))</f>
        <v>1</v>
      </c>
      <c r="G208" s="4">
        <f t="shared" si="7"/>
        <v>6.9278000000000004</v>
      </c>
      <c r="H208" s="4">
        <f t="shared" si="8"/>
        <v>-7.9595000000000002</v>
      </c>
      <c r="I208" s="20" t="str">
        <f t="array" ref="I208">IF(ISBLANK(C208),"",IF(C208=MAX(IF(FarmUnit[1. Identifiant interne d’exploitation agricole*]=A208,FarmUnit[3. Superficie de l’unité agricole (ha)*])),"!","-"))</f>
        <v>!</v>
      </c>
      <c r="J208" s="9" t="str">
        <f ca="1">IFERROR(CONCATENATE(VLOOKUP(A208,GM_Table,12,FALSE)," ",(VLOOKUP(A208,GM_Table,13,FALSE))),"")</f>
        <v/>
      </c>
    </row>
    <row r="209" spans="1:10" ht="15" x14ac:dyDescent="0.2">
      <c r="A209" s="150" t="s">
        <v>1325</v>
      </c>
      <c r="B209" s="150" t="s">
        <v>1325</v>
      </c>
      <c r="C209" s="264">
        <v>1.61</v>
      </c>
      <c r="D209" s="265">
        <v>6.9276</v>
      </c>
      <c r="E209" s="265">
        <v>-7.9592000000000001</v>
      </c>
      <c r="F209" s="122" t="b">
        <f>IF(ISBLANK(FarmUnit[[#This Row],[1. Identifiant interne d’exploitation agricole*]]),"",IF(ISERROR(MATCH(FarmUnit[[#This Row],[1. Identifiant interne d’exploitation agricole*]],GroupMember[1. Identifiant interne d’exploitation agricole*],0)),FALSE,TRUE))</f>
        <v>1</v>
      </c>
      <c r="G209" s="4">
        <f t="shared" si="7"/>
        <v>6.9276</v>
      </c>
      <c r="H209" s="4">
        <f t="shared" si="8"/>
        <v>-7.9592000000000001</v>
      </c>
      <c r="I209" s="20" t="str">
        <f t="array" ref="I209">IF(ISBLANK(C209),"",IF(C209=MAX(IF(FarmUnit[1. Identifiant interne d’exploitation agricole*]=A209,FarmUnit[3. Superficie de l’unité agricole (ha)*])),"!","-"))</f>
        <v>!</v>
      </c>
      <c r="J209" s="9" t="str">
        <f ca="1">IFERROR(CONCATENATE(VLOOKUP(A209,GM_Table,12,FALSE)," ",(VLOOKUP(A209,GM_Table,13,FALSE))),"")</f>
        <v/>
      </c>
    </row>
    <row r="210" spans="1:10" ht="15" x14ac:dyDescent="0.2">
      <c r="A210" s="150" t="s">
        <v>1327</v>
      </c>
      <c r="B210" s="150" t="s">
        <v>1327</v>
      </c>
      <c r="C210" s="264">
        <v>1.73</v>
      </c>
      <c r="D210" s="265">
        <v>6.8903999999999996</v>
      </c>
      <c r="E210" s="265">
        <v>-7.9485999999999999</v>
      </c>
      <c r="F210" s="122" t="b">
        <f>IF(ISBLANK(FarmUnit[[#This Row],[1. Identifiant interne d’exploitation agricole*]]),"",IF(ISERROR(MATCH(FarmUnit[[#This Row],[1. Identifiant interne d’exploitation agricole*]],GroupMember[1. Identifiant interne d’exploitation agricole*],0)),FALSE,TRUE))</f>
        <v>1</v>
      </c>
      <c r="G210" s="4">
        <f t="shared" si="7"/>
        <v>6.8903999999999996</v>
      </c>
      <c r="H210" s="4">
        <f t="shared" si="8"/>
        <v>-7.9485999999999999</v>
      </c>
      <c r="I210" s="20" t="str">
        <f t="array" ref="I210">IF(ISBLANK(C210),"",IF(C210=MAX(IF(FarmUnit[1. Identifiant interne d’exploitation agricole*]=A210,FarmUnit[3. Superficie de l’unité agricole (ha)*])),"!","-"))</f>
        <v>!</v>
      </c>
      <c r="J210" s="9" t="str">
        <f ca="1">IFERROR(CONCATENATE(VLOOKUP(A210,GM_Table,12,FALSE)," ",(VLOOKUP(A210,GM_Table,13,FALSE))),"")</f>
        <v/>
      </c>
    </row>
    <row r="211" spans="1:10" ht="15" x14ac:dyDescent="0.2">
      <c r="A211" s="150" t="s">
        <v>1329</v>
      </c>
      <c r="B211" s="150" t="s">
        <v>1329</v>
      </c>
      <c r="C211" s="264">
        <v>1.46</v>
      </c>
      <c r="D211" s="265">
        <v>7.0804999999999998</v>
      </c>
      <c r="E211" s="265">
        <v>-8.0253999999999994</v>
      </c>
      <c r="F211" s="122" t="b">
        <f>IF(ISBLANK(FarmUnit[[#This Row],[1. Identifiant interne d’exploitation agricole*]]),"",IF(ISERROR(MATCH(FarmUnit[[#This Row],[1. Identifiant interne d’exploitation agricole*]],GroupMember[1. Identifiant interne d’exploitation agricole*],0)),FALSE,TRUE))</f>
        <v>1</v>
      </c>
      <c r="G211" s="4">
        <f t="shared" si="7"/>
        <v>7.0804999999999998</v>
      </c>
      <c r="H211" s="4">
        <f t="shared" si="8"/>
        <v>-8.0253999999999994</v>
      </c>
      <c r="I211" s="20" t="str">
        <f t="array" ref="I211">IF(ISBLANK(C211),"",IF(C211=MAX(IF(FarmUnit[1. Identifiant interne d’exploitation agricole*]=A211,FarmUnit[3. Superficie de l’unité agricole (ha)*])),"!","-"))</f>
        <v>!</v>
      </c>
      <c r="J211" s="9" t="str">
        <f ca="1">IFERROR(CONCATENATE(VLOOKUP(A211,GM_Table,12,FALSE)," ",(VLOOKUP(A211,GM_Table,13,FALSE))),"")</f>
        <v/>
      </c>
    </row>
    <row r="212" spans="1:10" ht="15" x14ac:dyDescent="0.2">
      <c r="A212" s="150" t="s">
        <v>1332</v>
      </c>
      <c r="B212" s="150" t="s">
        <v>1332</v>
      </c>
      <c r="C212" s="264">
        <v>1.04</v>
      </c>
      <c r="D212" s="265">
        <v>6.8846999999999996</v>
      </c>
      <c r="E212" s="265">
        <v>-7.9207999999999998</v>
      </c>
      <c r="F212" s="122" t="b">
        <f>IF(ISBLANK(FarmUnit[[#This Row],[1. Identifiant interne d’exploitation agricole*]]),"",IF(ISERROR(MATCH(FarmUnit[[#This Row],[1. Identifiant interne d’exploitation agricole*]],GroupMember[1. Identifiant interne d’exploitation agricole*],0)),FALSE,TRUE))</f>
        <v>1</v>
      </c>
      <c r="G212" s="4">
        <f t="shared" si="7"/>
        <v>6.8846999999999996</v>
      </c>
      <c r="H212" s="4">
        <f t="shared" si="8"/>
        <v>-7.9207999999999998</v>
      </c>
      <c r="I212" s="20" t="str">
        <f t="array" ref="I212">IF(ISBLANK(C212),"",IF(C212=MAX(IF(FarmUnit[1. Identifiant interne d’exploitation agricole*]=A212,FarmUnit[3. Superficie de l’unité agricole (ha)*])),"!","-"))</f>
        <v>!</v>
      </c>
      <c r="J212" s="9" t="str">
        <f ca="1">IFERROR(CONCATENATE(VLOOKUP(A212,GM_Table,12,FALSE)," ",(VLOOKUP(A212,GM_Table,13,FALSE))),"")</f>
        <v/>
      </c>
    </row>
    <row r="213" spans="1:10" ht="15" x14ac:dyDescent="0.2">
      <c r="A213" s="150" t="s">
        <v>1335</v>
      </c>
      <c r="B213" s="150" t="s">
        <v>1335</v>
      </c>
      <c r="C213" s="264">
        <v>1.06</v>
      </c>
      <c r="D213" s="265">
        <v>6.9957000000000003</v>
      </c>
      <c r="E213" s="265">
        <v>-8.0624000000000002</v>
      </c>
      <c r="F213" s="122" t="b">
        <f>IF(ISBLANK(FarmUnit[[#This Row],[1. Identifiant interne d’exploitation agricole*]]),"",IF(ISERROR(MATCH(FarmUnit[[#This Row],[1. Identifiant interne d’exploitation agricole*]],GroupMember[1. Identifiant interne d’exploitation agricole*],0)),FALSE,TRUE))</f>
        <v>1</v>
      </c>
      <c r="G213" s="4">
        <f t="shared" si="7"/>
        <v>6.9957000000000003</v>
      </c>
      <c r="H213" s="4">
        <f t="shared" si="8"/>
        <v>-8.0624000000000002</v>
      </c>
      <c r="I213" s="20" t="str">
        <f t="array" ref="I213">IF(ISBLANK(C213),"",IF(C213=MAX(IF(FarmUnit[1. Identifiant interne d’exploitation agricole*]=A213,FarmUnit[3. Superficie de l’unité agricole (ha)*])),"!","-"))</f>
        <v>!</v>
      </c>
      <c r="J213" s="9" t="str">
        <f ca="1">IFERROR(CONCATENATE(VLOOKUP(A213,GM_Table,12,FALSE)," ",(VLOOKUP(A213,GM_Table,13,FALSE))),"")</f>
        <v/>
      </c>
    </row>
    <row r="214" spans="1:10" ht="15" x14ac:dyDescent="0.2">
      <c r="A214" s="150" t="s">
        <v>1337</v>
      </c>
      <c r="B214" s="150" t="s">
        <v>1337</v>
      </c>
      <c r="C214" s="264">
        <v>1.79</v>
      </c>
      <c r="D214" s="265">
        <v>6.9402999999999997</v>
      </c>
      <c r="E214" s="265">
        <v>-8.0172000000000008</v>
      </c>
      <c r="F214" s="122" t="b">
        <f>IF(ISBLANK(FarmUnit[[#This Row],[1. Identifiant interne d’exploitation agricole*]]),"",IF(ISERROR(MATCH(FarmUnit[[#This Row],[1. Identifiant interne d’exploitation agricole*]],GroupMember[1. Identifiant interne d’exploitation agricole*],0)),FALSE,TRUE))</f>
        <v>1</v>
      </c>
      <c r="G214" s="4">
        <f t="shared" si="7"/>
        <v>6.9402999999999997</v>
      </c>
      <c r="H214" s="4">
        <f t="shared" si="8"/>
        <v>-8.0172000000000008</v>
      </c>
      <c r="I214" s="20" t="str">
        <f t="array" ref="I214">IF(ISBLANK(C214),"",IF(C214=MAX(IF(FarmUnit[1. Identifiant interne d’exploitation agricole*]=A214,FarmUnit[3. Superficie de l’unité agricole (ha)*])),"!","-"))</f>
        <v>!</v>
      </c>
      <c r="J214" s="9" t="str">
        <f ca="1">IFERROR(CONCATENATE(VLOOKUP(A214,GM_Table,12,FALSE)," ",(VLOOKUP(A214,GM_Table,13,FALSE))),"")</f>
        <v/>
      </c>
    </row>
    <row r="215" spans="1:10" ht="15" x14ac:dyDescent="0.2">
      <c r="A215" s="150" t="s">
        <v>1339</v>
      </c>
      <c r="B215" s="150" t="s">
        <v>1339</v>
      </c>
      <c r="C215" s="264">
        <v>3</v>
      </c>
      <c r="D215" s="265">
        <v>6.8841000000000001</v>
      </c>
      <c r="E215" s="265">
        <v>-7.9203000000000001</v>
      </c>
      <c r="F215" s="122" t="b">
        <f>IF(ISBLANK(FarmUnit[[#This Row],[1. Identifiant interne d’exploitation agricole*]]),"",IF(ISERROR(MATCH(FarmUnit[[#This Row],[1. Identifiant interne d’exploitation agricole*]],GroupMember[1. Identifiant interne d’exploitation agricole*],0)),FALSE,TRUE))</f>
        <v>1</v>
      </c>
      <c r="G215" s="4">
        <f t="shared" si="7"/>
        <v>6.8841000000000001</v>
      </c>
      <c r="H215" s="4">
        <f t="shared" si="8"/>
        <v>-7.9203000000000001</v>
      </c>
      <c r="I215" s="20" t="str">
        <f t="array" ref="I215">IF(ISBLANK(C215),"",IF(C215=MAX(IF(FarmUnit[1. Identifiant interne d’exploitation agricole*]=A215,FarmUnit[3. Superficie de l’unité agricole (ha)*])),"!","-"))</f>
        <v>!</v>
      </c>
      <c r="J215" s="9" t="str">
        <f ca="1">IFERROR(CONCATENATE(VLOOKUP(A215,GM_Table,12,FALSE)," ",(VLOOKUP(A215,GM_Table,13,FALSE))),"")</f>
        <v/>
      </c>
    </row>
    <row r="216" spans="1:10" ht="15" x14ac:dyDescent="0.2">
      <c r="A216" s="150" t="s">
        <v>1341</v>
      </c>
      <c r="B216" s="150" t="s">
        <v>1341</v>
      </c>
      <c r="C216" s="264">
        <v>1.95</v>
      </c>
      <c r="D216" s="265">
        <v>7.0632999999999999</v>
      </c>
      <c r="E216" s="265">
        <v>-8.1514000000000006</v>
      </c>
      <c r="F216" s="122" t="b">
        <f>IF(ISBLANK(FarmUnit[[#This Row],[1. Identifiant interne d’exploitation agricole*]]),"",IF(ISERROR(MATCH(FarmUnit[[#This Row],[1. Identifiant interne d’exploitation agricole*]],GroupMember[1. Identifiant interne d’exploitation agricole*],0)),FALSE,TRUE))</f>
        <v>1</v>
      </c>
      <c r="G216" s="4">
        <f t="shared" si="7"/>
        <v>7.0632999999999999</v>
      </c>
      <c r="H216" s="4">
        <f t="shared" si="8"/>
        <v>-8.1514000000000006</v>
      </c>
      <c r="I216" s="20" t="str">
        <f t="array" ref="I216">IF(ISBLANK(C216),"",IF(C216=MAX(IF(FarmUnit[1. Identifiant interne d’exploitation agricole*]=A216,FarmUnit[3. Superficie de l’unité agricole (ha)*])),"!","-"))</f>
        <v>!</v>
      </c>
      <c r="J216" s="9" t="str">
        <f ca="1">IFERROR(CONCATENATE(VLOOKUP(A216,GM_Table,12,FALSE)," ",(VLOOKUP(A216,GM_Table,13,FALSE))),"")</f>
        <v/>
      </c>
    </row>
    <row r="217" spans="1:10" ht="15" x14ac:dyDescent="0.2">
      <c r="A217" s="150" t="s">
        <v>1345</v>
      </c>
      <c r="B217" s="150" t="s">
        <v>1345</v>
      </c>
      <c r="C217" s="264">
        <v>1.82</v>
      </c>
      <c r="D217" s="265">
        <v>7.0255999999999998</v>
      </c>
      <c r="E217" s="265">
        <v>-8.19</v>
      </c>
      <c r="F217" s="122" t="b">
        <f>IF(ISBLANK(FarmUnit[[#This Row],[1. Identifiant interne d’exploitation agricole*]]),"",IF(ISERROR(MATCH(FarmUnit[[#This Row],[1. Identifiant interne d’exploitation agricole*]],GroupMember[1. Identifiant interne d’exploitation agricole*],0)),FALSE,TRUE))</f>
        <v>1</v>
      </c>
      <c r="G217" s="4">
        <f t="shared" si="7"/>
        <v>7.0255999999999998</v>
      </c>
      <c r="H217" s="4">
        <f t="shared" si="8"/>
        <v>-8.19</v>
      </c>
      <c r="I217" s="20" t="str">
        <f t="array" ref="I217">IF(ISBLANK(C217),"",IF(C217=MAX(IF(FarmUnit[1. Identifiant interne d’exploitation agricole*]=A217,FarmUnit[3. Superficie de l’unité agricole (ha)*])),"!","-"))</f>
        <v>!</v>
      </c>
      <c r="J217" s="9" t="str">
        <f ca="1">IFERROR(CONCATENATE(VLOOKUP(A217,GM_Table,12,FALSE)," ",(VLOOKUP(A217,GM_Table,13,FALSE))),"")</f>
        <v/>
      </c>
    </row>
    <row r="218" spans="1:10" ht="15" x14ac:dyDescent="0.2">
      <c r="A218" s="150" t="s">
        <v>1348</v>
      </c>
      <c r="B218" s="150" t="s">
        <v>1348</v>
      </c>
      <c r="C218" s="264">
        <v>3</v>
      </c>
      <c r="D218" s="265">
        <v>6.8783000000000003</v>
      </c>
      <c r="E218" s="265">
        <v>-7.9322999999999997</v>
      </c>
      <c r="F218" s="122" t="b">
        <f>IF(ISBLANK(FarmUnit[[#This Row],[1. Identifiant interne d’exploitation agricole*]]),"",IF(ISERROR(MATCH(FarmUnit[[#This Row],[1. Identifiant interne d’exploitation agricole*]],GroupMember[1. Identifiant interne d’exploitation agricole*],0)),FALSE,TRUE))</f>
        <v>1</v>
      </c>
      <c r="G218" s="4">
        <f t="shared" si="7"/>
        <v>6.8783000000000003</v>
      </c>
      <c r="H218" s="4">
        <f t="shared" si="8"/>
        <v>-7.9322999999999997</v>
      </c>
      <c r="I218" s="20" t="str">
        <f t="array" ref="I218">IF(ISBLANK(C218),"",IF(C218=MAX(IF(FarmUnit[1. Identifiant interne d’exploitation agricole*]=A218,FarmUnit[3. Superficie de l’unité agricole (ha)*])),"!","-"))</f>
        <v>!</v>
      </c>
      <c r="J218" s="9" t="str">
        <f ca="1">IFERROR(CONCATENATE(VLOOKUP(A218,GM_Table,12,FALSE)," ",(VLOOKUP(A218,GM_Table,13,FALSE))),"")</f>
        <v/>
      </c>
    </row>
    <row r="219" spans="1:10" ht="15" x14ac:dyDescent="0.2">
      <c r="A219" s="150" t="s">
        <v>1350</v>
      </c>
      <c r="B219" s="150" t="s">
        <v>1350</v>
      </c>
      <c r="C219" s="264">
        <v>2.57</v>
      </c>
      <c r="D219" s="265">
        <v>6.8677000000000001</v>
      </c>
      <c r="E219" s="265">
        <v>-7.9417999999999997</v>
      </c>
      <c r="F219" s="122" t="b">
        <f>IF(ISBLANK(FarmUnit[[#This Row],[1. Identifiant interne d’exploitation agricole*]]),"",IF(ISERROR(MATCH(FarmUnit[[#This Row],[1. Identifiant interne d’exploitation agricole*]],GroupMember[1. Identifiant interne d’exploitation agricole*],0)),FALSE,TRUE))</f>
        <v>1</v>
      </c>
      <c r="G219" s="4">
        <f t="shared" si="7"/>
        <v>6.8677000000000001</v>
      </c>
      <c r="H219" s="4">
        <f t="shared" si="8"/>
        <v>-7.9417999999999997</v>
      </c>
      <c r="I219" s="20" t="str">
        <f t="array" ref="I219">IF(ISBLANK(C219),"",IF(C219=MAX(IF(FarmUnit[1. Identifiant interne d’exploitation agricole*]=A219,FarmUnit[3. Superficie de l’unité agricole (ha)*])),"!","-"))</f>
        <v>!</v>
      </c>
      <c r="J219" s="9" t="str">
        <f ca="1">IFERROR(CONCATENATE(VLOOKUP(A219,GM_Table,12,FALSE)," ",(VLOOKUP(A219,GM_Table,13,FALSE))),"")</f>
        <v/>
      </c>
    </row>
    <row r="220" spans="1:10" ht="15" x14ac:dyDescent="0.2">
      <c r="A220" s="150" t="s">
        <v>1353</v>
      </c>
      <c r="B220" s="150" t="s">
        <v>1353</v>
      </c>
      <c r="C220" s="264">
        <v>3.95</v>
      </c>
      <c r="D220" s="265">
        <v>7.0164</v>
      </c>
      <c r="E220" s="265">
        <v>-8.0902999999999992</v>
      </c>
      <c r="F220" s="122" t="b">
        <f>IF(ISBLANK(FarmUnit[[#This Row],[1. Identifiant interne d’exploitation agricole*]]),"",IF(ISERROR(MATCH(FarmUnit[[#This Row],[1. Identifiant interne d’exploitation agricole*]],GroupMember[1. Identifiant interne d’exploitation agricole*],0)),FALSE,TRUE))</f>
        <v>1</v>
      </c>
      <c r="G220" s="4">
        <f t="shared" si="7"/>
        <v>7.0164</v>
      </c>
      <c r="H220" s="4">
        <f t="shared" si="8"/>
        <v>-8.0902999999999992</v>
      </c>
      <c r="I220" s="20" t="str">
        <f t="array" ref="I220">IF(ISBLANK(C220),"",IF(C220=MAX(IF(FarmUnit[1. Identifiant interne d’exploitation agricole*]=A220,FarmUnit[3. Superficie de l’unité agricole (ha)*])),"!","-"))</f>
        <v>!</v>
      </c>
      <c r="J220" s="9" t="str">
        <f ca="1">IFERROR(CONCATENATE(VLOOKUP(A220,GM_Table,12,FALSE)," ",(VLOOKUP(A220,GM_Table,13,FALSE))),"")</f>
        <v/>
      </c>
    </row>
    <row r="221" spans="1:10" ht="15" x14ac:dyDescent="0.2">
      <c r="A221" s="150" t="s">
        <v>1357</v>
      </c>
      <c r="B221" s="150" t="s">
        <v>1357</v>
      </c>
      <c r="C221" s="264">
        <v>2.78</v>
      </c>
      <c r="D221" s="265">
        <v>6.8731999999999998</v>
      </c>
      <c r="E221" s="265">
        <v>-7.9438000000000004</v>
      </c>
      <c r="F221" s="122" t="b">
        <f>IF(ISBLANK(FarmUnit[[#This Row],[1. Identifiant interne d’exploitation agricole*]]),"",IF(ISERROR(MATCH(FarmUnit[[#This Row],[1. Identifiant interne d’exploitation agricole*]],GroupMember[1. Identifiant interne d’exploitation agricole*],0)),FALSE,TRUE))</f>
        <v>1</v>
      </c>
      <c r="G221" s="4">
        <f t="shared" si="7"/>
        <v>6.8731999999999998</v>
      </c>
      <c r="H221" s="4">
        <f t="shared" si="8"/>
        <v>-7.9438000000000004</v>
      </c>
      <c r="I221" s="20" t="str">
        <f t="array" ref="I221">IF(ISBLANK(C221),"",IF(C221=MAX(IF(FarmUnit[1. Identifiant interne d’exploitation agricole*]=A221,FarmUnit[3. Superficie de l’unité agricole (ha)*])),"!","-"))</f>
        <v>!</v>
      </c>
      <c r="J221" s="9" t="str">
        <f ca="1">IFERROR(CONCATENATE(VLOOKUP(A221,GM_Table,12,FALSE)," ",(VLOOKUP(A221,GM_Table,13,FALSE))),"")</f>
        <v/>
      </c>
    </row>
    <row r="222" spans="1:10" ht="15" x14ac:dyDescent="0.2">
      <c r="A222" s="150" t="s">
        <v>1361</v>
      </c>
      <c r="B222" s="150" t="s">
        <v>1361</v>
      </c>
      <c r="C222" s="264">
        <v>3</v>
      </c>
      <c r="D222" s="265">
        <v>6.8784000000000001</v>
      </c>
      <c r="E222" s="265">
        <v>-7.9301000000000004</v>
      </c>
      <c r="F222" s="122" t="b">
        <f>IF(ISBLANK(FarmUnit[[#This Row],[1. Identifiant interne d’exploitation agricole*]]),"",IF(ISERROR(MATCH(FarmUnit[[#This Row],[1. Identifiant interne d’exploitation agricole*]],GroupMember[1. Identifiant interne d’exploitation agricole*],0)),FALSE,TRUE))</f>
        <v>1</v>
      </c>
      <c r="G222" s="4">
        <f t="shared" si="7"/>
        <v>6.8784000000000001</v>
      </c>
      <c r="H222" s="4">
        <f t="shared" si="8"/>
        <v>-7.9301000000000004</v>
      </c>
      <c r="I222" s="20" t="str">
        <f t="array" ref="I222">IF(ISBLANK(C222),"",IF(C222=MAX(IF(FarmUnit[1. Identifiant interne d’exploitation agricole*]=A222,FarmUnit[3. Superficie de l’unité agricole (ha)*])),"!","-"))</f>
        <v>!</v>
      </c>
      <c r="J222" s="9" t="str">
        <f ca="1">IFERROR(CONCATENATE(VLOOKUP(A222,GM_Table,12,FALSE)," ",(VLOOKUP(A222,GM_Table,13,FALSE))),"")</f>
        <v/>
      </c>
    </row>
    <row r="223" spans="1:10" ht="15" x14ac:dyDescent="0.2">
      <c r="A223" s="150" t="s">
        <v>1364</v>
      </c>
      <c r="B223" s="150" t="s">
        <v>1364</v>
      </c>
      <c r="C223" s="264">
        <v>6.01</v>
      </c>
      <c r="D223" s="265">
        <v>7.0735999999999999</v>
      </c>
      <c r="E223" s="265">
        <v>-8.1925000000000008</v>
      </c>
      <c r="F223" s="122" t="b">
        <f>IF(ISBLANK(FarmUnit[[#This Row],[1. Identifiant interne d’exploitation agricole*]]),"",IF(ISERROR(MATCH(FarmUnit[[#This Row],[1. Identifiant interne d’exploitation agricole*]],GroupMember[1. Identifiant interne d’exploitation agricole*],0)),FALSE,TRUE))</f>
        <v>1</v>
      </c>
      <c r="G223" s="4">
        <f t="shared" si="7"/>
        <v>7.0735999999999999</v>
      </c>
      <c r="H223" s="4">
        <f t="shared" si="8"/>
        <v>-8.1925000000000008</v>
      </c>
      <c r="I223" s="20" t="str">
        <f t="array" ref="I223">IF(ISBLANK(C223),"",IF(C223=MAX(IF(FarmUnit[1. Identifiant interne d’exploitation agricole*]=A223,FarmUnit[3. Superficie de l’unité agricole (ha)*])),"!","-"))</f>
        <v>!</v>
      </c>
      <c r="J223" s="9" t="str">
        <f ca="1">IFERROR(CONCATENATE(VLOOKUP(A223,GM_Table,12,FALSE)," ",(VLOOKUP(A223,GM_Table,13,FALSE))),"")</f>
        <v/>
      </c>
    </row>
    <row r="224" spans="1:10" ht="15" x14ac:dyDescent="0.2">
      <c r="A224" s="150" t="s">
        <v>1368</v>
      </c>
      <c r="B224" s="150" t="s">
        <v>1368</v>
      </c>
      <c r="C224" s="264">
        <v>1.37</v>
      </c>
      <c r="D224" s="265">
        <v>7.02</v>
      </c>
      <c r="E224" s="265">
        <v>-8.0922000000000001</v>
      </c>
      <c r="F224" s="122" t="b">
        <f>IF(ISBLANK(FarmUnit[[#This Row],[1. Identifiant interne d’exploitation agricole*]]),"",IF(ISERROR(MATCH(FarmUnit[[#This Row],[1. Identifiant interne d’exploitation agricole*]],GroupMember[1. Identifiant interne d’exploitation agricole*],0)),FALSE,TRUE))</f>
        <v>1</v>
      </c>
      <c r="G224" s="4">
        <f t="shared" si="7"/>
        <v>7.02</v>
      </c>
      <c r="H224" s="4">
        <f t="shared" si="8"/>
        <v>-8.0922000000000001</v>
      </c>
      <c r="I224" s="20" t="str">
        <f t="array" ref="I224">IF(ISBLANK(C224),"",IF(C224=MAX(IF(FarmUnit[1. Identifiant interne d’exploitation agricole*]=A224,FarmUnit[3. Superficie de l’unité agricole (ha)*])),"!","-"))</f>
        <v>!</v>
      </c>
      <c r="J224" s="9" t="str">
        <f ca="1">IFERROR(CONCATENATE(VLOOKUP(A224,GM_Table,12,FALSE)," ",(VLOOKUP(A224,GM_Table,13,FALSE))),"")</f>
        <v/>
      </c>
    </row>
    <row r="225" spans="1:10" ht="15" x14ac:dyDescent="0.2">
      <c r="A225" s="150" t="s">
        <v>1371</v>
      </c>
      <c r="B225" s="150" t="s">
        <v>1371</v>
      </c>
      <c r="C225" s="264">
        <v>1.96</v>
      </c>
      <c r="D225" s="265">
        <v>6.9603000000000002</v>
      </c>
      <c r="E225" s="265">
        <v>-8.1478000000000002</v>
      </c>
      <c r="F225" s="122" t="b">
        <f>IF(ISBLANK(FarmUnit[[#This Row],[1. Identifiant interne d’exploitation agricole*]]),"",IF(ISERROR(MATCH(FarmUnit[[#This Row],[1. Identifiant interne d’exploitation agricole*]],GroupMember[1. Identifiant interne d’exploitation agricole*],0)),FALSE,TRUE))</f>
        <v>1</v>
      </c>
      <c r="G225" s="4">
        <f t="shared" si="7"/>
        <v>6.9603000000000002</v>
      </c>
      <c r="H225" s="4">
        <f t="shared" si="8"/>
        <v>-8.1478000000000002</v>
      </c>
      <c r="I225" s="20" t="str">
        <f t="array" ref="I225">IF(ISBLANK(C225),"",IF(C225=MAX(IF(FarmUnit[1. Identifiant interne d’exploitation agricole*]=A225,FarmUnit[3. Superficie de l’unité agricole (ha)*])),"!","-"))</f>
        <v>!</v>
      </c>
      <c r="J225" s="9" t="str">
        <f ca="1">IFERROR(CONCATENATE(VLOOKUP(A225,GM_Table,12,FALSE)," ",(VLOOKUP(A225,GM_Table,13,FALSE))),"")</f>
        <v/>
      </c>
    </row>
    <row r="226" spans="1:10" ht="15" x14ac:dyDescent="0.2">
      <c r="A226" s="150" t="s">
        <v>1374</v>
      </c>
      <c r="B226" s="150" t="s">
        <v>1374</v>
      </c>
      <c r="C226" s="264">
        <v>3.78</v>
      </c>
      <c r="D226" s="265">
        <v>6.8583999999999996</v>
      </c>
      <c r="E226" s="265">
        <v>-7.9512</v>
      </c>
      <c r="F226" s="122" t="b">
        <f>IF(ISBLANK(FarmUnit[[#This Row],[1. Identifiant interne d’exploitation agricole*]]),"",IF(ISERROR(MATCH(FarmUnit[[#This Row],[1. Identifiant interne d’exploitation agricole*]],GroupMember[1. Identifiant interne d’exploitation agricole*],0)),FALSE,TRUE))</f>
        <v>1</v>
      </c>
      <c r="G226" s="4">
        <f t="shared" si="7"/>
        <v>6.8583999999999996</v>
      </c>
      <c r="H226" s="4">
        <f t="shared" si="8"/>
        <v>-7.9512</v>
      </c>
      <c r="I226" s="20" t="str">
        <f t="array" ref="I226">IF(ISBLANK(C226),"",IF(C226=MAX(IF(FarmUnit[1. Identifiant interne d’exploitation agricole*]=A226,FarmUnit[3. Superficie de l’unité agricole (ha)*])),"!","-"))</f>
        <v>!</v>
      </c>
      <c r="J226" s="9" t="str">
        <f ca="1">IFERROR(CONCATENATE(VLOOKUP(A226,GM_Table,12,FALSE)," ",(VLOOKUP(A226,GM_Table,13,FALSE))),"")</f>
        <v/>
      </c>
    </row>
    <row r="227" spans="1:10" ht="15" x14ac:dyDescent="0.2">
      <c r="A227" s="150" t="s">
        <v>1378</v>
      </c>
      <c r="B227" s="150" t="s">
        <v>1378</v>
      </c>
      <c r="C227" s="264">
        <v>1.1200000000000001</v>
      </c>
      <c r="D227" s="265">
        <v>7.0170000000000003</v>
      </c>
      <c r="E227" s="265">
        <v>-7.9391999999999996</v>
      </c>
      <c r="F227" s="122" t="b">
        <f>IF(ISBLANK(FarmUnit[[#This Row],[1. Identifiant interne d’exploitation agricole*]]),"",IF(ISERROR(MATCH(FarmUnit[[#This Row],[1. Identifiant interne d’exploitation agricole*]],GroupMember[1. Identifiant interne d’exploitation agricole*],0)),FALSE,TRUE))</f>
        <v>1</v>
      </c>
      <c r="G227" s="4">
        <f t="shared" si="7"/>
        <v>7.0170000000000003</v>
      </c>
      <c r="H227" s="4">
        <f t="shared" si="8"/>
        <v>-7.9391999999999996</v>
      </c>
      <c r="I227" s="20" t="str">
        <f t="array" ref="I227">IF(ISBLANK(C227),"",IF(C227=MAX(IF(FarmUnit[1. Identifiant interne d’exploitation agricole*]=A227,FarmUnit[3. Superficie de l’unité agricole (ha)*])),"!","-"))</f>
        <v>!</v>
      </c>
      <c r="J227" s="9" t="str">
        <f ca="1">IFERROR(CONCATENATE(VLOOKUP(A227,GM_Table,12,FALSE)," ",(VLOOKUP(A227,GM_Table,13,FALSE))),"")</f>
        <v/>
      </c>
    </row>
    <row r="228" spans="1:10" ht="15" x14ac:dyDescent="0.2">
      <c r="A228" s="150" t="s">
        <v>1381</v>
      </c>
      <c r="B228" s="150" t="s">
        <v>1381</v>
      </c>
      <c r="C228" s="264">
        <v>1.38</v>
      </c>
      <c r="D228" s="265">
        <v>7.0175000000000001</v>
      </c>
      <c r="E228" s="265">
        <v>-8.0771999999999995</v>
      </c>
      <c r="F228" s="122" t="b">
        <f>IF(ISBLANK(FarmUnit[[#This Row],[1. Identifiant interne d’exploitation agricole*]]),"",IF(ISERROR(MATCH(FarmUnit[[#This Row],[1. Identifiant interne d’exploitation agricole*]],GroupMember[1. Identifiant interne d’exploitation agricole*],0)),FALSE,TRUE))</f>
        <v>1</v>
      </c>
      <c r="G228" s="4">
        <f t="shared" si="7"/>
        <v>7.0175000000000001</v>
      </c>
      <c r="H228" s="4">
        <f t="shared" si="8"/>
        <v>-8.0771999999999995</v>
      </c>
      <c r="I228" s="20" t="str">
        <f t="array" ref="I228">IF(ISBLANK(C228),"",IF(C228=MAX(IF(FarmUnit[1. Identifiant interne d’exploitation agricole*]=A228,FarmUnit[3. Superficie de l’unité agricole (ha)*])),"!","-"))</f>
        <v>!</v>
      </c>
      <c r="J228" s="9" t="str">
        <f ca="1">IFERROR(CONCATENATE(VLOOKUP(A228,GM_Table,12,FALSE)," ",(VLOOKUP(A228,GM_Table,13,FALSE))),"")</f>
        <v/>
      </c>
    </row>
    <row r="229" spans="1:10" ht="15" x14ac:dyDescent="0.2">
      <c r="A229" s="150" t="s">
        <v>1385</v>
      </c>
      <c r="B229" s="150" t="s">
        <v>1385</v>
      </c>
      <c r="C229" s="264">
        <v>2</v>
      </c>
      <c r="D229" s="265">
        <v>6.8788999999999998</v>
      </c>
      <c r="E229" s="265">
        <v>-7.9329999999999998</v>
      </c>
      <c r="F229" s="122" t="b">
        <f>IF(ISBLANK(FarmUnit[[#This Row],[1. Identifiant interne d’exploitation agricole*]]),"",IF(ISERROR(MATCH(FarmUnit[[#This Row],[1. Identifiant interne d’exploitation agricole*]],GroupMember[1. Identifiant interne d’exploitation agricole*],0)),FALSE,TRUE))</f>
        <v>1</v>
      </c>
      <c r="G229" s="4">
        <f t="shared" si="7"/>
        <v>6.8788999999999998</v>
      </c>
      <c r="H229" s="4">
        <f t="shared" si="8"/>
        <v>-7.9329999999999998</v>
      </c>
      <c r="I229" s="20" t="str">
        <f t="array" ref="I229">IF(ISBLANK(C229),"",IF(C229=MAX(IF(FarmUnit[1. Identifiant interne d’exploitation agricole*]=A229,FarmUnit[3. Superficie de l’unité agricole (ha)*])),"!","-"))</f>
        <v>!</v>
      </c>
      <c r="J229" s="9" t="str">
        <f ca="1">IFERROR(CONCATENATE(VLOOKUP(A229,GM_Table,12,FALSE)," ",(VLOOKUP(A229,GM_Table,13,FALSE))),"")</f>
        <v/>
      </c>
    </row>
    <row r="230" spans="1:10" ht="15" x14ac:dyDescent="0.2">
      <c r="A230" s="150" t="s">
        <v>1388</v>
      </c>
      <c r="B230" s="150" t="s">
        <v>1388</v>
      </c>
      <c r="C230" s="264">
        <v>1.17</v>
      </c>
      <c r="D230" s="265">
        <v>6.9519000000000002</v>
      </c>
      <c r="E230" s="265">
        <v>-8.1814</v>
      </c>
      <c r="F230" s="122" t="b">
        <f>IF(ISBLANK(FarmUnit[[#This Row],[1. Identifiant interne d’exploitation agricole*]]),"",IF(ISERROR(MATCH(FarmUnit[[#This Row],[1. Identifiant interne d’exploitation agricole*]],GroupMember[1. Identifiant interne d’exploitation agricole*],0)),FALSE,TRUE))</f>
        <v>1</v>
      </c>
      <c r="G230" s="4">
        <f t="shared" si="7"/>
        <v>6.9519000000000002</v>
      </c>
      <c r="H230" s="4">
        <f t="shared" si="8"/>
        <v>-8.1814</v>
      </c>
      <c r="I230" s="20" t="str">
        <f t="array" ref="I230">IF(ISBLANK(C230),"",IF(C230=MAX(IF(FarmUnit[1. Identifiant interne d’exploitation agricole*]=A230,FarmUnit[3. Superficie de l’unité agricole (ha)*])),"!","-"))</f>
        <v>!</v>
      </c>
      <c r="J230" s="9" t="str">
        <f ca="1">IFERROR(CONCATENATE(VLOOKUP(A230,GM_Table,12,FALSE)," ",(VLOOKUP(A230,GM_Table,13,FALSE))),"")</f>
        <v/>
      </c>
    </row>
    <row r="231" spans="1:10" ht="15" x14ac:dyDescent="0.2">
      <c r="A231" s="150" t="s">
        <v>1392</v>
      </c>
      <c r="B231" s="150" t="s">
        <v>1392</v>
      </c>
      <c r="C231" s="264">
        <v>5</v>
      </c>
      <c r="D231" s="267">
        <v>6.9127999999999998</v>
      </c>
      <c r="E231" s="267">
        <v>-7.9520999999999997</v>
      </c>
      <c r="F231" s="122" t="b">
        <f>IF(ISBLANK(FarmUnit[[#This Row],[1. Identifiant interne d’exploitation agricole*]]),"",IF(ISERROR(MATCH(FarmUnit[[#This Row],[1. Identifiant interne d’exploitation agricole*]],GroupMember[1. Identifiant interne d’exploitation agricole*],0)),FALSE,TRUE))</f>
        <v>1</v>
      </c>
      <c r="G231" s="4">
        <f t="shared" si="7"/>
        <v>6.9127999999999998</v>
      </c>
      <c r="H231" s="4">
        <f t="shared" si="8"/>
        <v>-7.9520999999999997</v>
      </c>
      <c r="I231" s="20" t="str">
        <f t="array" ref="I231">IF(ISBLANK(C231),"",IF(C231=MAX(IF(FarmUnit[1. Identifiant interne d’exploitation agricole*]=A231,FarmUnit[3. Superficie de l’unité agricole (ha)*])),"!","-"))</f>
        <v>!</v>
      </c>
      <c r="J231" s="9" t="str">
        <f ca="1">IFERROR(CONCATENATE(VLOOKUP(A231,GM_Table,12,FALSE)," ",(VLOOKUP(A231,GM_Table,13,FALSE))),"")</f>
        <v/>
      </c>
    </row>
    <row r="232" spans="1:10" ht="15" x14ac:dyDescent="0.2">
      <c r="A232" s="150" t="s">
        <v>1394</v>
      </c>
      <c r="B232" s="150" t="s">
        <v>1394</v>
      </c>
      <c r="C232" s="264">
        <v>1.51</v>
      </c>
      <c r="D232" s="265">
        <v>6.8581000000000003</v>
      </c>
      <c r="E232" s="265">
        <v>-7.9305000000000003</v>
      </c>
      <c r="F232" s="122" t="b">
        <f>IF(ISBLANK(FarmUnit[[#This Row],[1. Identifiant interne d’exploitation agricole*]]),"",IF(ISERROR(MATCH(FarmUnit[[#This Row],[1. Identifiant interne d’exploitation agricole*]],GroupMember[1. Identifiant interne d’exploitation agricole*],0)),FALSE,TRUE))</f>
        <v>1</v>
      </c>
      <c r="G232" s="4">
        <f t="shared" si="7"/>
        <v>6.8581000000000003</v>
      </c>
      <c r="H232" s="4">
        <f t="shared" si="8"/>
        <v>-7.9305000000000003</v>
      </c>
      <c r="I232" s="20" t="str">
        <f t="array" ref="I232">IF(ISBLANK(C232),"",IF(C232=MAX(IF(FarmUnit[1. Identifiant interne d’exploitation agricole*]=A232,FarmUnit[3. Superficie de l’unité agricole (ha)*])),"!","-"))</f>
        <v>!</v>
      </c>
      <c r="J232" s="9" t="str">
        <f ca="1">IFERROR(CONCATENATE(VLOOKUP(A232,GM_Table,12,FALSE)," ",(VLOOKUP(A232,GM_Table,13,FALSE))),"")</f>
        <v/>
      </c>
    </row>
    <row r="233" spans="1:10" ht="15" x14ac:dyDescent="0.2">
      <c r="A233" s="150" t="s">
        <v>1396</v>
      </c>
      <c r="B233" s="150" t="s">
        <v>1396</v>
      </c>
      <c r="C233" s="264">
        <v>1.96</v>
      </c>
      <c r="D233" s="265">
        <v>6.9298000000000002</v>
      </c>
      <c r="E233" s="265">
        <v>-7.9686000000000003</v>
      </c>
      <c r="F233" s="122" t="b">
        <f>IF(ISBLANK(FarmUnit[[#This Row],[1. Identifiant interne d’exploitation agricole*]]),"",IF(ISERROR(MATCH(FarmUnit[[#This Row],[1. Identifiant interne d’exploitation agricole*]],GroupMember[1. Identifiant interne d’exploitation agricole*],0)),FALSE,TRUE))</f>
        <v>1</v>
      </c>
      <c r="G233" s="4">
        <f t="shared" si="7"/>
        <v>6.9298000000000002</v>
      </c>
      <c r="H233" s="4">
        <f t="shared" si="8"/>
        <v>-7.9686000000000003</v>
      </c>
      <c r="I233" s="20" t="str">
        <f t="array" ref="I233">IF(ISBLANK(C233),"",IF(C233=MAX(IF(FarmUnit[1. Identifiant interne d’exploitation agricole*]=A233,FarmUnit[3. Superficie de l’unité agricole (ha)*])),"!","-"))</f>
        <v>!</v>
      </c>
      <c r="J233" s="9" t="str">
        <f ca="1">IFERROR(CONCATENATE(VLOOKUP(A233,GM_Table,12,FALSE)," ",(VLOOKUP(A233,GM_Table,13,FALSE))),"")</f>
        <v/>
      </c>
    </row>
    <row r="234" spans="1:10" ht="15" x14ac:dyDescent="0.2">
      <c r="A234" s="150" t="s">
        <v>1398</v>
      </c>
      <c r="B234" s="150" t="s">
        <v>1398</v>
      </c>
      <c r="C234" s="264">
        <v>1.58</v>
      </c>
      <c r="D234" s="265">
        <v>7.0549999999999997</v>
      </c>
      <c r="E234" s="265">
        <v>-8.1911000000000005</v>
      </c>
      <c r="F234" s="122" t="b">
        <f>IF(ISBLANK(FarmUnit[[#This Row],[1. Identifiant interne d’exploitation agricole*]]),"",IF(ISERROR(MATCH(FarmUnit[[#This Row],[1. Identifiant interne d’exploitation agricole*]],GroupMember[1. Identifiant interne d’exploitation agricole*],0)),FALSE,TRUE))</f>
        <v>1</v>
      </c>
      <c r="G234" s="4">
        <f t="shared" si="7"/>
        <v>7.0549999999999997</v>
      </c>
      <c r="H234" s="4">
        <f t="shared" si="8"/>
        <v>-8.1911000000000005</v>
      </c>
      <c r="I234" s="20" t="str">
        <f t="array" ref="I234">IF(ISBLANK(C234),"",IF(C234=MAX(IF(FarmUnit[1. Identifiant interne d’exploitation agricole*]=A234,FarmUnit[3. Superficie de l’unité agricole (ha)*])),"!","-"))</f>
        <v>!</v>
      </c>
      <c r="J234" s="9" t="str">
        <f ca="1">IFERROR(CONCATENATE(VLOOKUP(A234,GM_Table,12,FALSE)," ",(VLOOKUP(A234,GM_Table,13,FALSE))),"")</f>
        <v/>
      </c>
    </row>
    <row r="235" spans="1:10" ht="15" x14ac:dyDescent="0.2">
      <c r="A235" s="150" t="s">
        <v>1402</v>
      </c>
      <c r="B235" s="150" t="s">
        <v>1402</v>
      </c>
      <c r="C235" s="264">
        <v>0.71</v>
      </c>
      <c r="D235" s="265">
        <v>7.0419</v>
      </c>
      <c r="E235" s="265">
        <v>-8.2332999999999998</v>
      </c>
      <c r="F235" s="122" t="b">
        <f>IF(ISBLANK(FarmUnit[[#This Row],[1. Identifiant interne d’exploitation agricole*]]),"",IF(ISERROR(MATCH(FarmUnit[[#This Row],[1. Identifiant interne d’exploitation agricole*]],GroupMember[1. Identifiant interne d’exploitation agricole*],0)),FALSE,TRUE))</f>
        <v>1</v>
      </c>
      <c r="G235" s="4">
        <f t="shared" si="7"/>
        <v>7.0419</v>
      </c>
      <c r="H235" s="4">
        <f t="shared" si="8"/>
        <v>-8.2332999999999998</v>
      </c>
      <c r="I235" s="20" t="str">
        <f t="array" ref="I235">IF(ISBLANK(C235),"",IF(C235=MAX(IF(FarmUnit[1. Identifiant interne d’exploitation agricole*]=A235,FarmUnit[3. Superficie de l’unité agricole (ha)*])),"!","-"))</f>
        <v>!</v>
      </c>
      <c r="J235" s="9" t="str">
        <f ca="1">IFERROR(CONCATENATE(VLOOKUP(A235,GM_Table,12,FALSE)," ",(VLOOKUP(A235,GM_Table,13,FALSE))),"")</f>
        <v/>
      </c>
    </row>
    <row r="236" spans="1:10" ht="15" x14ac:dyDescent="0.2">
      <c r="A236" s="150" t="s">
        <v>1405</v>
      </c>
      <c r="B236" s="150" t="s">
        <v>1405</v>
      </c>
      <c r="C236" s="264">
        <v>1.52</v>
      </c>
      <c r="D236" s="265">
        <v>6.9547999999999996</v>
      </c>
      <c r="E236" s="265">
        <v>-7.9969000000000001</v>
      </c>
      <c r="F236" s="122" t="b">
        <f>IF(ISBLANK(FarmUnit[[#This Row],[1. Identifiant interne d’exploitation agricole*]]),"",IF(ISERROR(MATCH(FarmUnit[[#This Row],[1. Identifiant interne d’exploitation agricole*]],GroupMember[1. Identifiant interne d’exploitation agricole*],0)),FALSE,TRUE))</f>
        <v>1</v>
      </c>
      <c r="G236" s="4">
        <f t="shared" si="7"/>
        <v>6.9547999999999996</v>
      </c>
      <c r="H236" s="4">
        <f t="shared" si="8"/>
        <v>-7.9969000000000001</v>
      </c>
      <c r="I236" s="20" t="str">
        <f t="array" ref="I236">IF(ISBLANK(C236),"",IF(C236=MAX(IF(FarmUnit[1. Identifiant interne d’exploitation agricole*]=A236,FarmUnit[3. Superficie de l’unité agricole (ha)*])),"!","-"))</f>
        <v>!</v>
      </c>
      <c r="J236" s="9" t="str">
        <f ca="1">IFERROR(CONCATENATE(VLOOKUP(A236,GM_Table,12,FALSE)," ",(VLOOKUP(A236,GM_Table,13,FALSE))),"")</f>
        <v/>
      </c>
    </row>
    <row r="237" spans="1:10" ht="15" x14ac:dyDescent="0.2">
      <c r="A237" s="150" t="s">
        <v>1408</v>
      </c>
      <c r="B237" s="150" t="s">
        <v>1408</v>
      </c>
      <c r="C237" s="264">
        <v>0.55000000000000004</v>
      </c>
      <c r="D237" s="265">
        <v>6.9851999999999999</v>
      </c>
      <c r="E237" s="265">
        <v>-8.1613000000000007</v>
      </c>
      <c r="F237" s="122" t="b">
        <f>IF(ISBLANK(FarmUnit[[#This Row],[1. Identifiant interne d’exploitation agricole*]]),"",IF(ISERROR(MATCH(FarmUnit[[#This Row],[1. Identifiant interne d’exploitation agricole*]],GroupMember[1. Identifiant interne d’exploitation agricole*],0)),FALSE,TRUE))</f>
        <v>1</v>
      </c>
      <c r="G237" s="4">
        <f t="shared" si="7"/>
        <v>6.9851999999999999</v>
      </c>
      <c r="H237" s="4">
        <f t="shared" si="8"/>
        <v>-8.1613000000000007</v>
      </c>
      <c r="I237" s="20" t="str">
        <f t="array" ref="I237">IF(ISBLANK(C237),"",IF(C237=MAX(IF(FarmUnit[1. Identifiant interne d’exploitation agricole*]=A237,FarmUnit[3. Superficie de l’unité agricole (ha)*])),"!","-"))</f>
        <v>!</v>
      </c>
      <c r="J237" s="9" t="str">
        <f ca="1">IFERROR(CONCATENATE(VLOOKUP(A237,GM_Table,12,FALSE)," ",(VLOOKUP(A237,GM_Table,13,FALSE))),"")</f>
        <v/>
      </c>
    </row>
    <row r="238" spans="1:10" ht="15" x14ac:dyDescent="0.2">
      <c r="A238" s="150" t="s">
        <v>1410</v>
      </c>
      <c r="B238" s="150" t="s">
        <v>1410</v>
      </c>
      <c r="C238" s="264">
        <v>2.2599999999999998</v>
      </c>
      <c r="D238" s="265">
        <v>7.0221999999999998</v>
      </c>
      <c r="E238" s="265">
        <v>-8.2143999999999995</v>
      </c>
      <c r="F238" s="122" t="b">
        <f>IF(ISBLANK(FarmUnit[[#This Row],[1. Identifiant interne d’exploitation agricole*]]),"",IF(ISERROR(MATCH(FarmUnit[[#This Row],[1. Identifiant interne d’exploitation agricole*]],GroupMember[1. Identifiant interne d’exploitation agricole*],0)),FALSE,TRUE))</f>
        <v>1</v>
      </c>
      <c r="G238" s="4">
        <f t="shared" si="7"/>
        <v>7.0221999999999998</v>
      </c>
      <c r="H238" s="4">
        <f t="shared" si="8"/>
        <v>-8.2143999999999995</v>
      </c>
      <c r="I238" s="20" t="str">
        <f t="array" ref="I238">IF(ISBLANK(C238),"",IF(C238=MAX(IF(FarmUnit[1. Identifiant interne d’exploitation agricole*]=A238,FarmUnit[3. Superficie de l’unité agricole (ha)*])),"!","-"))</f>
        <v>!</v>
      </c>
      <c r="J238" s="9" t="str">
        <f ca="1">IFERROR(CONCATENATE(VLOOKUP(A238,GM_Table,12,FALSE)," ",(VLOOKUP(A238,GM_Table,13,FALSE))),"")</f>
        <v/>
      </c>
    </row>
    <row r="239" spans="1:10" ht="15" x14ac:dyDescent="0.2">
      <c r="A239" s="150" t="s">
        <v>1413</v>
      </c>
      <c r="B239" s="150" t="s">
        <v>1413</v>
      </c>
      <c r="C239" s="264">
        <v>3</v>
      </c>
      <c r="D239" s="265">
        <v>6.9150999999999998</v>
      </c>
      <c r="E239" s="265">
        <v>-7.9324000000000003</v>
      </c>
      <c r="F239" s="122" t="b">
        <f>IF(ISBLANK(FarmUnit[[#This Row],[1. Identifiant interne d’exploitation agricole*]]),"",IF(ISERROR(MATCH(FarmUnit[[#This Row],[1. Identifiant interne d’exploitation agricole*]],GroupMember[1. Identifiant interne d’exploitation agricole*],0)),FALSE,TRUE))</f>
        <v>1</v>
      </c>
      <c r="G239" s="4">
        <f t="shared" si="7"/>
        <v>6.9150999999999998</v>
      </c>
      <c r="H239" s="4">
        <f t="shared" si="8"/>
        <v>-7.9324000000000003</v>
      </c>
      <c r="I239" s="20" t="str">
        <f t="array" ref="I239">IF(ISBLANK(C239),"",IF(C239=MAX(IF(FarmUnit[1. Identifiant interne d’exploitation agricole*]=A239,FarmUnit[3. Superficie de l’unité agricole (ha)*])),"!","-"))</f>
        <v>!</v>
      </c>
      <c r="J239" s="9" t="str">
        <f ca="1">IFERROR(CONCATENATE(VLOOKUP(A239,GM_Table,12,FALSE)," ",(VLOOKUP(A239,GM_Table,13,FALSE))),"")</f>
        <v/>
      </c>
    </row>
    <row r="240" spans="1:10" ht="15" x14ac:dyDescent="0.2">
      <c r="A240" s="150" t="s">
        <v>1415</v>
      </c>
      <c r="B240" s="150" t="s">
        <v>1415</v>
      </c>
      <c r="C240" s="264">
        <v>1.32</v>
      </c>
      <c r="D240" s="265">
        <v>6.9855</v>
      </c>
      <c r="E240" s="265">
        <v>-8.1617999999999995</v>
      </c>
      <c r="F240" s="122" t="b">
        <f>IF(ISBLANK(FarmUnit[[#This Row],[1. Identifiant interne d’exploitation agricole*]]),"",IF(ISERROR(MATCH(FarmUnit[[#This Row],[1. Identifiant interne d’exploitation agricole*]],GroupMember[1. Identifiant interne d’exploitation agricole*],0)),FALSE,TRUE))</f>
        <v>1</v>
      </c>
      <c r="G240" s="4">
        <f t="shared" si="7"/>
        <v>6.9855</v>
      </c>
      <c r="H240" s="4">
        <f t="shared" si="8"/>
        <v>-8.1617999999999995</v>
      </c>
      <c r="I240" s="20" t="str">
        <f t="array" ref="I240">IF(ISBLANK(C240),"",IF(C240=MAX(IF(FarmUnit[1. Identifiant interne d’exploitation agricole*]=A240,FarmUnit[3. Superficie de l’unité agricole (ha)*])),"!","-"))</f>
        <v>!</v>
      </c>
      <c r="J240" s="9" t="str">
        <f ca="1">IFERROR(CONCATENATE(VLOOKUP(A240,GM_Table,12,FALSE)," ",(VLOOKUP(A240,GM_Table,13,FALSE))),"")</f>
        <v/>
      </c>
    </row>
    <row r="241" spans="1:10" ht="15" x14ac:dyDescent="0.2">
      <c r="A241" s="150" t="s">
        <v>1419</v>
      </c>
      <c r="B241" s="150" t="s">
        <v>1419</v>
      </c>
      <c r="C241" s="264">
        <v>2.65</v>
      </c>
      <c r="D241" s="265">
        <v>6.9718999999999998</v>
      </c>
      <c r="E241" s="265">
        <v>-8.0749999999999993</v>
      </c>
      <c r="F241" s="122" t="b">
        <f>IF(ISBLANK(FarmUnit[[#This Row],[1. Identifiant interne d’exploitation agricole*]]),"",IF(ISERROR(MATCH(FarmUnit[[#This Row],[1. Identifiant interne d’exploitation agricole*]],GroupMember[1. Identifiant interne d’exploitation agricole*],0)),FALSE,TRUE))</f>
        <v>1</v>
      </c>
      <c r="G241" s="4">
        <f t="shared" si="7"/>
        <v>6.9718999999999998</v>
      </c>
      <c r="H241" s="4">
        <f t="shared" si="8"/>
        <v>-8.0749999999999993</v>
      </c>
      <c r="I241" s="20" t="str">
        <f t="array" ref="I241">IF(ISBLANK(C241),"",IF(C241=MAX(IF(FarmUnit[1. Identifiant interne d’exploitation agricole*]=A241,FarmUnit[3. Superficie de l’unité agricole (ha)*])),"!","-"))</f>
        <v>!</v>
      </c>
      <c r="J241" s="9" t="str">
        <f ca="1">IFERROR(CONCATENATE(VLOOKUP(A241,GM_Table,12,FALSE)," ",(VLOOKUP(A241,GM_Table,13,FALSE))),"")</f>
        <v/>
      </c>
    </row>
    <row r="242" spans="1:10" ht="15" x14ac:dyDescent="0.2">
      <c r="A242" s="150" t="s">
        <v>1422</v>
      </c>
      <c r="B242" s="150" t="s">
        <v>1422</v>
      </c>
      <c r="C242" s="264">
        <v>1.27</v>
      </c>
      <c r="D242" s="265">
        <v>7.1296999999999997</v>
      </c>
      <c r="E242" s="265">
        <v>-7.9741999999999997</v>
      </c>
      <c r="F242" s="122" t="b">
        <f>IF(ISBLANK(FarmUnit[[#This Row],[1. Identifiant interne d’exploitation agricole*]]),"",IF(ISERROR(MATCH(FarmUnit[[#This Row],[1. Identifiant interne d’exploitation agricole*]],GroupMember[1. Identifiant interne d’exploitation agricole*],0)),FALSE,TRUE))</f>
        <v>1</v>
      </c>
      <c r="G242" s="4">
        <f t="shared" si="7"/>
        <v>7.1296999999999997</v>
      </c>
      <c r="H242" s="4">
        <f t="shared" si="8"/>
        <v>-7.9741999999999997</v>
      </c>
      <c r="I242" s="20" t="str">
        <f t="array" ref="I242">IF(ISBLANK(C242),"",IF(C242=MAX(IF(FarmUnit[1. Identifiant interne d’exploitation agricole*]=A242,FarmUnit[3. Superficie de l’unité agricole (ha)*])),"!","-"))</f>
        <v>!</v>
      </c>
      <c r="J242" s="9" t="str">
        <f ca="1">IFERROR(CONCATENATE(VLOOKUP(A242,GM_Table,12,FALSE)," ",(VLOOKUP(A242,GM_Table,13,FALSE))),"")</f>
        <v/>
      </c>
    </row>
    <row r="243" spans="1:10" ht="15" x14ac:dyDescent="0.2">
      <c r="A243" s="150" t="s">
        <v>1423</v>
      </c>
      <c r="B243" s="150" t="s">
        <v>1423</v>
      </c>
      <c r="C243" s="264">
        <v>1.92</v>
      </c>
      <c r="D243" s="265">
        <v>7.0281000000000002</v>
      </c>
      <c r="E243" s="265">
        <v>-8.0578000000000003</v>
      </c>
      <c r="F243" s="122" t="b">
        <f>IF(ISBLANK(FarmUnit[[#This Row],[1. Identifiant interne d’exploitation agricole*]]),"",IF(ISERROR(MATCH(FarmUnit[[#This Row],[1. Identifiant interne d’exploitation agricole*]],GroupMember[1. Identifiant interne d’exploitation agricole*],0)),FALSE,TRUE))</f>
        <v>1</v>
      </c>
      <c r="G243" s="4">
        <f t="shared" ref="G243:G306" si="9">IF(D243=0,"",D243)</f>
        <v>7.0281000000000002</v>
      </c>
      <c r="H243" s="4">
        <f t="shared" ref="H243:H306" si="10">IF(E243=0,"",E243)</f>
        <v>-8.0578000000000003</v>
      </c>
      <c r="I243" s="20" t="str">
        <f t="array" ref="I243">IF(ISBLANK(C243),"",IF(C243=MAX(IF(FarmUnit[1. Identifiant interne d’exploitation agricole*]=A243,FarmUnit[3. Superficie de l’unité agricole (ha)*])),"!","-"))</f>
        <v>!</v>
      </c>
      <c r="J243" s="9" t="str">
        <f ca="1">IFERROR(CONCATENATE(VLOOKUP(A243,GM_Table,12,FALSE)," ",(VLOOKUP(A243,GM_Table,13,FALSE))),"")</f>
        <v/>
      </c>
    </row>
    <row r="244" spans="1:10" ht="15" x14ac:dyDescent="0.2">
      <c r="A244" s="150" t="s">
        <v>1426</v>
      </c>
      <c r="B244" s="150" t="s">
        <v>1426</v>
      </c>
      <c r="C244" s="264">
        <v>0.98</v>
      </c>
      <c r="D244" s="265">
        <v>7.0867000000000004</v>
      </c>
      <c r="E244" s="265">
        <v>-7.9882999999999997</v>
      </c>
      <c r="F244" s="122" t="b">
        <f>IF(ISBLANK(FarmUnit[[#This Row],[1. Identifiant interne d’exploitation agricole*]]),"",IF(ISERROR(MATCH(FarmUnit[[#This Row],[1. Identifiant interne d’exploitation agricole*]],GroupMember[1. Identifiant interne d’exploitation agricole*],0)),FALSE,TRUE))</f>
        <v>1</v>
      </c>
      <c r="G244" s="4">
        <f t="shared" si="9"/>
        <v>7.0867000000000004</v>
      </c>
      <c r="H244" s="4">
        <f t="shared" si="10"/>
        <v>-7.9882999999999997</v>
      </c>
      <c r="I244" s="20" t="str">
        <f t="array" ref="I244">IF(ISBLANK(C244),"",IF(C244=MAX(IF(FarmUnit[1. Identifiant interne d’exploitation agricole*]=A244,FarmUnit[3. Superficie de l’unité agricole (ha)*])),"!","-"))</f>
        <v>!</v>
      </c>
      <c r="J244" s="9" t="str">
        <f ca="1">IFERROR(CONCATENATE(VLOOKUP(A244,GM_Table,12,FALSE)," ",(VLOOKUP(A244,GM_Table,13,FALSE))),"")</f>
        <v/>
      </c>
    </row>
    <row r="245" spans="1:10" ht="15" x14ac:dyDescent="0.2">
      <c r="A245" s="150" t="s">
        <v>1429</v>
      </c>
      <c r="B245" s="150" t="s">
        <v>1429</v>
      </c>
      <c r="C245" s="264">
        <v>4.26</v>
      </c>
      <c r="D245" s="265">
        <v>6.9749999999999996</v>
      </c>
      <c r="E245" s="265">
        <v>-8.1319999999999997</v>
      </c>
      <c r="F245" s="122" t="b">
        <f>IF(ISBLANK(FarmUnit[[#This Row],[1. Identifiant interne d’exploitation agricole*]]),"",IF(ISERROR(MATCH(FarmUnit[[#This Row],[1. Identifiant interne d’exploitation agricole*]],GroupMember[1. Identifiant interne d’exploitation agricole*],0)),FALSE,TRUE))</f>
        <v>1</v>
      </c>
      <c r="G245" s="4">
        <f t="shared" si="9"/>
        <v>6.9749999999999996</v>
      </c>
      <c r="H245" s="4">
        <f t="shared" si="10"/>
        <v>-8.1319999999999997</v>
      </c>
      <c r="I245" s="20" t="str">
        <f t="array" ref="I245">IF(ISBLANK(C245),"",IF(C245=MAX(IF(FarmUnit[1. Identifiant interne d’exploitation agricole*]=A245,FarmUnit[3. Superficie de l’unité agricole (ha)*])),"!","-"))</f>
        <v>!</v>
      </c>
      <c r="J245" s="9" t="str">
        <f ca="1">IFERROR(CONCATENATE(VLOOKUP(A245,GM_Table,12,FALSE)," ",(VLOOKUP(A245,GM_Table,13,FALSE))),"")</f>
        <v/>
      </c>
    </row>
    <row r="246" spans="1:10" ht="15" x14ac:dyDescent="0.2">
      <c r="A246" s="150" t="s">
        <v>1431</v>
      </c>
      <c r="B246" s="150" t="s">
        <v>1431</v>
      </c>
      <c r="C246" s="264">
        <v>1.48</v>
      </c>
      <c r="D246" s="265">
        <v>6.9930000000000003</v>
      </c>
      <c r="E246" s="265">
        <v>-8.0146999999999995</v>
      </c>
      <c r="F246" s="122" t="b">
        <f>IF(ISBLANK(FarmUnit[[#This Row],[1. Identifiant interne d’exploitation agricole*]]),"",IF(ISERROR(MATCH(FarmUnit[[#This Row],[1. Identifiant interne d’exploitation agricole*]],GroupMember[1. Identifiant interne d’exploitation agricole*],0)),FALSE,TRUE))</f>
        <v>1</v>
      </c>
      <c r="G246" s="4">
        <f t="shared" si="9"/>
        <v>6.9930000000000003</v>
      </c>
      <c r="H246" s="4">
        <f t="shared" si="10"/>
        <v>-8.0146999999999995</v>
      </c>
      <c r="I246" s="20" t="str">
        <f t="array" ref="I246">IF(ISBLANK(C246),"",IF(C246=MAX(IF(FarmUnit[1. Identifiant interne d’exploitation agricole*]=A246,FarmUnit[3. Superficie de l’unité agricole (ha)*])),"!","-"))</f>
        <v>!</v>
      </c>
      <c r="J246" s="9" t="str">
        <f ca="1">IFERROR(CONCATENATE(VLOOKUP(A246,GM_Table,12,FALSE)," ",(VLOOKUP(A246,GM_Table,13,FALSE))),"")</f>
        <v/>
      </c>
    </row>
    <row r="247" spans="1:10" ht="15" x14ac:dyDescent="0.2">
      <c r="A247" s="150" t="s">
        <v>1432</v>
      </c>
      <c r="B247" s="150" t="s">
        <v>1432</v>
      </c>
      <c r="C247" s="264">
        <v>2.64</v>
      </c>
      <c r="D247" s="265">
        <v>7.1211000000000002</v>
      </c>
      <c r="E247" s="265">
        <v>-8.0005000000000006</v>
      </c>
      <c r="F247" s="122" t="b">
        <f>IF(ISBLANK(FarmUnit[[#This Row],[1. Identifiant interne d’exploitation agricole*]]),"",IF(ISERROR(MATCH(FarmUnit[[#This Row],[1. Identifiant interne d’exploitation agricole*]],GroupMember[1. Identifiant interne d’exploitation agricole*],0)),FALSE,TRUE))</f>
        <v>1</v>
      </c>
      <c r="G247" s="4">
        <f t="shared" si="9"/>
        <v>7.1211000000000002</v>
      </c>
      <c r="H247" s="4">
        <f t="shared" si="10"/>
        <v>-8.0005000000000006</v>
      </c>
      <c r="I247" s="20" t="str">
        <f t="array" ref="I247">IF(ISBLANK(C247),"",IF(C247=MAX(IF(FarmUnit[1. Identifiant interne d’exploitation agricole*]=A247,FarmUnit[3. Superficie de l’unité agricole (ha)*])),"!","-"))</f>
        <v>!</v>
      </c>
      <c r="J247" s="9" t="str">
        <f ca="1">IFERROR(CONCATENATE(VLOOKUP(A247,GM_Table,12,FALSE)," ",(VLOOKUP(A247,GM_Table,13,FALSE))),"")</f>
        <v/>
      </c>
    </row>
    <row r="248" spans="1:10" ht="15" x14ac:dyDescent="0.2">
      <c r="A248" s="150" t="s">
        <v>1434</v>
      </c>
      <c r="B248" s="150" t="s">
        <v>1434</v>
      </c>
      <c r="C248" s="264">
        <v>9</v>
      </c>
      <c r="D248" s="267">
        <v>6.8887</v>
      </c>
      <c r="E248" s="267">
        <v>-7.9466000000000001</v>
      </c>
      <c r="F248" s="122" t="b">
        <f>IF(ISBLANK(FarmUnit[[#This Row],[1. Identifiant interne d’exploitation agricole*]]),"",IF(ISERROR(MATCH(FarmUnit[[#This Row],[1. Identifiant interne d’exploitation agricole*]],GroupMember[1. Identifiant interne d’exploitation agricole*],0)),FALSE,TRUE))</f>
        <v>1</v>
      </c>
      <c r="G248" s="4">
        <f t="shared" si="9"/>
        <v>6.8887</v>
      </c>
      <c r="H248" s="4">
        <f t="shared" si="10"/>
        <v>-7.9466000000000001</v>
      </c>
      <c r="I248" s="20" t="str">
        <f t="array" ref="I248">IF(ISBLANK(C248),"",IF(C248=MAX(IF(FarmUnit[1. Identifiant interne d’exploitation agricole*]=A248,FarmUnit[3. Superficie de l’unité agricole (ha)*])),"!","-"))</f>
        <v>!</v>
      </c>
      <c r="J248" s="9" t="str">
        <f ca="1">IFERROR(CONCATENATE(VLOOKUP(A248,GM_Table,12,FALSE)," ",(VLOOKUP(A248,GM_Table,13,FALSE))),"")</f>
        <v/>
      </c>
    </row>
    <row r="249" spans="1:10" ht="15" x14ac:dyDescent="0.2">
      <c r="A249" s="150" t="s">
        <v>1437</v>
      </c>
      <c r="B249" s="150" t="s">
        <v>1437</v>
      </c>
      <c r="C249" s="264">
        <v>5</v>
      </c>
      <c r="D249" s="267">
        <v>6.9306999999999999</v>
      </c>
      <c r="E249" s="267">
        <v>-7.9710000000000001</v>
      </c>
      <c r="F249" s="122" t="b">
        <f>IF(ISBLANK(FarmUnit[[#This Row],[1. Identifiant interne d’exploitation agricole*]]),"",IF(ISERROR(MATCH(FarmUnit[[#This Row],[1. Identifiant interne d’exploitation agricole*]],GroupMember[1. Identifiant interne d’exploitation agricole*],0)),FALSE,TRUE))</f>
        <v>1</v>
      </c>
      <c r="G249" s="4">
        <f t="shared" si="9"/>
        <v>6.9306999999999999</v>
      </c>
      <c r="H249" s="4">
        <f t="shared" si="10"/>
        <v>-7.9710000000000001</v>
      </c>
      <c r="I249" s="20" t="str">
        <f t="array" ref="I249">IF(ISBLANK(C249),"",IF(C249=MAX(IF(FarmUnit[1. Identifiant interne d’exploitation agricole*]=A249,FarmUnit[3. Superficie de l’unité agricole (ha)*])),"!","-"))</f>
        <v>!</v>
      </c>
      <c r="J249" s="9" t="str">
        <f ca="1">IFERROR(CONCATENATE(VLOOKUP(A249,GM_Table,12,FALSE)," ",(VLOOKUP(A249,GM_Table,13,FALSE))),"")</f>
        <v/>
      </c>
    </row>
    <row r="250" spans="1:10" ht="15" x14ac:dyDescent="0.2">
      <c r="A250" s="150" t="s">
        <v>1440</v>
      </c>
      <c r="B250" s="150" t="s">
        <v>1440</v>
      </c>
      <c r="C250" s="264">
        <v>0.96</v>
      </c>
      <c r="D250" s="265">
        <v>7.1657999999999999</v>
      </c>
      <c r="E250" s="265">
        <v>-8.0667000000000009</v>
      </c>
      <c r="F250" s="122" t="b">
        <f>IF(ISBLANK(FarmUnit[[#This Row],[1. Identifiant interne d’exploitation agricole*]]),"",IF(ISERROR(MATCH(FarmUnit[[#This Row],[1. Identifiant interne d’exploitation agricole*]],GroupMember[1. Identifiant interne d’exploitation agricole*],0)),FALSE,TRUE))</f>
        <v>1</v>
      </c>
      <c r="G250" s="4">
        <f t="shared" si="9"/>
        <v>7.1657999999999999</v>
      </c>
      <c r="H250" s="4">
        <f t="shared" si="10"/>
        <v>-8.0667000000000009</v>
      </c>
      <c r="I250" s="20" t="str">
        <f t="array" ref="I250">IF(ISBLANK(C250),"",IF(C250=MAX(IF(FarmUnit[1. Identifiant interne d’exploitation agricole*]=A250,FarmUnit[3. Superficie de l’unité agricole (ha)*])),"!","-"))</f>
        <v>!</v>
      </c>
      <c r="J250" s="9" t="str">
        <f ca="1">IFERROR(CONCATENATE(VLOOKUP(A250,GM_Table,12,FALSE)," ",(VLOOKUP(A250,GM_Table,13,FALSE))),"")</f>
        <v/>
      </c>
    </row>
    <row r="251" spans="1:10" ht="15" x14ac:dyDescent="0.2">
      <c r="A251" s="150" t="s">
        <v>1445</v>
      </c>
      <c r="B251" s="150" t="s">
        <v>1445</v>
      </c>
      <c r="C251" s="264">
        <v>2.5299999999999998</v>
      </c>
      <c r="D251" s="265">
        <v>7.1605999999999996</v>
      </c>
      <c r="E251" s="265">
        <v>-8.1606000000000005</v>
      </c>
      <c r="F251" s="122" t="b">
        <f>IF(ISBLANK(FarmUnit[[#This Row],[1. Identifiant interne d’exploitation agricole*]]),"",IF(ISERROR(MATCH(FarmUnit[[#This Row],[1. Identifiant interne d’exploitation agricole*]],GroupMember[1. Identifiant interne d’exploitation agricole*],0)),FALSE,TRUE))</f>
        <v>1</v>
      </c>
      <c r="G251" s="4">
        <f t="shared" si="9"/>
        <v>7.1605999999999996</v>
      </c>
      <c r="H251" s="4">
        <f t="shared" si="10"/>
        <v>-8.1606000000000005</v>
      </c>
      <c r="I251" s="20" t="str">
        <f t="array" ref="I251">IF(ISBLANK(C251),"",IF(C251=MAX(IF(FarmUnit[1. Identifiant interne d’exploitation agricole*]=A251,FarmUnit[3. Superficie de l’unité agricole (ha)*])),"!","-"))</f>
        <v>!</v>
      </c>
      <c r="J251" s="9" t="str">
        <f ca="1">IFERROR(CONCATENATE(VLOOKUP(A251,GM_Table,12,FALSE)," ",(VLOOKUP(A251,GM_Table,13,FALSE))),"")</f>
        <v/>
      </c>
    </row>
    <row r="252" spans="1:10" ht="15" x14ac:dyDescent="0.2">
      <c r="A252" s="179" t="s">
        <v>1447</v>
      </c>
      <c r="B252" s="179" t="s">
        <v>1447</v>
      </c>
      <c r="C252" s="264">
        <v>3.23</v>
      </c>
      <c r="D252" s="265">
        <v>6.9874999999999998</v>
      </c>
      <c r="E252" s="265">
        <v>-8.0388999999999999</v>
      </c>
      <c r="F252" s="122" t="b">
        <f>IF(ISBLANK(FarmUnit[[#This Row],[1. Identifiant interne d’exploitation agricole*]]),"",IF(ISERROR(MATCH(FarmUnit[[#This Row],[1. Identifiant interne d’exploitation agricole*]],GroupMember[1. Identifiant interne d’exploitation agricole*],0)),FALSE,TRUE))</f>
        <v>1</v>
      </c>
      <c r="G252" s="4">
        <f t="shared" si="9"/>
        <v>6.9874999999999998</v>
      </c>
      <c r="H252" s="4">
        <f t="shared" si="10"/>
        <v>-8.0388999999999999</v>
      </c>
      <c r="I252" s="20" t="str">
        <f t="array" ref="I252">IF(ISBLANK(C252),"",IF(C252=MAX(IF(FarmUnit[1. Identifiant interne d’exploitation agricole*]=A252,FarmUnit[3. Superficie de l’unité agricole (ha)*])),"!","-"))</f>
        <v>!</v>
      </c>
      <c r="J252" s="9" t="str">
        <f ca="1">IFERROR(CONCATENATE(VLOOKUP(A252,GM_Table,12,FALSE)," ",(VLOOKUP(A252,GM_Table,13,FALSE))),"")</f>
        <v/>
      </c>
    </row>
    <row r="253" spans="1:10" ht="15" x14ac:dyDescent="0.2">
      <c r="A253" s="150" t="s">
        <v>1449</v>
      </c>
      <c r="B253" s="150" t="s">
        <v>1449</v>
      </c>
      <c r="C253" s="264">
        <v>2</v>
      </c>
      <c r="D253" s="265">
        <v>6.9073000000000002</v>
      </c>
      <c r="E253" s="265">
        <v>-7.9678000000000004</v>
      </c>
      <c r="F253" s="122" t="b">
        <f>IF(ISBLANK(FarmUnit[[#This Row],[1. Identifiant interne d’exploitation agricole*]]),"",IF(ISERROR(MATCH(FarmUnit[[#This Row],[1. Identifiant interne d’exploitation agricole*]],GroupMember[1. Identifiant interne d’exploitation agricole*],0)),FALSE,TRUE))</f>
        <v>1</v>
      </c>
      <c r="G253" s="4">
        <f t="shared" si="9"/>
        <v>6.9073000000000002</v>
      </c>
      <c r="H253" s="4">
        <f t="shared" si="10"/>
        <v>-7.9678000000000004</v>
      </c>
      <c r="I253" s="20" t="str">
        <f t="array" ref="I253">IF(ISBLANK(C253),"",IF(C253=MAX(IF(FarmUnit[1. Identifiant interne d’exploitation agricole*]=A253,FarmUnit[3. Superficie de l’unité agricole (ha)*])),"!","-"))</f>
        <v>!</v>
      </c>
      <c r="J253" s="9" t="str">
        <f ca="1">IFERROR(CONCATENATE(VLOOKUP(A253,GM_Table,12,FALSE)," ",(VLOOKUP(A253,GM_Table,13,FALSE))),"")</f>
        <v/>
      </c>
    </row>
    <row r="254" spans="1:10" ht="15" x14ac:dyDescent="0.2">
      <c r="A254" s="150" t="s">
        <v>1455</v>
      </c>
      <c r="B254" s="150" t="s">
        <v>1455</v>
      </c>
      <c r="C254" s="264">
        <v>1.1200000000000001</v>
      </c>
      <c r="D254" s="265">
        <v>6.9927999999999999</v>
      </c>
      <c r="E254" s="265">
        <v>-8.1016999999999992</v>
      </c>
      <c r="F254" s="122" t="b">
        <f>IF(ISBLANK(FarmUnit[[#This Row],[1. Identifiant interne d’exploitation agricole*]]),"",IF(ISERROR(MATCH(FarmUnit[[#This Row],[1. Identifiant interne d’exploitation agricole*]],GroupMember[1. Identifiant interne d’exploitation agricole*],0)),FALSE,TRUE))</f>
        <v>1</v>
      </c>
      <c r="G254" s="4">
        <f t="shared" si="9"/>
        <v>6.9927999999999999</v>
      </c>
      <c r="H254" s="4">
        <f t="shared" si="10"/>
        <v>-8.1016999999999992</v>
      </c>
      <c r="I254" s="20" t="str">
        <f t="array" ref="I254">IF(ISBLANK(C254),"",IF(C254=MAX(IF(FarmUnit[1. Identifiant interne d’exploitation agricole*]=A254,FarmUnit[3. Superficie de l’unité agricole (ha)*])),"!","-"))</f>
        <v>!</v>
      </c>
      <c r="J254" s="9" t="str">
        <f ca="1">IFERROR(CONCATENATE(VLOOKUP(A254,GM_Table,12,FALSE)," ",(VLOOKUP(A254,GM_Table,13,FALSE))),"")</f>
        <v/>
      </c>
    </row>
    <row r="255" spans="1:10" ht="15" x14ac:dyDescent="0.2">
      <c r="A255" s="150" t="s">
        <v>1459</v>
      </c>
      <c r="B255" s="150" t="s">
        <v>1459</v>
      </c>
      <c r="C255" s="264">
        <v>4</v>
      </c>
      <c r="D255" s="265">
        <v>6.9489999999999998</v>
      </c>
      <c r="E255" s="265">
        <v>-7.9774000000000003</v>
      </c>
      <c r="F255" s="122" t="b">
        <f>IF(ISBLANK(FarmUnit[[#This Row],[1. Identifiant interne d’exploitation agricole*]]),"",IF(ISERROR(MATCH(FarmUnit[[#This Row],[1. Identifiant interne d’exploitation agricole*]],GroupMember[1. Identifiant interne d’exploitation agricole*],0)),FALSE,TRUE))</f>
        <v>1</v>
      </c>
      <c r="G255" s="4">
        <f t="shared" si="9"/>
        <v>6.9489999999999998</v>
      </c>
      <c r="H255" s="4">
        <f t="shared" si="10"/>
        <v>-7.9774000000000003</v>
      </c>
      <c r="I255" s="20" t="str">
        <f t="array" ref="I255">IF(ISBLANK(C255),"",IF(C255=MAX(IF(FarmUnit[1. Identifiant interne d’exploitation agricole*]=A255,FarmUnit[3. Superficie de l’unité agricole (ha)*])),"!","-"))</f>
        <v>!</v>
      </c>
      <c r="J255" s="9" t="str">
        <f ca="1">IFERROR(CONCATENATE(VLOOKUP(A255,GM_Table,12,FALSE)," ",(VLOOKUP(A255,GM_Table,13,FALSE))),"")</f>
        <v/>
      </c>
    </row>
    <row r="256" spans="1:10" ht="15" x14ac:dyDescent="0.2">
      <c r="A256" s="150" t="s">
        <v>1461</v>
      </c>
      <c r="B256" s="150" t="s">
        <v>1461</v>
      </c>
      <c r="C256" s="264">
        <v>2</v>
      </c>
      <c r="D256" s="265">
        <v>6.9321999999999999</v>
      </c>
      <c r="E256" s="265">
        <v>-7.9612999999999996</v>
      </c>
      <c r="F256" s="122" t="b">
        <f>IF(ISBLANK(FarmUnit[[#This Row],[1. Identifiant interne d’exploitation agricole*]]),"",IF(ISERROR(MATCH(FarmUnit[[#This Row],[1. Identifiant interne d’exploitation agricole*]],GroupMember[1. Identifiant interne d’exploitation agricole*],0)),FALSE,TRUE))</f>
        <v>1</v>
      </c>
      <c r="G256" s="4">
        <f t="shared" si="9"/>
        <v>6.9321999999999999</v>
      </c>
      <c r="H256" s="4">
        <f t="shared" si="10"/>
        <v>-7.9612999999999996</v>
      </c>
      <c r="I256" s="20" t="str">
        <f t="array" ref="I256">IF(ISBLANK(C256),"",IF(C256=MAX(IF(FarmUnit[1. Identifiant interne d’exploitation agricole*]=A256,FarmUnit[3. Superficie de l’unité agricole (ha)*])),"!","-"))</f>
        <v>!</v>
      </c>
      <c r="J256" s="9" t="str">
        <f ca="1">IFERROR(CONCATENATE(VLOOKUP(A256,GM_Table,12,FALSE)," ",(VLOOKUP(A256,GM_Table,13,FALSE))),"")</f>
        <v/>
      </c>
    </row>
    <row r="257" spans="1:10" ht="15" x14ac:dyDescent="0.2">
      <c r="A257" s="150" t="s">
        <v>1463</v>
      </c>
      <c r="B257" s="150" t="s">
        <v>1463</v>
      </c>
      <c r="C257" s="264">
        <v>7</v>
      </c>
      <c r="D257" s="265">
        <v>6.9471999999999996</v>
      </c>
      <c r="E257" s="265">
        <v>-7.9839000000000002</v>
      </c>
      <c r="F257" s="122" t="b">
        <f>IF(ISBLANK(FarmUnit[[#This Row],[1. Identifiant interne d’exploitation agricole*]]),"",IF(ISERROR(MATCH(FarmUnit[[#This Row],[1. Identifiant interne d’exploitation agricole*]],GroupMember[1. Identifiant interne d’exploitation agricole*],0)),FALSE,TRUE))</f>
        <v>1</v>
      </c>
      <c r="G257" s="4">
        <f t="shared" si="9"/>
        <v>6.9471999999999996</v>
      </c>
      <c r="H257" s="4">
        <f t="shared" si="10"/>
        <v>-7.9839000000000002</v>
      </c>
      <c r="I257" s="20" t="str">
        <f t="array" ref="I257">IF(ISBLANK(C257),"",IF(C257=MAX(IF(FarmUnit[1. Identifiant interne d’exploitation agricole*]=A257,FarmUnit[3. Superficie de l’unité agricole (ha)*])),"!","-"))</f>
        <v>!</v>
      </c>
      <c r="J257" s="9" t="str">
        <f ca="1">IFERROR(CONCATENATE(VLOOKUP(A257,GM_Table,12,FALSE)," ",(VLOOKUP(A257,GM_Table,13,FALSE))),"")</f>
        <v/>
      </c>
    </row>
    <row r="258" spans="1:10" ht="15" x14ac:dyDescent="0.2">
      <c r="A258" s="150" t="s">
        <v>1466</v>
      </c>
      <c r="B258" s="150" t="s">
        <v>1466</v>
      </c>
      <c r="C258" s="264">
        <v>3</v>
      </c>
      <c r="D258" s="265">
        <v>6.9555999999999996</v>
      </c>
      <c r="E258" s="265">
        <v>-7.9907000000000004</v>
      </c>
      <c r="F258" s="122" t="b">
        <f>IF(ISBLANK(FarmUnit[[#This Row],[1. Identifiant interne d’exploitation agricole*]]),"",IF(ISERROR(MATCH(FarmUnit[[#This Row],[1. Identifiant interne d’exploitation agricole*]],GroupMember[1. Identifiant interne d’exploitation agricole*],0)),FALSE,TRUE))</f>
        <v>1</v>
      </c>
      <c r="G258" s="4">
        <f t="shared" si="9"/>
        <v>6.9555999999999996</v>
      </c>
      <c r="H258" s="4">
        <f t="shared" si="10"/>
        <v>-7.9907000000000004</v>
      </c>
      <c r="I258" s="20" t="str">
        <f t="array" ref="I258">IF(ISBLANK(C258),"",IF(C258=MAX(IF(FarmUnit[1. Identifiant interne d’exploitation agricole*]=A258,FarmUnit[3. Superficie de l’unité agricole (ha)*])),"!","-"))</f>
        <v>!</v>
      </c>
      <c r="J258" s="9" t="str">
        <f ca="1">IFERROR(CONCATENATE(VLOOKUP(A258,GM_Table,12,FALSE)," ",(VLOOKUP(A258,GM_Table,13,FALSE))),"")</f>
        <v/>
      </c>
    </row>
    <row r="259" spans="1:10" ht="15" x14ac:dyDescent="0.2">
      <c r="A259" s="150" t="s">
        <v>1468</v>
      </c>
      <c r="B259" s="150" t="s">
        <v>1468</v>
      </c>
      <c r="C259" s="264">
        <v>2</v>
      </c>
      <c r="D259" s="265">
        <v>6.9530000000000003</v>
      </c>
      <c r="E259" s="265">
        <v>-7.9908000000000001</v>
      </c>
      <c r="F259" s="122" t="b">
        <f>IF(ISBLANK(FarmUnit[[#This Row],[1. Identifiant interne d’exploitation agricole*]]),"",IF(ISERROR(MATCH(FarmUnit[[#This Row],[1. Identifiant interne d’exploitation agricole*]],GroupMember[1. Identifiant interne d’exploitation agricole*],0)),FALSE,TRUE))</f>
        <v>1</v>
      </c>
      <c r="G259" s="4">
        <f t="shared" si="9"/>
        <v>6.9530000000000003</v>
      </c>
      <c r="H259" s="4">
        <f t="shared" si="10"/>
        <v>-7.9908000000000001</v>
      </c>
      <c r="I259" s="20" t="str">
        <f t="array" ref="I259">IF(ISBLANK(C259),"",IF(C259=MAX(IF(FarmUnit[1. Identifiant interne d’exploitation agricole*]=A259,FarmUnit[3. Superficie de l’unité agricole (ha)*])),"!","-"))</f>
        <v>!</v>
      </c>
      <c r="J259" s="9" t="str">
        <f ca="1">IFERROR(CONCATENATE(VLOOKUP(A259,GM_Table,12,FALSE)," ",(VLOOKUP(A259,GM_Table,13,FALSE))),"")</f>
        <v/>
      </c>
    </row>
    <row r="260" spans="1:10" ht="15" x14ac:dyDescent="0.2">
      <c r="A260" s="150" t="s">
        <v>1470</v>
      </c>
      <c r="B260" s="150" t="s">
        <v>1470</v>
      </c>
      <c r="C260" s="264">
        <v>2</v>
      </c>
      <c r="D260" s="265">
        <v>6.9535999999999998</v>
      </c>
      <c r="E260" s="265">
        <v>-7.9905999999999997</v>
      </c>
      <c r="F260" s="122" t="b">
        <f>IF(ISBLANK(FarmUnit[[#This Row],[1. Identifiant interne d’exploitation agricole*]]),"",IF(ISERROR(MATCH(FarmUnit[[#This Row],[1. Identifiant interne d’exploitation agricole*]],GroupMember[1. Identifiant interne d’exploitation agricole*],0)),FALSE,TRUE))</f>
        <v>1</v>
      </c>
      <c r="G260" s="4">
        <f t="shared" si="9"/>
        <v>6.9535999999999998</v>
      </c>
      <c r="H260" s="4">
        <f t="shared" si="10"/>
        <v>-7.9905999999999997</v>
      </c>
      <c r="I260" s="20" t="str">
        <f t="array" ref="I260">IF(ISBLANK(C260),"",IF(C260=MAX(IF(FarmUnit[1. Identifiant interne d’exploitation agricole*]=A260,FarmUnit[3. Superficie de l’unité agricole (ha)*])),"!","-"))</f>
        <v>!</v>
      </c>
      <c r="J260" s="9" t="str">
        <f ca="1">IFERROR(CONCATENATE(VLOOKUP(A260,GM_Table,12,FALSE)," ",(VLOOKUP(A260,GM_Table,13,FALSE))),"")</f>
        <v/>
      </c>
    </row>
    <row r="261" spans="1:10" ht="15" x14ac:dyDescent="0.2">
      <c r="A261" s="150" t="s">
        <v>1473</v>
      </c>
      <c r="B261" s="150" t="s">
        <v>1473</v>
      </c>
      <c r="C261" s="264">
        <v>2</v>
      </c>
      <c r="D261" s="265">
        <v>6.9522000000000004</v>
      </c>
      <c r="E261" s="265">
        <v>-7.9938000000000002</v>
      </c>
      <c r="F261" s="122" t="b">
        <f>IF(ISBLANK(FarmUnit[[#This Row],[1. Identifiant interne d’exploitation agricole*]]),"",IF(ISERROR(MATCH(FarmUnit[[#This Row],[1. Identifiant interne d’exploitation agricole*]],GroupMember[1. Identifiant interne d’exploitation agricole*],0)),FALSE,TRUE))</f>
        <v>1</v>
      </c>
      <c r="G261" s="4">
        <f t="shared" si="9"/>
        <v>6.9522000000000004</v>
      </c>
      <c r="H261" s="4">
        <f t="shared" si="10"/>
        <v>-7.9938000000000002</v>
      </c>
      <c r="I261" s="20" t="str">
        <f t="array" ref="I261">IF(ISBLANK(C261),"",IF(C261=MAX(IF(FarmUnit[1. Identifiant interne d’exploitation agricole*]=A261,FarmUnit[3. Superficie de l’unité agricole (ha)*])),"!","-"))</f>
        <v>!</v>
      </c>
      <c r="J261" s="9" t="str">
        <f ca="1">IFERROR(CONCATENATE(VLOOKUP(A261,GM_Table,12,FALSE)," ",(VLOOKUP(A261,GM_Table,13,FALSE))),"")</f>
        <v/>
      </c>
    </row>
    <row r="262" spans="1:10" ht="15" x14ac:dyDescent="0.2">
      <c r="A262" s="150" t="s">
        <v>1477</v>
      </c>
      <c r="B262" s="150" t="s">
        <v>1477</v>
      </c>
      <c r="C262" s="264">
        <v>2</v>
      </c>
      <c r="D262" s="267">
        <v>6.8898000000000001</v>
      </c>
      <c r="E262" s="267">
        <v>-7.9462000000000002</v>
      </c>
      <c r="F262" s="122" t="b">
        <f>IF(ISBLANK(FarmUnit[[#This Row],[1. Identifiant interne d’exploitation agricole*]]),"",IF(ISERROR(MATCH(FarmUnit[[#This Row],[1. Identifiant interne d’exploitation agricole*]],GroupMember[1. Identifiant interne d’exploitation agricole*],0)),FALSE,TRUE))</f>
        <v>1</v>
      </c>
      <c r="G262" s="4">
        <f t="shared" si="9"/>
        <v>6.8898000000000001</v>
      </c>
      <c r="H262" s="4">
        <f t="shared" si="10"/>
        <v>-7.9462000000000002</v>
      </c>
      <c r="I262" s="20" t="str">
        <f t="array" ref="I262">IF(ISBLANK(C262),"",IF(C262=MAX(IF(FarmUnit[1. Identifiant interne d’exploitation agricole*]=A262,FarmUnit[3. Superficie de l’unité agricole (ha)*])),"!","-"))</f>
        <v>!</v>
      </c>
      <c r="J262" s="9" t="str">
        <f ca="1">IFERROR(CONCATENATE(VLOOKUP(A262,GM_Table,12,FALSE)," ",(VLOOKUP(A262,GM_Table,13,FALSE))),"")</f>
        <v/>
      </c>
    </row>
    <row r="263" spans="1:10" ht="15" x14ac:dyDescent="0.2">
      <c r="A263" s="150" t="s">
        <v>1479</v>
      </c>
      <c r="B263" s="150" t="s">
        <v>1479</v>
      </c>
      <c r="C263" s="264">
        <v>3</v>
      </c>
      <c r="D263" s="265">
        <v>6.9508000000000001</v>
      </c>
      <c r="E263" s="265">
        <v>-7.9903000000000004</v>
      </c>
      <c r="F263" s="122" t="b">
        <f>IF(ISBLANK(FarmUnit[[#This Row],[1. Identifiant interne d’exploitation agricole*]]),"",IF(ISERROR(MATCH(FarmUnit[[#This Row],[1. Identifiant interne d’exploitation agricole*]],GroupMember[1. Identifiant interne d’exploitation agricole*],0)),FALSE,TRUE))</f>
        <v>1</v>
      </c>
      <c r="G263" s="4">
        <f t="shared" si="9"/>
        <v>6.9508000000000001</v>
      </c>
      <c r="H263" s="4">
        <f t="shared" si="10"/>
        <v>-7.9903000000000004</v>
      </c>
      <c r="I263" s="20" t="str">
        <f t="array" ref="I263">IF(ISBLANK(C263),"",IF(C263=MAX(IF(FarmUnit[1. Identifiant interne d’exploitation agricole*]=A263,FarmUnit[3. Superficie de l’unité agricole (ha)*])),"!","-"))</f>
        <v>!</v>
      </c>
      <c r="J263" s="9" t="str">
        <f ca="1">IFERROR(CONCATENATE(VLOOKUP(A263,GM_Table,12,FALSE)," ",(VLOOKUP(A263,GM_Table,13,FALSE))),"")</f>
        <v/>
      </c>
    </row>
    <row r="264" spans="1:10" ht="15" x14ac:dyDescent="0.2">
      <c r="A264" s="150" t="s">
        <v>1481</v>
      </c>
      <c r="B264" s="150" t="s">
        <v>1481</v>
      </c>
      <c r="C264" s="264">
        <v>2</v>
      </c>
      <c r="D264" s="265">
        <v>6.9480000000000004</v>
      </c>
      <c r="E264" s="265">
        <v>-7.9880000000000004</v>
      </c>
      <c r="F264" s="122" t="b">
        <f>IF(ISBLANK(FarmUnit[[#This Row],[1. Identifiant interne d’exploitation agricole*]]),"",IF(ISERROR(MATCH(FarmUnit[[#This Row],[1. Identifiant interne d’exploitation agricole*]],GroupMember[1. Identifiant interne d’exploitation agricole*],0)),FALSE,TRUE))</f>
        <v>1</v>
      </c>
      <c r="G264" s="4">
        <f t="shared" si="9"/>
        <v>6.9480000000000004</v>
      </c>
      <c r="H264" s="4">
        <f t="shared" si="10"/>
        <v>-7.9880000000000004</v>
      </c>
      <c r="I264" s="20" t="str">
        <f t="array" ref="I264">IF(ISBLANK(C264),"",IF(C264=MAX(IF(FarmUnit[1. Identifiant interne d’exploitation agricole*]=A264,FarmUnit[3. Superficie de l’unité agricole (ha)*])),"!","-"))</f>
        <v>!</v>
      </c>
      <c r="J264" s="9" t="str">
        <f ca="1">IFERROR(CONCATENATE(VLOOKUP(A264,GM_Table,12,FALSE)," ",(VLOOKUP(A264,GM_Table,13,FALSE))),"")</f>
        <v/>
      </c>
    </row>
    <row r="265" spans="1:10" ht="15" x14ac:dyDescent="0.2">
      <c r="A265" s="150" t="s">
        <v>1483</v>
      </c>
      <c r="B265" s="150" t="s">
        <v>1483</v>
      </c>
      <c r="C265" s="264">
        <v>0.95</v>
      </c>
      <c r="D265" s="265">
        <v>7.1688999999999998</v>
      </c>
      <c r="E265" s="265">
        <v>-7.9922000000000004</v>
      </c>
      <c r="F265" s="122" t="b">
        <f>IF(ISBLANK(FarmUnit[[#This Row],[1. Identifiant interne d’exploitation agricole*]]),"",IF(ISERROR(MATCH(FarmUnit[[#This Row],[1. Identifiant interne d’exploitation agricole*]],GroupMember[1. Identifiant interne d’exploitation agricole*],0)),FALSE,TRUE))</f>
        <v>1</v>
      </c>
      <c r="G265" s="4">
        <f t="shared" si="9"/>
        <v>7.1688999999999998</v>
      </c>
      <c r="H265" s="4">
        <f t="shared" si="10"/>
        <v>-7.9922000000000004</v>
      </c>
      <c r="I265" s="20" t="str">
        <f t="array" ref="I265">IF(ISBLANK(C265),"",IF(C265=MAX(IF(FarmUnit[1. Identifiant interne d’exploitation agricole*]=A265,FarmUnit[3. Superficie de l’unité agricole (ha)*])),"!","-"))</f>
        <v>!</v>
      </c>
      <c r="J265" s="9" t="str">
        <f ca="1">IFERROR(CONCATENATE(VLOOKUP(A265,GM_Table,12,FALSE)," ",(VLOOKUP(A265,GM_Table,13,FALSE))),"")</f>
        <v/>
      </c>
    </row>
    <row r="266" spans="1:10" ht="15" x14ac:dyDescent="0.2">
      <c r="A266" s="150" t="s">
        <v>1485</v>
      </c>
      <c r="B266" s="150" t="s">
        <v>1485</v>
      </c>
      <c r="C266" s="264">
        <v>5</v>
      </c>
      <c r="D266" s="265">
        <v>6.9328000000000003</v>
      </c>
      <c r="E266" s="265">
        <v>-7.9645999999999999</v>
      </c>
      <c r="F266" s="122" t="b">
        <f>IF(ISBLANK(FarmUnit[[#This Row],[1. Identifiant interne d’exploitation agricole*]]),"",IF(ISERROR(MATCH(FarmUnit[[#This Row],[1. Identifiant interne d’exploitation agricole*]],GroupMember[1. Identifiant interne d’exploitation agricole*],0)),FALSE,TRUE))</f>
        <v>1</v>
      </c>
      <c r="G266" s="4">
        <f t="shared" si="9"/>
        <v>6.9328000000000003</v>
      </c>
      <c r="H266" s="4">
        <f t="shared" si="10"/>
        <v>-7.9645999999999999</v>
      </c>
      <c r="I266" s="20" t="str">
        <f t="array" ref="I266">IF(ISBLANK(C266),"",IF(C266=MAX(IF(FarmUnit[1. Identifiant interne d’exploitation agricole*]=A266,FarmUnit[3. Superficie de l’unité agricole (ha)*])),"!","-"))</f>
        <v>!</v>
      </c>
      <c r="J266" s="9" t="str">
        <f ca="1">IFERROR(CONCATENATE(VLOOKUP(A266,GM_Table,12,FALSE)," ",(VLOOKUP(A266,GM_Table,13,FALSE))),"")</f>
        <v/>
      </c>
    </row>
    <row r="267" spans="1:10" ht="15" x14ac:dyDescent="0.2">
      <c r="A267" s="150" t="s">
        <v>1487</v>
      </c>
      <c r="B267" s="150" t="s">
        <v>1487</v>
      </c>
      <c r="C267" s="264">
        <v>3.1</v>
      </c>
      <c r="D267" s="265">
        <v>7.1780999999999997</v>
      </c>
      <c r="E267" s="265">
        <v>-7.9985999999999997</v>
      </c>
      <c r="F267" s="122" t="b">
        <f>IF(ISBLANK(FarmUnit[[#This Row],[1. Identifiant interne d’exploitation agricole*]]),"",IF(ISERROR(MATCH(FarmUnit[[#This Row],[1. Identifiant interne d’exploitation agricole*]],GroupMember[1. Identifiant interne d’exploitation agricole*],0)),FALSE,TRUE))</f>
        <v>1</v>
      </c>
      <c r="G267" s="4">
        <f t="shared" si="9"/>
        <v>7.1780999999999997</v>
      </c>
      <c r="H267" s="4">
        <f t="shared" si="10"/>
        <v>-7.9985999999999997</v>
      </c>
      <c r="I267" s="20" t="str">
        <f t="array" ref="I267">IF(ISBLANK(C267),"",IF(C267=MAX(IF(FarmUnit[1. Identifiant interne d’exploitation agricole*]=A267,FarmUnit[3. Superficie de l’unité agricole (ha)*])),"!","-"))</f>
        <v>!</v>
      </c>
      <c r="J267" s="9" t="str">
        <f ca="1">IFERROR(CONCATENATE(VLOOKUP(A267,GM_Table,12,FALSE)," ",(VLOOKUP(A267,GM_Table,13,FALSE))),"")</f>
        <v/>
      </c>
    </row>
    <row r="268" spans="1:10" ht="15" x14ac:dyDescent="0.2">
      <c r="A268" s="150" t="s">
        <v>1489</v>
      </c>
      <c r="B268" s="150" t="s">
        <v>1489</v>
      </c>
      <c r="C268" s="264">
        <v>1.92</v>
      </c>
      <c r="D268" s="265">
        <v>6.9646999999999997</v>
      </c>
      <c r="E268" s="265">
        <v>-8.0419</v>
      </c>
      <c r="F268" s="122" t="b">
        <f>IF(ISBLANK(FarmUnit[[#This Row],[1. Identifiant interne d’exploitation agricole*]]),"",IF(ISERROR(MATCH(FarmUnit[[#This Row],[1. Identifiant interne d’exploitation agricole*]],GroupMember[1. Identifiant interne d’exploitation agricole*],0)),FALSE,TRUE))</f>
        <v>1</v>
      </c>
      <c r="G268" s="4">
        <f t="shared" si="9"/>
        <v>6.9646999999999997</v>
      </c>
      <c r="H268" s="4">
        <f t="shared" si="10"/>
        <v>-8.0419</v>
      </c>
      <c r="I268" s="20" t="str">
        <f t="array" ref="I268">IF(ISBLANK(C268),"",IF(C268=MAX(IF(FarmUnit[1. Identifiant interne d’exploitation agricole*]=A268,FarmUnit[3. Superficie de l’unité agricole (ha)*])),"!","-"))</f>
        <v>!</v>
      </c>
      <c r="J268" s="9" t="str">
        <f ca="1">IFERROR(CONCATENATE(VLOOKUP(A268,GM_Table,12,FALSE)," ",(VLOOKUP(A268,GM_Table,13,FALSE))),"")</f>
        <v/>
      </c>
    </row>
    <row r="269" spans="1:10" ht="15" x14ac:dyDescent="0.2">
      <c r="A269" s="150" t="s">
        <v>1491</v>
      </c>
      <c r="B269" s="150" t="s">
        <v>1491</v>
      </c>
      <c r="C269" s="264">
        <v>1.46</v>
      </c>
      <c r="D269" s="265">
        <v>7.0049999999999999</v>
      </c>
      <c r="E269" s="265">
        <v>-8.0780999999999992</v>
      </c>
      <c r="F269" s="122" t="b">
        <f>IF(ISBLANK(FarmUnit[[#This Row],[1. Identifiant interne d’exploitation agricole*]]),"",IF(ISERROR(MATCH(FarmUnit[[#This Row],[1. Identifiant interne d’exploitation agricole*]],GroupMember[1. Identifiant interne d’exploitation agricole*],0)),FALSE,TRUE))</f>
        <v>1</v>
      </c>
      <c r="G269" s="4">
        <f t="shared" si="9"/>
        <v>7.0049999999999999</v>
      </c>
      <c r="H269" s="4">
        <f t="shared" si="10"/>
        <v>-8.0780999999999992</v>
      </c>
      <c r="I269" s="20" t="str">
        <f t="array" ref="I269">IF(ISBLANK(C269),"",IF(C269=MAX(IF(FarmUnit[1. Identifiant interne d’exploitation agricole*]=A269,FarmUnit[3. Superficie de l’unité agricole (ha)*])),"!","-"))</f>
        <v>!</v>
      </c>
      <c r="J269" s="9" t="str">
        <f ca="1">IFERROR(CONCATENATE(VLOOKUP(A269,GM_Table,12,FALSE)," ",(VLOOKUP(A269,GM_Table,13,FALSE))),"")</f>
        <v/>
      </c>
    </row>
    <row r="270" spans="1:10" ht="15" x14ac:dyDescent="0.2">
      <c r="A270" s="150" t="s">
        <v>1493</v>
      </c>
      <c r="B270" s="150" t="s">
        <v>1493</v>
      </c>
      <c r="C270" s="264">
        <v>1.29</v>
      </c>
      <c r="D270" s="265">
        <v>7.0231000000000003</v>
      </c>
      <c r="E270" s="265">
        <v>-8.0789000000000009</v>
      </c>
      <c r="F270" s="122" t="b">
        <f>IF(ISBLANK(FarmUnit[[#This Row],[1. Identifiant interne d’exploitation agricole*]]),"",IF(ISERROR(MATCH(FarmUnit[[#This Row],[1. Identifiant interne d’exploitation agricole*]],GroupMember[1. Identifiant interne d’exploitation agricole*],0)),FALSE,TRUE))</f>
        <v>1</v>
      </c>
      <c r="G270" s="4">
        <f t="shared" si="9"/>
        <v>7.0231000000000003</v>
      </c>
      <c r="H270" s="4">
        <f t="shared" si="10"/>
        <v>-8.0789000000000009</v>
      </c>
      <c r="I270" s="20" t="str">
        <f t="array" ref="I270">IF(ISBLANK(C270),"",IF(C270=MAX(IF(FarmUnit[1. Identifiant interne d’exploitation agricole*]=A270,FarmUnit[3. Superficie de l’unité agricole (ha)*])),"!","-"))</f>
        <v>!</v>
      </c>
      <c r="J270" s="9" t="str">
        <f ca="1">IFERROR(CONCATENATE(VLOOKUP(A270,GM_Table,12,FALSE)," ",(VLOOKUP(A270,GM_Table,13,FALSE))),"")</f>
        <v/>
      </c>
    </row>
    <row r="271" spans="1:10" ht="15" x14ac:dyDescent="0.2">
      <c r="A271" s="150" t="s">
        <v>1495</v>
      </c>
      <c r="B271" s="150" t="s">
        <v>1495</v>
      </c>
      <c r="C271" s="264">
        <v>1.66</v>
      </c>
      <c r="D271" s="265">
        <v>6.9725000000000001</v>
      </c>
      <c r="E271" s="265">
        <v>-8.0419999999999998</v>
      </c>
      <c r="F271" s="122" t="b">
        <f>IF(ISBLANK(FarmUnit[[#This Row],[1. Identifiant interne d’exploitation agricole*]]),"",IF(ISERROR(MATCH(FarmUnit[[#This Row],[1. Identifiant interne d’exploitation agricole*]],GroupMember[1. Identifiant interne d’exploitation agricole*],0)),FALSE,TRUE))</f>
        <v>1</v>
      </c>
      <c r="G271" s="4">
        <f t="shared" si="9"/>
        <v>6.9725000000000001</v>
      </c>
      <c r="H271" s="4">
        <f t="shared" si="10"/>
        <v>-8.0419999999999998</v>
      </c>
      <c r="I271" s="20" t="str">
        <f t="array" ref="I271">IF(ISBLANK(C271),"",IF(C271=MAX(IF(FarmUnit[1. Identifiant interne d’exploitation agricole*]=A271,FarmUnit[3. Superficie de l’unité agricole (ha)*])),"!","-"))</f>
        <v>!</v>
      </c>
      <c r="J271" s="9" t="str">
        <f ca="1">IFERROR(CONCATENATE(VLOOKUP(A271,GM_Table,12,FALSE)," ",(VLOOKUP(A271,GM_Table,13,FALSE))),"")</f>
        <v/>
      </c>
    </row>
    <row r="272" spans="1:10" ht="15" x14ac:dyDescent="0.2">
      <c r="A272" s="150" t="s">
        <v>1497</v>
      </c>
      <c r="B272" s="150" t="s">
        <v>1497</v>
      </c>
      <c r="C272" s="264">
        <v>1.66</v>
      </c>
      <c r="D272" s="265">
        <v>6.9794</v>
      </c>
      <c r="E272" s="265">
        <v>-8.0580999999999996</v>
      </c>
      <c r="F272" s="122" t="b">
        <f>IF(ISBLANK(FarmUnit[[#This Row],[1. Identifiant interne d’exploitation agricole*]]),"",IF(ISERROR(MATCH(FarmUnit[[#This Row],[1. Identifiant interne d’exploitation agricole*]],GroupMember[1. Identifiant interne d’exploitation agricole*],0)),FALSE,TRUE))</f>
        <v>1</v>
      </c>
      <c r="G272" s="4">
        <f t="shared" si="9"/>
        <v>6.9794</v>
      </c>
      <c r="H272" s="4">
        <f t="shared" si="10"/>
        <v>-8.0580999999999996</v>
      </c>
      <c r="I272" s="20" t="str">
        <f t="array" ref="I272">IF(ISBLANK(C272),"",IF(C272=MAX(IF(FarmUnit[1. Identifiant interne d’exploitation agricole*]=A272,FarmUnit[3. Superficie de l’unité agricole (ha)*])),"!","-"))</f>
        <v>!</v>
      </c>
      <c r="J272" s="9" t="str">
        <f ca="1">IFERROR(CONCATENATE(VLOOKUP(A272,GM_Table,12,FALSE)," ",(VLOOKUP(A272,GM_Table,13,FALSE))),"")</f>
        <v/>
      </c>
    </row>
    <row r="273" spans="1:10" ht="15" x14ac:dyDescent="0.2">
      <c r="A273" s="150" t="s">
        <v>1500</v>
      </c>
      <c r="B273" s="150" t="s">
        <v>1500</v>
      </c>
      <c r="C273" s="264">
        <v>1.86</v>
      </c>
      <c r="D273" s="265">
        <v>7.04</v>
      </c>
      <c r="E273" s="265">
        <v>-8.1767000000000003</v>
      </c>
      <c r="F273" s="122" t="b">
        <f>IF(ISBLANK(FarmUnit[[#This Row],[1. Identifiant interne d’exploitation agricole*]]),"",IF(ISERROR(MATCH(FarmUnit[[#This Row],[1. Identifiant interne d’exploitation agricole*]],GroupMember[1. Identifiant interne d’exploitation agricole*],0)),FALSE,TRUE))</f>
        <v>1</v>
      </c>
      <c r="G273" s="4">
        <f t="shared" si="9"/>
        <v>7.04</v>
      </c>
      <c r="H273" s="4">
        <f t="shared" si="10"/>
        <v>-8.1767000000000003</v>
      </c>
      <c r="I273" s="20" t="str">
        <f t="array" ref="I273">IF(ISBLANK(C273),"",IF(C273=MAX(IF(FarmUnit[1. Identifiant interne d’exploitation agricole*]=A273,FarmUnit[3. Superficie de l’unité agricole (ha)*])),"!","-"))</f>
        <v>!</v>
      </c>
      <c r="J273" s="9" t="str">
        <f ca="1">IFERROR(CONCATENATE(VLOOKUP(A273,GM_Table,12,FALSE)," ",(VLOOKUP(A273,GM_Table,13,FALSE))),"")</f>
        <v/>
      </c>
    </row>
    <row r="274" spans="1:10" ht="15" x14ac:dyDescent="0.2">
      <c r="A274" s="150" t="s">
        <v>1504</v>
      </c>
      <c r="B274" s="150" t="s">
        <v>1504</v>
      </c>
      <c r="C274" s="264">
        <v>2.21</v>
      </c>
      <c r="D274" s="265">
        <v>7.0477999999999996</v>
      </c>
      <c r="E274" s="265">
        <v>-8.2064000000000004</v>
      </c>
      <c r="F274" s="122" t="b">
        <f>IF(ISBLANK(FarmUnit[[#This Row],[1. Identifiant interne d’exploitation agricole*]]),"",IF(ISERROR(MATCH(FarmUnit[[#This Row],[1. Identifiant interne d’exploitation agricole*]],GroupMember[1. Identifiant interne d’exploitation agricole*],0)),FALSE,TRUE))</f>
        <v>1</v>
      </c>
      <c r="G274" s="4">
        <f t="shared" si="9"/>
        <v>7.0477999999999996</v>
      </c>
      <c r="H274" s="4">
        <f t="shared" si="10"/>
        <v>-8.2064000000000004</v>
      </c>
      <c r="I274" s="20" t="str">
        <f t="array" ref="I274">IF(ISBLANK(C274),"",IF(C274=MAX(IF(FarmUnit[1. Identifiant interne d’exploitation agricole*]=A274,FarmUnit[3. Superficie de l’unité agricole (ha)*])),"!","-"))</f>
        <v>!</v>
      </c>
      <c r="J274" s="9" t="str">
        <f ca="1">IFERROR(CONCATENATE(VLOOKUP(A274,GM_Table,12,FALSE)," ",(VLOOKUP(A274,GM_Table,13,FALSE))),"")</f>
        <v/>
      </c>
    </row>
    <row r="275" spans="1:10" ht="15" x14ac:dyDescent="0.2">
      <c r="A275" s="150" t="s">
        <v>1509</v>
      </c>
      <c r="B275" s="150" t="s">
        <v>1509</v>
      </c>
      <c r="C275" s="264">
        <v>5</v>
      </c>
      <c r="D275" s="265">
        <v>6.9391999999999996</v>
      </c>
      <c r="E275" s="265">
        <v>-7.9455</v>
      </c>
      <c r="F275" s="122" t="b">
        <f>IF(ISBLANK(FarmUnit[[#This Row],[1. Identifiant interne d’exploitation agricole*]]),"",IF(ISERROR(MATCH(FarmUnit[[#This Row],[1. Identifiant interne d’exploitation agricole*]],GroupMember[1. Identifiant interne d’exploitation agricole*],0)),FALSE,TRUE))</f>
        <v>1</v>
      </c>
      <c r="G275" s="4">
        <f t="shared" si="9"/>
        <v>6.9391999999999996</v>
      </c>
      <c r="H275" s="4">
        <f t="shared" si="10"/>
        <v>-7.9455</v>
      </c>
      <c r="I275" s="20" t="str">
        <f t="array" ref="I275">IF(ISBLANK(C275),"",IF(C275=MAX(IF(FarmUnit[1. Identifiant interne d’exploitation agricole*]=A275,FarmUnit[3. Superficie de l’unité agricole (ha)*])),"!","-"))</f>
        <v>!</v>
      </c>
      <c r="J275" s="9" t="str">
        <f ca="1">IFERROR(CONCATENATE(VLOOKUP(A275,GM_Table,12,FALSE)," ",(VLOOKUP(A275,GM_Table,13,FALSE))),"")</f>
        <v/>
      </c>
    </row>
    <row r="276" spans="1:10" ht="15" x14ac:dyDescent="0.2">
      <c r="A276" s="150" t="s">
        <v>1514</v>
      </c>
      <c r="B276" s="150" t="s">
        <v>1514</v>
      </c>
      <c r="C276" s="264">
        <v>0.83</v>
      </c>
      <c r="D276" s="267">
        <v>6.9583000000000004</v>
      </c>
      <c r="E276" s="267">
        <v>-7.9535</v>
      </c>
      <c r="F276" s="122" t="b">
        <f>IF(ISBLANK(FarmUnit[[#This Row],[1. Identifiant interne d’exploitation agricole*]]),"",IF(ISERROR(MATCH(FarmUnit[[#This Row],[1. Identifiant interne d’exploitation agricole*]],GroupMember[1. Identifiant interne d’exploitation agricole*],0)),FALSE,TRUE))</f>
        <v>1</v>
      </c>
      <c r="G276" s="4">
        <f t="shared" si="9"/>
        <v>6.9583000000000004</v>
      </c>
      <c r="H276" s="4">
        <f t="shared" si="10"/>
        <v>-7.9535</v>
      </c>
      <c r="I276" s="20" t="str">
        <f t="array" ref="I276">IF(ISBLANK(C276),"",IF(C276=MAX(IF(FarmUnit[1. Identifiant interne d’exploitation agricole*]=A276,FarmUnit[3. Superficie de l’unité agricole (ha)*])),"!","-"))</f>
        <v>!</v>
      </c>
      <c r="J276" s="9" t="str">
        <f ca="1">IFERROR(CONCATENATE(VLOOKUP(A276,GM_Table,12,FALSE)," ",(VLOOKUP(A276,GM_Table,13,FALSE))),"")</f>
        <v/>
      </c>
    </row>
    <row r="277" spans="1:10" ht="15" x14ac:dyDescent="0.2">
      <c r="A277" s="150" t="s">
        <v>1516</v>
      </c>
      <c r="B277" s="150" t="s">
        <v>1516</v>
      </c>
      <c r="C277" s="264">
        <v>1.55</v>
      </c>
      <c r="D277" s="265">
        <v>6.9406999999999996</v>
      </c>
      <c r="E277" s="265">
        <v>-7.9429999999999996</v>
      </c>
      <c r="F277" s="122" t="b">
        <f>IF(ISBLANK(FarmUnit[[#This Row],[1. Identifiant interne d’exploitation agricole*]]),"",IF(ISERROR(MATCH(FarmUnit[[#This Row],[1. Identifiant interne d’exploitation agricole*]],GroupMember[1. Identifiant interne d’exploitation agricole*],0)),FALSE,TRUE))</f>
        <v>1</v>
      </c>
      <c r="G277" s="4">
        <f t="shared" si="9"/>
        <v>6.9406999999999996</v>
      </c>
      <c r="H277" s="4">
        <f t="shared" si="10"/>
        <v>-7.9429999999999996</v>
      </c>
      <c r="I277" s="20" t="str">
        <f t="array" ref="I277">IF(ISBLANK(C277),"",IF(C277=MAX(IF(FarmUnit[1. Identifiant interne d’exploitation agricole*]=A277,FarmUnit[3. Superficie de l’unité agricole (ha)*])),"!","-"))</f>
        <v>!</v>
      </c>
      <c r="J277" s="9" t="str">
        <f ca="1">IFERROR(CONCATENATE(VLOOKUP(A277,GM_Table,12,FALSE)," ",(VLOOKUP(A277,GM_Table,13,FALSE))),"")</f>
        <v/>
      </c>
    </row>
    <row r="278" spans="1:10" ht="15" x14ac:dyDescent="0.2">
      <c r="A278" s="150" t="s">
        <v>1519</v>
      </c>
      <c r="B278" s="150" t="s">
        <v>1519</v>
      </c>
      <c r="C278" s="264">
        <v>1.77</v>
      </c>
      <c r="D278" s="265">
        <v>6.9390999999999998</v>
      </c>
      <c r="E278" s="265">
        <v>-7.9439000000000002</v>
      </c>
      <c r="F278" s="122" t="b">
        <f>IF(ISBLANK(FarmUnit[[#This Row],[1. Identifiant interne d’exploitation agricole*]]),"",IF(ISERROR(MATCH(FarmUnit[[#This Row],[1. Identifiant interne d’exploitation agricole*]],GroupMember[1. Identifiant interne d’exploitation agricole*],0)),FALSE,TRUE))</f>
        <v>1</v>
      </c>
      <c r="G278" s="4">
        <f t="shared" si="9"/>
        <v>6.9390999999999998</v>
      </c>
      <c r="H278" s="4">
        <f t="shared" si="10"/>
        <v>-7.9439000000000002</v>
      </c>
      <c r="I278" s="20" t="str">
        <f t="array" ref="I278">IF(ISBLANK(C278),"",IF(C278=MAX(IF(FarmUnit[1. Identifiant interne d’exploitation agricole*]=A278,FarmUnit[3. Superficie de l’unité agricole (ha)*])),"!","-"))</f>
        <v>!</v>
      </c>
      <c r="J278" s="9" t="str">
        <f ca="1">IFERROR(CONCATENATE(VLOOKUP(A278,GM_Table,12,FALSE)," ",(VLOOKUP(A278,GM_Table,13,FALSE))),"")</f>
        <v/>
      </c>
    </row>
    <row r="279" spans="1:10" ht="15" x14ac:dyDescent="0.2">
      <c r="A279" s="150" t="s">
        <v>1523</v>
      </c>
      <c r="B279" s="150" t="s">
        <v>1523</v>
      </c>
      <c r="C279" s="264">
        <v>1.17</v>
      </c>
      <c r="D279" s="265">
        <v>7.1924999999999999</v>
      </c>
      <c r="E279" s="265">
        <v>-8.0680999999999994</v>
      </c>
      <c r="F279" s="122" t="b">
        <f>IF(ISBLANK(FarmUnit[[#This Row],[1. Identifiant interne d’exploitation agricole*]]),"",IF(ISERROR(MATCH(FarmUnit[[#This Row],[1. Identifiant interne d’exploitation agricole*]],GroupMember[1. Identifiant interne d’exploitation agricole*],0)),FALSE,TRUE))</f>
        <v>1</v>
      </c>
      <c r="G279" s="4">
        <f t="shared" si="9"/>
        <v>7.1924999999999999</v>
      </c>
      <c r="H279" s="4">
        <f t="shared" si="10"/>
        <v>-8.0680999999999994</v>
      </c>
      <c r="I279" s="20" t="str">
        <f t="array" ref="I279">IF(ISBLANK(C279),"",IF(C279=MAX(IF(FarmUnit[1. Identifiant interne d’exploitation agricole*]=A279,FarmUnit[3. Superficie de l’unité agricole (ha)*])),"!","-"))</f>
        <v>!</v>
      </c>
      <c r="J279" s="9" t="str">
        <f ca="1">IFERROR(CONCATENATE(VLOOKUP(A279,GM_Table,12,FALSE)," ",(VLOOKUP(A279,GM_Table,13,FALSE))),"")</f>
        <v/>
      </c>
    </row>
    <row r="280" spans="1:10" ht="15" x14ac:dyDescent="0.2">
      <c r="A280" s="150" t="s">
        <v>1526</v>
      </c>
      <c r="B280" s="150" t="s">
        <v>1526</v>
      </c>
      <c r="C280" s="264">
        <v>1.51</v>
      </c>
      <c r="D280" s="265">
        <v>6.9710999999999999</v>
      </c>
      <c r="E280" s="265">
        <v>-8.1380999999999997</v>
      </c>
      <c r="F280" s="122" t="b">
        <f>IF(ISBLANK(FarmUnit[[#This Row],[1. Identifiant interne d’exploitation agricole*]]),"",IF(ISERROR(MATCH(FarmUnit[[#This Row],[1. Identifiant interne d’exploitation agricole*]],GroupMember[1. Identifiant interne d’exploitation agricole*],0)),FALSE,TRUE))</f>
        <v>1</v>
      </c>
      <c r="G280" s="4">
        <f t="shared" si="9"/>
        <v>6.9710999999999999</v>
      </c>
      <c r="H280" s="4">
        <f t="shared" si="10"/>
        <v>-8.1380999999999997</v>
      </c>
      <c r="I280" s="20" t="str">
        <f t="array" ref="I280">IF(ISBLANK(C280),"",IF(C280=MAX(IF(FarmUnit[1. Identifiant interne d’exploitation agricole*]=A280,FarmUnit[3. Superficie de l’unité agricole (ha)*])),"!","-"))</f>
        <v>!</v>
      </c>
      <c r="J280" s="9" t="str">
        <f ca="1">IFERROR(CONCATENATE(VLOOKUP(A280,GM_Table,12,FALSE)," ",(VLOOKUP(A280,GM_Table,13,FALSE))),"")</f>
        <v/>
      </c>
    </row>
    <row r="281" spans="1:10" ht="15" x14ac:dyDescent="0.2">
      <c r="A281" s="150" t="s">
        <v>1531</v>
      </c>
      <c r="B281" s="150" t="s">
        <v>1531</v>
      </c>
      <c r="C281" s="264">
        <v>1.41</v>
      </c>
      <c r="D281" s="265">
        <v>7.0197000000000003</v>
      </c>
      <c r="E281" s="265">
        <v>-8.2088999999999999</v>
      </c>
      <c r="F281" s="122" t="b">
        <f>IF(ISBLANK(FarmUnit[[#This Row],[1. Identifiant interne d’exploitation agricole*]]),"",IF(ISERROR(MATCH(FarmUnit[[#This Row],[1. Identifiant interne d’exploitation agricole*]],GroupMember[1. Identifiant interne d’exploitation agricole*],0)),FALSE,TRUE))</f>
        <v>1</v>
      </c>
      <c r="G281" s="4">
        <f t="shared" si="9"/>
        <v>7.0197000000000003</v>
      </c>
      <c r="H281" s="4">
        <f t="shared" si="10"/>
        <v>-8.2088999999999999</v>
      </c>
      <c r="I281" s="20" t="str">
        <f t="array" ref="I281">IF(ISBLANK(C281),"",IF(C281=MAX(IF(FarmUnit[1. Identifiant interne d’exploitation agricole*]=A281,FarmUnit[3. Superficie de l’unité agricole (ha)*])),"!","-"))</f>
        <v>!</v>
      </c>
      <c r="J281" s="9" t="str">
        <f ca="1">IFERROR(CONCATENATE(VLOOKUP(A281,GM_Table,12,FALSE)," ",(VLOOKUP(A281,GM_Table,13,FALSE))),"")</f>
        <v/>
      </c>
    </row>
    <row r="282" spans="1:10" ht="15" x14ac:dyDescent="0.2">
      <c r="A282" s="150" t="s">
        <v>1534</v>
      </c>
      <c r="B282" s="150" t="s">
        <v>1534</v>
      </c>
      <c r="C282" s="264">
        <v>1.26</v>
      </c>
      <c r="D282" s="265">
        <v>6.9797000000000002</v>
      </c>
      <c r="E282" s="265">
        <v>-8.1456</v>
      </c>
      <c r="F282" s="122" t="b">
        <f>IF(ISBLANK(FarmUnit[[#This Row],[1. Identifiant interne d’exploitation agricole*]]),"",IF(ISERROR(MATCH(FarmUnit[[#This Row],[1. Identifiant interne d’exploitation agricole*]],GroupMember[1. Identifiant interne d’exploitation agricole*],0)),FALSE,TRUE))</f>
        <v>1</v>
      </c>
      <c r="G282" s="4">
        <f t="shared" si="9"/>
        <v>6.9797000000000002</v>
      </c>
      <c r="H282" s="4">
        <f t="shared" si="10"/>
        <v>-8.1456</v>
      </c>
      <c r="I282" s="20" t="str">
        <f t="array" ref="I282">IF(ISBLANK(C282),"",IF(C282=MAX(IF(FarmUnit[1. Identifiant interne d’exploitation agricole*]=A282,FarmUnit[3. Superficie de l’unité agricole (ha)*])),"!","-"))</f>
        <v>!</v>
      </c>
      <c r="J282" s="9" t="str">
        <f ca="1">IFERROR(CONCATENATE(VLOOKUP(A282,GM_Table,12,FALSE)," ",(VLOOKUP(A282,GM_Table,13,FALSE))),"")</f>
        <v/>
      </c>
    </row>
    <row r="283" spans="1:10" ht="15" x14ac:dyDescent="0.2">
      <c r="A283" s="150" t="s">
        <v>1538</v>
      </c>
      <c r="B283" s="150" t="s">
        <v>1538</v>
      </c>
      <c r="C283" s="264">
        <v>1.21</v>
      </c>
      <c r="D283" s="265">
        <v>7.0647000000000002</v>
      </c>
      <c r="E283" s="265">
        <v>-7.9672000000000001</v>
      </c>
      <c r="F283" s="122" t="b">
        <f>IF(ISBLANK(FarmUnit[[#This Row],[1. Identifiant interne d’exploitation agricole*]]),"",IF(ISERROR(MATCH(FarmUnit[[#This Row],[1. Identifiant interne d’exploitation agricole*]],GroupMember[1. Identifiant interne d’exploitation agricole*],0)),FALSE,TRUE))</f>
        <v>1</v>
      </c>
      <c r="G283" s="4">
        <f t="shared" si="9"/>
        <v>7.0647000000000002</v>
      </c>
      <c r="H283" s="4">
        <f t="shared" si="10"/>
        <v>-7.9672000000000001</v>
      </c>
      <c r="I283" s="20" t="str">
        <f t="array" ref="I283">IF(ISBLANK(C283),"",IF(C283=MAX(IF(FarmUnit[1. Identifiant interne d’exploitation agricole*]=A283,FarmUnit[3. Superficie de l’unité agricole (ha)*])),"!","-"))</f>
        <v>!</v>
      </c>
      <c r="J283" s="9" t="str">
        <f ca="1">IFERROR(CONCATENATE(VLOOKUP(A283,GM_Table,12,FALSE)," ",(VLOOKUP(A283,GM_Table,13,FALSE))),"")</f>
        <v/>
      </c>
    </row>
    <row r="284" spans="1:10" ht="15" x14ac:dyDescent="0.2">
      <c r="A284" s="150" t="s">
        <v>1541</v>
      </c>
      <c r="B284" s="150" t="s">
        <v>1541</v>
      </c>
      <c r="C284" s="264">
        <v>0.93</v>
      </c>
      <c r="D284" s="265">
        <v>7.1703000000000001</v>
      </c>
      <c r="E284" s="265">
        <v>-8.1296999999999997</v>
      </c>
      <c r="F284" s="122" t="b">
        <f>IF(ISBLANK(FarmUnit[[#This Row],[1. Identifiant interne d’exploitation agricole*]]),"",IF(ISERROR(MATCH(FarmUnit[[#This Row],[1. Identifiant interne d’exploitation agricole*]],GroupMember[1. Identifiant interne d’exploitation agricole*],0)),FALSE,TRUE))</f>
        <v>1</v>
      </c>
      <c r="G284" s="4">
        <f t="shared" si="9"/>
        <v>7.1703000000000001</v>
      </c>
      <c r="H284" s="4">
        <f t="shared" si="10"/>
        <v>-8.1296999999999997</v>
      </c>
      <c r="I284" s="20" t="str">
        <f t="array" ref="I284">IF(ISBLANK(C284),"",IF(C284=MAX(IF(FarmUnit[1. Identifiant interne d’exploitation agricole*]=A284,FarmUnit[3. Superficie de l’unité agricole (ha)*])),"!","-"))</f>
        <v>!</v>
      </c>
      <c r="J284" s="9" t="str">
        <f ca="1">IFERROR(CONCATENATE(VLOOKUP(A284,GM_Table,12,FALSE)," ",(VLOOKUP(A284,GM_Table,13,FALSE))),"")</f>
        <v/>
      </c>
    </row>
    <row r="285" spans="1:10" ht="15" x14ac:dyDescent="0.2">
      <c r="A285" s="150" t="s">
        <v>1546</v>
      </c>
      <c r="B285" s="150" t="s">
        <v>1546</v>
      </c>
      <c r="C285" s="264">
        <v>0.79</v>
      </c>
      <c r="D285" s="265">
        <v>7.2032999999999996</v>
      </c>
      <c r="E285" s="265">
        <v>-8.2005999999999997</v>
      </c>
      <c r="F285" s="122" t="b">
        <f>IF(ISBLANK(FarmUnit[[#This Row],[1. Identifiant interne d’exploitation agricole*]]),"",IF(ISERROR(MATCH(FarmUnit[[#This Row],[1. Identifiant interne d’exploitation agricole*]],GroupMember[1. Identifiant interne d’exploitation agricole*],0)),FALSE,TRUE))</f>
        <v>1</v>
      </c>
      <c r="G285" s="4">
        <f t="shared" si="9"/>
        <v>7.2032999999999996</v>
      </c>
      <c r="H285" s="4">
        <f t="shared" si="10"/>
        <v>-8.2005999999999997</v>
      </c>
      <c r="I285" s="20" t="str">
        <f t="array" ref="I285">IF(ISBLANK(C285),"",IF(C285=MAX(IF(FarmUnit[1. Identifiant interne d’exploitation agricole*]=A285,FarmUnit[3. Superficie de l’unité agricole (ha)*])),"!","-"))</f>
        <v>!</v>
      </c>
      <c r="J285" s="9" t="str">
        <f ca="1">IFERROR(CONCATENATE(VLOOKUP(A285,GM_Table,12,FALSE)," ",(VLOOKUP(A285,GM_Table,13,FALSE))),"")</f>
        <v/>
      </c>
    </row>
    <row r="286" spans="1:10" ht="15" x14ac:dyDescent="0.2">
      <c r="A286" s="150" t="s">
        <v>1550</v>
      </c>
      <c r="B286" s="150" t="s">
        <v>1550</v>
      </c>
      <c r="C286" s="264">
        <v>1.69</v>
      </c>
      <c r="D286" s="265">
        <v>7.0647000000000002</v>
      </c>
      <c r="E286" s="265">
        <v>-7.9842000000000004</v>
      </c>
      <c r="F286" s="122" t="b">
        <f>IF(ISBLANK(FarmUnit[[#This Row],[1. Identifiant interne d’exploitation agricole*]]),"",IF(ISERROR(MATCH(FarmUnit[[#This Row],[1. Identifiant interne d’exploitation agricole*]],GroupMember[1. Identifiant interne d’exploitation agricole*],0)),FALSE,TRUE))</f>
        <v>1</v>
      </c>
      <c r="G286" s="4">
        <f t="shared" si="9"/>
        <v>7.0647000000000002</v>
      </c>
      <c r="H286" s="4">
        <f t="shared" si="10"/>
        <v>-7.9842000000000004</v>
      </c>
      <c r="I286" s="20" t="str">
        <f t="array" ref="I286">IF(ISBLANK(C286),"",IF(C286=MAX(IF(FarmUnit[1. Identifiant interne d’exploitation agricole*]=A286,FarmUnit[3. Superficie de l’unité agricole (ha)*])),"!","-"))</f>
        <v>!</v>
      </c>
      <c r="J286" s="9" t="str">
        <f ca="1">IFERROR(CONCATENATE(VLOOKUP(A286,GM_Table,12,FALSE)," ",(VLOOKUP(A286,GM_Table,13,FALSE))),"")</f>
        <v/>
      </c>
    </row>
    <row r="287" spans="1:10" ht="15" x14ac:dyDescent="0.2">
      <c r="A287" s="150" t="s">
        <v>1553</v>
      </c>
      <c r="B287" s="150" t="s">
        <v>1553</v>
      </c>
      <c r="C287" s="264">
        <v>1.72</v>
      </c>
      <c r="D287" s="265">
        <v>7.1683000000000003</v>
      </c>
      <c r="E287" s="265">
        <v>-8.2208000000000006</v>
      </c>
      <c r="F287" s="122" t="b">
        <f>IF(ISBLANK(FarmUnit[[#This Row],[1. Identifiant interne d’exploitation agricole*]]),"",IF(ISERROR(MATCH(FarmUnit[[#This Row],[1. Identifiant interne d’exploitation agricole*]],GroupMember[1. Identifiant interne d’exploitation agricole*],0)),FALSE,TRUE))</f>
        <v>1</v>
      </c>
      <c r="G287" s="4">
        <f t="shared" si="9"/>
        <v>7.1683000000000003</v>
      </c>
      <c r="H287" s="4">
        <f t="shared" si="10"/>
        <v>-8.2208000000000006</v>
      </c>
      <c r="I287" s="20" t="str">
        <f t="array" ref="I287">IF(ISBLANK(C287),"",IF(C287=MAX(IF(FarmUnit[1. Identifiant interne d’exploitation agricole*]=A287,FarmUnit[3. Superficie de l’unité agricole (ha)*])),"!","-"))</f>
        <v>!</v>
      </c>
      <c r="J287" s="9" t="str">
        <f ca="1">IFERROR(CONCATENATE(VLOOKUP(A287,GM_Table,12,FALSE)," ",(VLOOKUP(A287,GM_Table,13,FALSE))),"")</f>
        <v/>
      </c>
    </row>
    <row r="288" spans="1:10" ht="15" x14ac:dyDescent="0.2">
      <c r="A288" s="150" t="s">
        <v>1555</v>
      </c>
      <c r="B288" s="150" t="s">
        <v>1555</v>
      </c>
      <c r="C288" s="264">
        <v>3</v>
      </c>
      <c r="D288" s="267">
        <v>6.9523000000000001</v>
      </c>
      <c r="E288" s="267">
        <v>-7.9448999999999996</v>
      </c>
      <c r="F288" s="122" t="b">
        <f>IF(ISBLANK(FarmUnit[[#This Row],[1. Identifiant interne d’exploitation agricole*]]),"",IF(ISERROR(MATCH(FarmUnit[[#This Row],[1. Identifiant interne d’exploitation agricole*]],GroupMember[1. Identifiant interne d’exploitation agricole*],0)),FALSE,TRUE))</f>
        <v>1</v>
      </c>
      <c r="G288" s="4">
        <f t="shared" si="9"/>
        <v>6.9523000000000001</v>
      </c>
      <c r="H288" s="4">
        <f t="shared" si="10"/>
        <v>-7.9448999999999996</v>
      </c>
      <c r="I288" s="20" t="str">
        <f t="array" ref="I288">IF(ISBLANK(C288),"",IF(C288=MAX(IF(FarmUnit[1. Identifiant interne d’exploitation agricole*]=A288,FarmUnit[3. Superficie de l’unité agricole (ha)*])),"!","-"))</f>
        <v>!</v>
      </c>
      <c r="J288" s="9" t="str">
        <f ca="1">IFERROR(CONCATENATE(VLOOKUP(A288,GM_Table,12,FALSE)," ",(VLOOKUP(A288,GM_Table,13,FALSE))),"")</f>
        <v/>
      </c>
    </row>
    <row r="289" spans="1:10" ht="15" x14ac:dyDescent="0.2">
      <c r="A289" s="150" t="s">
        <v>1558</v>
      </c>
      <c r="B289" s="150" t="s">
        <v>1558</v>
      </c>
      <c r="C289" s="264">
        <v>0.71</v>
      </c>
      <c r="D289" s="265">
        <v>7.1767000000000003</v>
      </c>
      <c r="E289" s="265">
        <v>-8.1689000000000007</v>
      </c>
      <c r="F289" s="122" t="b">
        <f>IF(ISBLANK(FarmUnit[[#This Row],[1. Identifiant interne d’exploitation agricole*]]),"",IF(ISERROR(MATCH(FarmUnit[[#This Row],[1. Identifiant interne d’exploitation agricole*]],GroupMember[1. Identifiant interne d’exploitation agricole*],0)),FALSE,TRUE))</f>
        <v>1</v>
      </c>
      <c r="G289" s="4">
        <f t="shared" si="9"/>
        <v>7.1767000000000003</v>
      </c>
      <c r="H289" s="4">
        <f t="shared" si="10"/>
        <v>-8.1689000000000007</v>
      </c>
      <c r="I289" s="20" t="str">
        <f t="array" ref="I289">IF(ISBLANK(C289),"",IF(C289=MAX(IF(FarmUnit[1. Identifiant interne d’exploitation agricole*]=A289,FarmUnit[3. Superficie de l’unité agricole (ha)*])),"!","-"))</f>
        <v>!</v>
      </c>
      <c r="J289" s="9" t="str">
        <f ca="1">IFERROR(CONCATENATE(VLOOKUP(A289,GM_Table,12,FALSE)," ",(VLOOKUP(A289,GM_Table,13,FALSE))),"")</f>
        <v/>
      </c>
    </row>
    <row r="290" spans="1:10" ht="15" x14ac:dyDescent="0.2">
      <c r="A290" s="150" t="s">
        <v>1560</v>
      </c>
      <c r="B290" s="150" t="s">
        <v>1560</v>
      </c>
      <c r="C290" s="264">
        <v>2.66</v>
      </c>
      <c r="D290" s="265">
        <v>7.1447000000000003</v>
      </c>
      <c r="E290" s="265">
        <v>-8.0543999999999993</v>
      </c>
      <c r="F290" s="122" t="b">
        <f>IF(ISBLANK(FarmUnit[[#This Row],[1. Identifiant interne d’exploitation agricole*]]),"",IF(ISERROR(MATCH(FarmUnit[[#This Row],[1. Identifiant interne d’exploitation agricole*]],GroupMember[1. Identifiant interne d’exploitation agricole*],0)),FALSE,TRUE))</f>
        <v>1</v>
      </c>
      <c r="G290" s="4">
        <f t="shared" si="9"/>
        <v>7.1447000000000003</v>
      </c>
      <c r="H290" s="4">
        <f t="shared" si="10"/>
        <v>-8.0543999999999993</v>
      </c>
      <c r="I290" s="20" t="str">
        <f t="array" ref="I290">IF(ISBLANK(C290),"",IF(C290=MAX(IF(FarmUnit[1. Identifiant interne d’exploitation agricole*]=A290,FarmUnit[3. Superficie de l’unité agricole (ha)*])),"!","-"))</f>
        <v>!</v>
      </c>
      <c r="J290" s="9" t="str">
        <f ca="1">IFERROR(CONCATENATE(VLOOKUP(A290,GM_Table,12,FALSE)," ",(VLOOKUP(A290,GM_Table,13,FALSE))),"")</f>
        <v/>
      </c>
    </row>
    <row r="291" spans="1:10" ht="15" x14ac:dyDescent="0.2">
      <c r="A291" s="150" t="s">
        <v>1561</v>
      </c>
      <c r="B291" s="150" t="s">
        <v>1561</v>
      </c>
      <c r="C291" s="264">
        <v>1.61</v>
      </c>
      <c r="D291" s="265">
        <v>7.0641999999999996</v>
      </c>
      <c r="E291" s="265">
        <v>-7.9686000000000003</v>
      </c>
      <c r="F291" s="122" t="b">
        <f>IF(ISBLANK(FarmUnit[[#This Row],[1. Identifiant interne d’exploitation agricole*]]),"",IF(ISERROR(MATCH(FarmUnit[[#This Row],[1. Identifiant interne d’exploitation agricole*]],GroupMember[1. Identifiant interne d’exploitation agricole*],0)),FALSE,TRUE))</f>
        <v>1</v>
      </c>
      <c r="G291" s="4">
        <f t="shared" si="9"/>
        <v>7.0641999999999996</v>
      </c>
      <c r="H291" s="4">
        <f t="shared" si="10"/>
        <v>-7.9686000000000003</v>
      </c>
      <c r="I291" s="20" t="str">
        <f t="array" ref="I291">IF(ISBLANK(C291),"",IF(C291=MAX(IF(FarmUnit[1. Identifiant interne d’exploitation agricole*]=A291,FarmUnit[3. Superficie de l’unité agricole (ha)*])),"!","-"))</f>
        <v>!</v>
      </c>
      <c r="J291" s="9" t="str">
        <f ca="1">IFERROR(CONCATENATE(VLOOKUP(A291,GM_Table,12,FALSE)," ",(VLOOKUP(A291,GM_Table,13,FALSE))),"")</f>
        <v/>
      </c>
    </row>
    <row r="292" spans="1:10" ht="15" x14ac:dyDescent="0.2">
      <c r="A292" s="150" t="s">
        <v>1566</v>
      </c>
      <c r="B292" s="150" t="s">
        <v>1566</v>
      </c>
      <c r="C292" s="264">
        <v>4.3</v>
      </c>
      <c r="D292" s="265">
        <v>7.0152999999999999</v>
      </c>
      <c r="E292" s="265">
        <v>-8.0002999999999993</v>
      </c>
      <c r="F292" s="122" t="b">
        <f>IF(ISBLANK(FarmUnit[[#This Row],[1. Identifiant interne d’exploitation agricole*]]),"",IF(ISERROR(MATCH(FarmUnit[[#This Row],[1. Identifiant interne d’exploitation agricole*]],GroupMember[1. Identifiant interne d’exploitation agricole*],0)),FALSE,TRUE))</f>
        <v>1</v>
      </c>
      <c r="G292" s="4">
        <f t="shared" si="9"/>
        <v>7.0152999999999999</v>
      </c>
      <c r="H292" s="4">
        <f t="shared" si="10"/>
        <v>-8.0002999999999993</v>
      </c>
      <c r="I292" s="20" t="str">
        <f t="array" ref="I292">IF(ISBLANK(C292),"",IF(C292=MAX(IF(FarmUnit[1. Identifiant interne d’exploitation agricole*]=A292,FarmUnit[3. Superficie de l’unité agricole (ha)*])),"!","-"))</f>
        <v>!</v>
      </c>
      <c r="J292" s="9" t="str">
        <f ca="1">IFERROR(CONCATENATE(VLOOKUP(A292,GM_Table,12,FALSE)," ",(VLOOKUP(A292,GM_Table,13,FALSE))),"")</f>
        <v/>
      </c>
    </row>
    <row r="293" spans="1:10" ht="15" x14ac:dyDescent="0.2">
      <c r="A293" s="150" t="s">
        <v>1569</v>
      </c>
      <c r="B293" s="150" t="s">
        <v>1569</v>
      </c>
      <c r="C293" s="264">
        <v>1.67</v>
      </c>
      <c r="D293" s="265">
        <v>6.9869000000000003</v>
      </c>
      <c r="E293" s="265">
        <v>-8.1982999999999997</v>
      </c>
      <c r="F293" s="122" t="b">
        <f>IF(ISBLANK(FarmUnit[[#This Row],[1. Identifiant interne d’exploitation agricole*]]),"",IF(ISERROR(MATCH(FarmUnit[[#This Row],[1. Identifiant interne d’exploitation agricole*]],GroupMember[1. Identifiant interne d’exploitation agricole*],0)),FALSE,TRUE))</f>
        <v>1</v>
      </c>
      <c r="G293" s="4">
        <f t="shared" si="9"/>
        <v>6.9869000000000003</v>
      </c>
      <c r="H293" s="4">
        <f t="shared" si="10"/>
        <v>-8.1982999999999997</v>
      </c>
      <c r="I293" s="20" t="str">
        <f t="array" ref="I293">IF(ISBLANK(C293),"",IF(C293=MAX(IF(FarmUnit[1. Identifiant interne d’exploitation agricole*]=A293,FarmUnit[3. Superficie de l’unité agricole (ha)*])),"!","-"))</f>
        <v>!</v>
      </c>
      <c r="J293" s="9" t="str">
        <f ca="1">IFERROR(CONCATENATE(VLOOKUP(A293,GM_Table,12,FALSE)," ",(VLOOKUP(A293,GM_Table,13,FALSE))),"")</f>
        <v/>
      </c>
    </row>
    <row r="294" spans="1:10" ht="15" x14ac:dyDescent="0.2">
      <c r="A294" s="150" t="s">
        <v>1572</v>
      </c>
      <c r="B294" s="150" t="s">
        <v>1572</v>
      </c>
      <c r="C294" s="264">
        <v>3.42</v>
      </c>
      <c r="D294" s="265">
        <v>6.9581</v>
      </c>
      <c r="E294" s="265">
        <v>-8.0655999999999999</v>
      </c>
      <c r="F294" s="122" t="b">
        <f>IF(ISBLANK(FarmUnit[[#This Row],[1. Identifiant interne d’exploitation agricole*]]),"",IF(ISERROR(MATCH(FarmUnit[[#This Row],[1. Identifiant interne d’exploitation agricole*]],GroupMember[1. Identifiant interne d’exploitation agricole*],0)),FALSE,TRUE))</f>
        <v>1</v>
      </c>
      <c r="G294" s="4">
        <f t="shared" si="9"/>
        <v>6.9581</v>
      </c>
      <c r="H294" s="4">
        <f t="shared" si="10"/>
        <v>-8.0655999999999999</v>
      </c>
      <c r="I294" s="20" t="str">
        <f t="array" ref="I294">IF(ISBLANK(C294),"",IF(C294=MAX(IF(FarmUnit[1. Identifiant interne d’exploitation agricole*]=A294,FarmUnit[3. Superficie de l’unité agricole (ha)*])),"!","-"))</f>
        <v>!</v>
      </c>
      <c r="J294" s="9" t="str">
        <f ca="1">IFERROR(CONCATENATE(VLOOKUP(A294,GM_Table,12,FALSE)," ",(VLOOKUP(A294,GM_Table,13,FALSE))),"")</f>
        <v/>
      </c>
    </row>
    <row r="295" spans="1:10" ht="15" x14ac:dyDescent="0.2">
      <c r="A295" s="150" t="s">
        <v>1575</v>
      </c>
      <c r="B295" s="150" t="s">
        <v>1575</v>
      </c>
      <c r="C295" s="264">
        <v>6.51</v>
      </c>
      <c r="D295" s="265">
        <v>6.9577999999999998</v>
      </c>
      <c r="E295" s="265">
        <v>-8.0399999999999991</v>
      </c>
      <c r="F295" s="122" t="b">
        <f>IF(ISBLANK(FarmUnit[[#This Row],[1. Identifiant interne d’exploitation agricole*]]),"",IF(ISERROR(MATCH(FarmUnit[[#This Row],[1. Identifiant interne d’exploitation agricole*]],GroupMember[1. Identifiant interne d’exploitation agricole*],0)),FALSE,TRUE))</f>
        <v>1</v>
      </c>
      <c r="G295" s="4">
        <f t="shared" si="9"/>
        <v>6.9577999999999998</v>
      </c>
      <c r="H295" s="4">
        <f t="shared" si="10"/>
        <v>-8.0399999999999991</v>
      </c>
      <c r="I295" s="20" t="str">
        <f t="array" ref="I295">IF(ISBLANK(C295),"",IF(C295=MAX(IF(FarmUnit[1. Identifiant interne d’exploitation agricole*]=A295,FarmUnit[3. Superficie de l’unité agricole (ha)*])),"!","-"))</f>
        <v>!</v>
      </c>
      <c r="J295" s="9" t="str">
        <f ca="1">IFERROR(CONCATENATE(VLOOKUP(A295,GM_Table,12,FALSE)," ",(VLOOKUP(A295,GM_Table,13,FALSE))),"")</f>
        <v/>
      </c>
    </row>
    <row r="296" spans="1:10" ht="15" x14ac:dyDescent="0.2">
      <c r="A296" s="150" t="s">
        <v>1576</v>
      </c>
      <c r="B296" s="150" t="s">
        <v>1576</v>
      </c>
      <c r="C296" s="264">
        <v>2.81</v>
      </c>
      <c r="D296" s="265">
        <v>7.1205999999999996</v>
      </c>
      <c r="E296" s="265">
        <v>-7.9924999999999997</v>
      </c>
      <c r="F296" s="122" t="b">
        <f>IF(ISBLANK(FarmUnit[[#This Row],[1. Identifiant interne d’exploitation agricole*]]),"",IF(ISERROR(MATCH(FarmUnit[[#This Row],[1. Identifiant interne d’exploitation agricole*]],GroupMember[1. Identifiant interne d’exploitation agricole*],0)),FALSE,TRUE))</f>
        <v>1</v>
      </c>
      <c r="G296" s="4">
        <f t="shared" si="9"/>
        <v>7.1205999999999996</v>
      </c>
      <c r="H296" s="4">
        <f t="shared" si="10"/>
        <v>-7.9924999999999997</v>
      </c>
      <c r="I296" s="20" t="str">
        <f t="array" ref="I296">IF(ISBLANK(C296),"",IF(C296=MAX(IF(FarmUnit[1. Identifiant interne d’exploitation agricole*]=A296,FarmUnit[3. Superficie de l’unité agricole (ha)*])),"!","-"))</f>
        <v>!</v>
      </c>
      <c r="J296" s="9" t="str">
        <f ca="1">IFERROR(CONCATENATE(VLOOKUP(A296,GM_Table,12,FALSE)," ",(VLOOKUP(A296,GM_Table,13,FALSE))),"")</f>
        <v/>
      </c>
    </row>
    <row r="297" spans="1:10" ht="15" x14ac:dyDescent="0.2">
      <c r="A297" s="150" t="s">
        <v>1579</v>
      </c>
      <c r="B297" s="150" t="s">
        <v>1579</v>
      </c>
      <c r="C297" s="264">
        <v>1.92</v>
      </c>
      <c r="D297" s="265">
        <v>6.9916999999999998</v>
      </c>
      <c r="E297" s="265">
        <v>-8.1394000000000002</v>
      </c>
      <c r="F297" s="122" t="b">
        <f>IF(ISBLANK(FarmUnit[[#This Row],[1. Identifiant interne d’exploitation agricole*]]),"",IF(ISERROR(MATCH(FarmUnit[[#This Row],[1. Identifiant interne d’exploitation agricole*]],GroupMember[1. Identifiant interne d’exploitation agricole*],0)),FALSE,TRUE))</f>
        <v>1</v>
      </c>
      <c r="G297" s="4">
        <f t="shared" si="9"/>
        <v>6.9916999999999998</v>
      </c>
      <c r="H297" s="4">
        <f t="shared" si="10"/>
        <v>-8.1394000000000002</v>
      </c>
      <c r="I297" s="20" t="str">
        <f t="array" ref="I297">IF(ISBLANK(C297),"",IF(C297=MAX(IF(FarmUnit[1. Identifiant interne d’exploitation agricole*]=A297,FarmUnit[3. Superficie de l’unité agricole (ha)*])),"!","-"))</f>
        <v>!</v>
      </c>
      <c r="J297" s="9" t="str">
        <f ca="1">IFERROR(CONCATENATE(VLOOKUP(A297,GM_Table,12,FALSE)," ",(VLOOKUP(A297,GM_Table,13,FALSE))),"")</f>
        <v/>
      </c>
    </row>
    <row r="298" spans="1:10" ht="15" x14ac:dyDescent="0.2">
      <c r="A298" s="150" t="s">
        <v>1583</v>
      </c>
      <c r="B298" s="150" t="s">
        <v>1583</v>
      </c>
      <c r="C298" s="264">
        <v>0.66</v>
      </c>
      <c r="D298" s="265">
        <v>7.0025000000000004</v>
      </c>
      <c r="E298" s="265">
        <v>-8.1318999999999999</v>
      </c>
      <c r="F298" s="122" t="b">
        <f>IF(ISBLANK(FarmUnit[[#This Row],[1. Identifiant interne d’exploitation agricole*]]),"",IF(ISERROR(MATCH(FarmUnit[[#This Row],[1. Identifiant interne d’exploitation agricole*]],GroupMember[1. Identifiant interne d’exploitation agricole*],0)),FALSE,TRUE))</f>
        <v>1</v>
      </c>
      <c r="G298" s="4">
        <f t="shared" si="9"/>
        <v>7.0025000000000004</v>
      </c>
      <c r="H298" s="4">
        <f t="shared" si="10"/>
        <v>-8.1318999999999999</v>
      </c>
      <c r="I298" s="20" t="str">
        <f t="array" ref="I298">IF(ISBLANK(C298),"",IF(C298=MAX(IF(FarmUnit[1. Identifiant interne d’exploitation agricole*]=A298,FarmUnit[3. Superficie de l’unité agricole (ha)*])),"!","-"))</f>
        <v>!</v>
      </c>
      <c r="J298" s="9" t="str">
        <f ca="1">IFERROR(CONCATENATE(VLOOKUP(A298,GM_Table,12,FALSE)," ",(VLOOKUP(A298,GM_Table,13,FALSE))),"")</f>
        <v/>
      </c>
    </row>
    <row r="299" spans="1:10" ht="15" x14ac:dyDescent="0.2">
      <c r="A299" s="150" t="s">
        <v>1586</v>
      </c>
      <c r="B299" s="150" t="s">
        <v>1586</v>
      </c>
      <c r="C299" s="264">
        <v>1.32</v>
      </c>
      <c r="D299" s="265">
        <v>6.9847000000000001</v>
      </c>
      <c r="E299" s="265">
        <v>-8.1380999999999997</v>
      </c>
      <c r="F299" s="122" t="b">
        <f>IF(ISBLANK(FarmUnit[[#This Row],[1. Identifiant interne d’exploitation agricole*]]),"",IF(ISERROR(MATCH(FarmUnit[[#This Row],[1. Identifiant interne d’exploitation agricole*]],GroupMember[1. Identifiant interne d’exploitation agricole*],0)),FALSE,TRUE))</f>
        <v>1</v>
      </c>
      <c r="G299" s="4">
        <f t="shared" si="9"/>
        <v>6.9847000000000001</v>
      </c>
      <c r="H299" s="4">
        <f t="shared" si="10"/>
        <v>-8.1380999999999997</v>
      </c>
      <c r="I299" s="20" t="str">
        <f t="array" ref="I299">IF(ISBLANK(C299),"",IF(C299=MAX(IF(FarmUnit[1. Identifiant interne d’exploitation agricole*]=A299,FarmUnit[3. Superficie de l’unité agricole (ha)*])),"!","-"))</f>
        <v>!</v>
      </c>
      <c r="J299" s="9" t="str">
        <f ca="1">IFERROR(CONCATENATE(VLOOKUP(A299,GM_Table,12,FALSE)," ",(VLOOKUP(A299,GM_Table,13,FALSE))),"")</f>
        <v/>
      </c>
    </row>
    <row r="300" spans="1:10" ht="15" x14ac:dyDescent="0.2">
      <c r="A300" s="150" t="s">
        <v>1590</v>
      </c>
      <c r="B300" s="150" t="s">
        <v>1590</v>
      </c>
      <c r="C300" s="264">
        <v>1.28</v>
      </c>
      <c r="D300" s="265">
        <v>6.9763999999999999</v>
      </c>
      <c r="E300" s="265">
        <v>-8.125</v>
      </c>
      <c r="F300" s="122" t="b">
        <f>IF(ISBLANK(FarmUnit[[#This Row],[1. Identifiant interne d’exploitation agricole*]]),"",IF(ISERROR(MATCH(FarmUnit[[#This Row],[1. Identifiant interne d’exploitation agricole*]],GroupMember[1. Identifiant interne d’exploitation agricole*],0)),FALSE,TRUE))</f>
        <v>1</v>
      </c>
      <c r="G300" s="4">
        <f t="shared" si="9"/>
        <v>6.9763999999999999</v>
      </c>
      <c r="H300" s="4">
        <f t="shared" si="10"/>
        <v>-8.125</v>
      </c>
      <c r="I300" s="20" t="str">
        <f t="array" ref="I300">IF(ISBLANK(C300),"",IF(C300=MAX(IF(FarmUnit[1. Identifiant interne d’exploitation agricole*]=A300,FarmUnit[3. Superficie de l’unité agricole (ha)*])),"!","-"))</f>
        <v>!</v>
      </c>
      <c r="J300" s="9" t="str">
        <f ca="1">IFERROR(CONCATENATE(VLOOKUP(A300,GM_Table,12,FALSE)," ",(VLOOKUP(A300,GM_Table,13,FALSE))),"")</f>
        <v/>
      </c>
    </row>
    <row r="301" spans="1:10" ht="15" x14ac:dyDescent="0.2">
      <c r="A301" s="150" t="s">
        <v>1592</v>
      </c>
      <c r="B301" s="150" t="s">
        <v>1592</v>
      </c>
      <c r="C301" s="264">
        <v>1.02</v>
      </c>
      <c r="D301" s="265">
        <v>7.1108000000000002</v>
      </c>
      <c r="E301" s="265">
        <v>-7.9885999999999999</v>
      </c>
      <c r="F301" s="122" t="b">
        <f>IF(ISBLANK(FarmUnit[[#This Row],[1. Identifiant interne d’exploitation agricole*]]),"",IF(ISERROR(MATCH(FarmUnit[[#This Row],[1. Identifiant interne d’exploitation agricole*]],GroupMember[1. Identifiant interne d’exploitation agricole*],0)),FALSE,TRUE))</f>
        <v>1</v>
      </c>
      <c r="G301" s="4">
        <f t="shared" si="9"/>
        <v>7.1108000000000002</v>
      </c>
      <c r="H301" s="4">
        <f t="shared" si="10"/>
        <v>-7.9885999999999999</v>
      </c>
      <c r="I301" s="20" t="str">
        <f t="array" ref="I301">IF(ISBLANK(C301),"",IF(C301=MAX(IF(FarmUnit[1. Identifiant interne d’exploitation agricole*]=A301,FarmUnit[3. Superficie de l’unité agricole (ha)*])),"!","-"))</f>
        <v>!</v>
      </c>
      <c r="J301" s="9" t="str">
        <f ca="1">IFERROR(CONCATENATE(VLOOKUP(A301,GM_Table,12,FALSE)," ",(VLOOKUP(A301,GM_Table,13,FALSE))),"")</f>
        <v/>
      </c>
    </row>
    <row r="302" spans="1:10" ht="15" x14ac:dyDescent="0.2">
      <c r="A302" s="150" t="s">
        <v>1596</v>
      </c>
      <c r="B302" s="150" t="s">
        <v>1596</v>
      </c>
      <c r="C302" s="264">
        <v>1.47</v>
      </c>
      <c r="D302" s="265">
        <v>6.9596999999999998</v>
      </c>
      <c r="E302" s="265">
        <v>-7.9516999999999998</v>
      </c>
      <c r="F302" s="122" t="b">
        <f>IF(ISBLANK(FarmUnit[[#This Row],[1. Identifiant interne d’exploitation agricole*]]),"",IF(ISERROR(MATCH(FarmUnit[[#This Row],[1. Identifiant interne d’exploitation agricole*]],GroupMember[1. Identifiant interne d’exploitation agricole*],0)),FALSE,TRUE))</f>
        <v>1</v>
      </c>
      <c r="G302" s="4">
        <f t="shared" si="9"/>
        <v>6.9596999999999998</v>
      </c>
      <c r="H302" s="4">
        <f t="shared" si="10"/>
        <v>-7.9516999999999998</v>
      </c>
      <c r="I302" s="20" t="str">
        <f t="array" ref="I302">IF(ISBLANK(C302),"",IF(C302=MAX(IF(FarmUnit[1. Identifiant interne d’exploitation agricole*]=A302,FarmUnit[3. Superficie de l’unité agricole (ha)*])),"!","-"))</f>
        <v>!</v>
      </c>
      <c r="J302" s="9" t="str">
        <f ca="1">IFERROR(CONCATENATE(VLOOKUP(A302,GM_Table,12,FALSE)," ",(VLOOKUP(A302,GM_Table,13,FALSE))),"")</f>
        <v/>
      </c>
    </row>
    <row r="303" spans="1:10" ht="15" x14ac:dyDescent="0.2">
      <c r="A303" s="150" t="s">
        <v>1600</v>
      </c>
      <c r="B303" s="150" t="s">
        <v>1600</v>
      </c>
      <c r="C303" s="264">
        <v>1.45</v>
      </c>
      <c r="D303" s="265">
        <v>6.9696999999999996</v>
      </c>
      <c r="E303" s="265">
        <v>-8.2243999999999993</v>
      </c>
      <c r="F303" s="122" t="b">
        <f>IF(ISBLANK(FarmUnit[[#This Row],[1. Identifiant interne d’exploitation agricole*]]),"",IF(ISERROR(MATCH(FarmUnit[[#This Row],[1. Identifiant interne d’exploitation agricole*]],GroupMember[1. Identifiant interne d’exploitation agricole*],0)),FALSE,TRUE))</f>
        <v>1</v>
      </c>
      <c r="G303" s="4">
        <f t="shared" si="9"/>
        <v>6.9696999999999996</v>
      </c>
      <c r="H303" s="4">
        <f t="shared" si="10"/>
        <v>-8.2243999999999993</v>
      </c>
      <c r="I303" s="20" t="str">
        <f t="array" ref="I303">IF(ISBLANK(C303),"",IF(C303=MAX(IF(FarmUnit[1. Identifiant interne d’exploitation agricole*]=A303,FarmUnit[3. Superficie de l’unité agricole (ha)*])),"!","-"))</f>
        <v>!</v>
      </c>
      <c r="J303" s="9" t="str">
        <f ca="1">IFERROR(CONCATENATE(VLOOKUP(A303,GM_Table,12,FALSE)," ",(VLOOKUP(A303,GM_Table,13,FALSE))),"")</f>
        <v/>
      </c>
    </row>
    <row r="304" spans="1:10" ht="15" x14ac:dyDescent="0.2">
      <c r="A304" s="150" t="s">
        <v>1604</v>
      </c>
      <c r="B304" s="150" t="s">
        <v>1604</v>
      </c>
      <c r="C304" s="264">
        <v>0.94</v>
      </c>
      <c r="D304" s="265">
        <v>6.9565000000000001</v>
      </c>
      <c r="E304" s="265">
        <v>-7.9549000000000003</v>
      </c>
      <c r="F304" s="122" t="b">
        <f>IF(ISBLANK(FarmUnit[[#This Row],[1. Identifiant interne d’exploitation agricole*]]),"",IF(ISERROR(MATCH(FarmUnit[[#This Row],[1. Identifiant interne d’exploitation agricole*]],GroupMember[1. Identifiant interne d’exploitation agricole*],0)),FALSE,TRUE))</f>
        <v>1</v>
      </c>
      <c r="G304" s="4">
        <f t="shared" si="9"/>
        <v>6.9565000000000001</v>
      </c>
      <c r="H304" s="4">
        <f t="shared" si="10"/>
        <v>-7.9549000000000003</v>
      </c>
      <c r="I304" s="20" t="str">
        <f t="array" ref="I304">IF(ISBLANK(C304),"",IF(C304=MAX(IF(FarmUnit[1. Identifiant interne d’exploitation agricole*]=A304,FarmUnit[3. Superficie de l’unité agricole (ha)*])),"!","-"))</f>
        <v>!</v>
      </c>
      <c r="J304" s="9" t="str">
        <f ca="1">IFERROR(CONCATENATE(VLOOKUP(A304,GM_Table,12,FALSE)," ",(VLOOKUP(A304,GM_Table,13,FALSE))),"")</f>
        <v/>
      </c>
    </row>
    <row r="305" spans="1:10" ht="15" x14ac:dyDescent="0.2">
      <c r="A305" s="150" t="s">
        <v>1608</v>
      </c>
      <c r="B305" s="150" t="s">
        <v>1608</v>
      </c>
      <c r="C305" s="264">
        <v>1.71</v>
      </c>
      <c r="D305" s="265">
        <v>7.0758000000000001</v>
      </c>
      <c r="E305" s="265">
        <v>-8.0867000000000004</v>
      </c>
      <c r="F305" s="122" t="b">
        <f>IF(ISBLANK(FarmUnit[[#This Row],[1. Identifiant interne d’exploitation agricole*]]),"",IF(ISERROR(MATCH(FarmUnit[[#This Row],[1. Identifiant interne d’exploitation agricole*]],GroupMember[1. Identifiant interne d’exploitation agricole*],0)),FALSE,TRUE))</f>
        <v>1</v>
      </c>
      <c r="G305" s="4">
        <f t="shared" si="9"/>
        <v>7.0758000000000001</v>
      </c>
      <c r="H305" s="4">
        <f t="shared" si="10"/>
        <v>-8.0867000000000004</v>
      </c>
      <c r="I305" s="20" t="str">
        <f t="array" ref="I305">IF(ISBLANK(C305),"",IF(C305=MAX(IF(FarmUnit[1. Identifiant interne d’exploitation agricole*]=A305,FarmUnit[3. Superficie de l’unité agricole (ha)*])),"!","-"))</f>
        <v>!</v>
      </c>
      <c r="J305" s="9" t="str">
        <f ca="1">IFERROR(CONCATENATE(VLOOKUP(A305,GM_Table,12,FALSE)," ",(VLOOKUP(A305,GM_Table,13,FALSE))),"")</f>
        <v/>
      </c>
    </row>
    <row r="306" spans="1:10" ht="15" x14ac:dyDescent="0.2">
      <c r="A306" s="150" t="s">
        <v>1610</v>
      </c>
      <c r="B306" s="150" t="s">
        <v>1610</v>
      </c>
      <c r="C306" s="264">
        <v>0.92</v>
      </c>
      <c r="D306" s="265">
        <v>7.0636000000000001</v>
      </c>
      <c r="E306" s="265">
        <v>-8.0000999999999998</v>
      </c>
      <c r="F306" s="122" t="b">
        <f>IF(ISBLANK(FarmUnit[[#This Row],[1. Identifiant interne d’exploitation agricole*]]),"",IF(ISERROR(MATCH(FarmUnit[[#This Row],[1. Identifiant interne d’exploitation agricole*]],GroupMember[1. Identifiant interne d’exploitation agricole*],0)),FALSE,TRUE))</f>
        <v>1</v>
      </c>
      <c r="G306" s="4">
        <f t="shared" si="9"/>
        <v>7.0636000000000001</v>
      </c>
      <c r="H306" s="4">
        <f t="shared" si="10"/>
        <v>-8.0000999999999998</v>
      </c>
      <c r="I306" s="20" t="str">
        <f t="array" ref="I306">IF(ISBLANK(C306),"",IF(C306=MAX(IF(FarmUnit[1. Identifiant interne d’exploitation agricole*]=A306,FarmUnit[3. Superficie de l’unité agricole (ha)*])),"!","-"))</f>
        <v>!</v>
      </c>
      <c r="J306" s="9" t="str">
        <f ca="1">IFERROR(CONCATENATE(VLOOKUP(A306,GM_Table,12,FALSE)," ",(VLOOKUP(A306,GM_Table,13,FALSE))),"")</f>
        <v/>
      </c>
    </row>
    <row r="307" spans="1:10" ht="15" x14ac:dyDescent="0.2">
      <c r="A307" s="150" t="s">
        <v>1612</v>
      </c>
      <c r="B307" s="150" t="s">
        <v>1612</v>
      </c>
      <c r="C307" s="264">
        <v>1.63</v>
      </c>
      <c r="D307" s="265">
        <v>7.0080999999999998</v>
      </c>
      <c r="E307" s="265">
        <v>-7.9775</v>
      </c>
      <c r="F307" s="122" t="b">
        <f>IF(ISBLANK(FarmUnit[[#This Row],[1. Identifiant interne d’exploitation agricole*]]),"",IF(ISERROR(MATCH(FarmUnit[[#This Row],[1. Identifiant interne d’exploitation agricole*]],GroupMember[1. Identifiant interne d’exploitation agricole*],0)),FALSE,TRUE))</f>
        <v>1</v>
      </c>
      <c r="G307" s="4">
        <f t="shared" ref="G307:G370" si="11">IF(D307=0,"",D307)</f>
        <v>7.0080999999999998</v>
      </c>
      <c r="H307" s="4">
        <f t="shared" ref="H307:H370" si="12">IF(E307=0,"",E307)</f>
        <v>-7.9775</v>
      </c>
      <c r="I307" s="20" t="str">
        <f t="array" ref="I307">IF(ISBLANK(C307),"",IF(C307=MAX(IF(FarmUnit[1. Identifiant interne d’exploitation agricole*]=A307,FarmUnit[3. Superficie de l’unité agricole (ha)*])),"!","-"))</f>
        <v>!</v>
      </c>
      <c r="J307" s="9" t="str">
        <f ca="1">IFERROR(CONCATENATE(VLOOKUP(A307,GM_Table,12,FALSE)," ",(VLOOKUP(A307,GM_Table,13,FALSE))),"")</f>
        <v/>
      </c>
    </row>
    <row r="308" spans="1:10" ht="15" x14ac:dyDescent="0.2">
      <c r="A308" s="150" t="s">
        <v>1614</v>
      </c>
      <c r="B308" s="150" t="s">
        <v>1614</v>
      </c>
      <c r="C308" s="264">
        <v>1.47</v>
      </c>
      <c r="D308" s="265">
        <v>7.0198</v>
      </c>
      <c r="E308" s="265">
        <v>-8.0154999999999994</v>
      </c>
      <c r="F308" s="122" t="b">
        <f>IF(ISBLANK(FarmUnit[[#This Row],[1. Identifiant interne d’exploitation agricole*]]),"",IF(ISERROR(MATCH(FarmUnit[[#This Row],[1. Identifiant interne d’exploitation agricole*]],GroupMember[1. Identifiant interne d’exploitation agricole*],0)),FALSE,TRUE))</f>
        <v>1</v>
      </c>
      <c r="G308" s="4">
        <f t="shared" si="11"/>
        <v>7.0198</v>
      </c>
      <c r="H308" s="4">
        <f t="shared" si="12"/>
        <v>-8.0154999999999994</v>
      </c>
      <c r="I308" s="20" t="str">
        <f t="array" ref="I308">IF(ISBLANK(C308),"",IF(C308=MAX(IF(FarmUnit[1. Identifiant interne d’exploitation agricole*]=A308,FarmUnit[3. Superficie de l’unité agricole (ha)*])),"!","-"))</f>
        <v>!</v>
      </c>
      <c r="J308" s="9" t="str">
        <f ca="1">IFERROR(CONCATENATE(VLOOKUP(A308,GM_Table,12,FALSE)," ",(VLOOKUP(A308,GM_Table,13,FALSE))),"")</f>
        <v/>
      </c>
    </row>
    <row r="309" spans="1:10" ht="15" x14ac:dyDescent="0.2">
      <c r="A309" s="150" t="s">
        <v>1615</v>
      </c>
      <c r="B309" s="150" t="s">
        <v>1615</v>
      </c>
      <c r="C309" s="264">
        <v>1.98</v>
      </c>
      <c r="D309" s="265">
        <v>7.0414000000000003</v>
      </c>
      <c r="E309" s="265">
        <v>-8.1575000000000006</v>
      </c>
      <c r="F309" s="122" t="b">
        <f>IF(ISBLANK(FarmUnit[[#This Row],[1. Identifiant interne d’exploitation agricole*]]),"",IF(ISERROR(MATCH(FarmUnit[[#This Row],[1. Identifiant interne d’exploitation agricole*]],GroupMember[1. Identifiant interne d’exploitation agricole*],0)),FALSE,TRUE))</f>
        <v>1</v>
      </c>
      <c r="G309" s="4">
        <f t="shared" si="11"/>
        <v>7.0414000000000003</v>
      </c>
      <c r="H309" s="4">
        <f t="shared" si="12"/>
        <v>-8.1575000000000006</v>
      </c>
      <c r="I309" s="20" t="str">
        <f t="array" ref="I309">IF(ISBLANK(C309),"",IF(C309=MAX(IF(FarmUnit[1. Identifiant interne d’exploitation agricole*]=A309,FarmUnit[3. Superficie de l’unité agricole (ha)*])),"!","-"))</f>
        <v>!</v>
      </c>
      <c r="J309" s="9" t="str">
        <f ca="1">IFERROR(CONCATENATE(VLOOKUP(A309,GM_Table,12,FALSE)," ",(VLOOKUP(A309,GM_Table,13,FALSE))),"")</f>
        <v/>
      </c>
    </row>
    <row r="310" spans="1:10" ht="15" x14ac:dyDescent="0.2">
      <c r="A310" s="150" t="s">
        <v>1617</v>
      </c>
      <c r="B310" s="150" t="s">
        <v>1617</v>
      </c>
      <c r="C310" s="264">
        <v>3.22</v>
      </c>
      <c r="D310" s="265">
        <v>7.0175000000000001</v>
      </c>
      <c r="E310" s="265">
        <v>-8.1174999999999997</v>
      </c>
      <c r="F310" s="122" t="b">
        <f>IF(ISBLANK(FarmUnit[[#This Row],[1. Identifiant interne d’exploitation agricole*]]),"",IF(ISERROR(MATCH(FarmUnit[[#This Row],[1. Identifiant interne d’exploitation agricole*]],GroupMember[1. Identifiant interne d’exploitation agricole*],0)),FALSE,TRUE))</f>
        <v>1</v>
      </c>
      <c r="G310" s="4">
        <f t="shared" si="11"/>
        <v>7.0175000000000001</v>
      </c>
      <c r="H310" s="4">
        <f t="shared" si="12"/>
        <v>-8.1174999999999997</v>
      </c>
      <c r="I310" s="20" t="str">
        <f t="array" ref="I310">IF(ISBLANK(C310),"",IF(C310=MAX(IF(FarmUnit[1. Identifiant interne d’exploitation agricole*]=A310,FarmUnit[3. Superficie de l’unité agricole (ha)*])),"!","-"))</f>
        <v>!</v>
      </c>
      <c r="J310" s="9" t="str">
        <f ca="1">IFERROR(CONCATENATE(VLOOKUP(A310,GM_Table,12,FALSE)," ",(VLOOKUP(A310,GM_Table,13,FALSE))),"")</f>
        <v/>
      </c>
    </row>
    <row r="311" spans="1:10" ht="15" x14ac:dyDescent="0.2">
      <c r="A311" s="150" t="s">
        <v>1619</v>
      </c>
      <c r="B311" s="150" t="s">
        <v>1619</v>
      </c>
      <c r="C311" s="264">
        <v>5</v>
      </c>
      <c r="D311" s="265">
        <v>6.9593999999999996</v>
      </c>
      <c r="E311" s="265">
        <v>-7.9534000000000002</v>
      </c>
      <c r="F311" s="122" t="b">
        <f>IF(ISBLANK(FarmUnit[[#This Row],[1. Identifiant interne d’exploitation agricole*]]),"",IF(ISERROR(MATCH(FarmUnit[[#This Row],[1. Identifiant interne d’exploitation agricole*]],GroupMember[1. Identifiant interne d’exploitation agricole*],0)),FALSE,TRUE))</f>
        <v>1</v>
      </c>
      <c r="G311" s="4">
        <f t="shared" si="11"/>
        <v>6.9593999999999996</v>
      </c>
      <c r="H311" s="4">
        <f t="shared" si="12"/>
        <v>-7.9534000000000002</v>
      </c>
      <c r="I311" s="20" t="str">
        <f t="array" ref="I311">IF(ISBLANK(C311),"",IF(C311=MAX(IF(FarmUnit[1. Identifiant interne d’exploitation agricole*]=A311,FarmUnit[3. Superficie de l’unité agricole (ha)*])),"!","-"))</f>
        <v>!</v>
      </c>
      <c r="J311" s="9" t="str">
        <f ca="1">IFERROR(CONCATENATE(VLOOKUP(A311,GM_Table,12,FALSE)," ",(VLOOKUP(A311,GM_Table,13,FALSE))),"")</f>
        <v/>
      </c>
    </row>
    <row r="312" spans="1:10" ht="15" x14ac:dyDescent="0.2">
      <c r="A312" s="150" t="s">
        <v>1623</v>
      </c>
      <c r="B312" s="150" t="s">
        <v>1623</v>
      </c>
      <c r="C312" s="264">
        <v>1.42</v>
      </c>
      <c r="D312" s="265">
        <v>6.9577</v>
      </c>
      <c r="E312" s="265">
        <v>-7.9570999999999996</v>
      </c>
      <c r="F312" s="122" t="b">
        <f>IF(ISBLANK(FarmUnit[[#This Row],[1. Identifiant interne d’exploitation agricole*]]),"",IF(ISERROR(MATCH(FarmUnit[[#This Row],[1. Identifiant interne d’exploitation agricole*]],GroupMember[1. Identifiant interne d’exploitation agricole*],0)),FALSE,TRUE))</f>
        <v>1</v>
      </c>
      <c r="G312" s="4">
        <f t="shared" si="11"/>
        <v>6.9577</v>
      </c>
      <c r="H312" s="4">
        <f t="shared" si="12"/>
        <v>-7.9570999999999996</v>
      </c>
      <c r="I312" s="20" t="str">
        <f t="array" ref="I312">IF(ISBLANK(C312),"",IF(C312=MAX(IF(FarmUnit[1. Identifiant interne d’exploitation agricole*]=A312,FarmUnit[3. Superficie de l’unité agricole (ha)*])),"!","-"))</f>
        <v>!</v>
      </c>
      <c r="J312" s="9" t="str">
        <f ca="1">IFERROR(CONCATENATE(VLOOKUP(A312,GM_Table,12,FALSE)," ",(VLOOKUP(A312,GM_Table,13,FALSE))),"")</f>
        <v/>
      </c>
    </row>
    <row r="313" spans="1:10" ht="15" x14ac:dyDescent="0.2">
      <c r="A313" s="150" t="s">
        <v>1625</v>
      </c>
      <c r="B313" s="150" t="s">
        <v>1625</v>
      </c>
      <c r="C313" s="264">
        <v>2</v>
      </c>
      <c r="D313" s="265">
        <v>6.9577999999999998</v>
      </c>
      <c r="E313" s="265">
        <v>-7.9558999999999997</v>
      </c>
      <c r="F313" s="122" t="b">
        <f>IF(ISBLANK(FarmUnit[[#This Row],[1. Identifiant interne d’exploitation agricole*]]),"",IF(ISERROR(MATCH(FarmUnit[[#This Row],[1. Identifiant interne d’exploitation agricole*]],GroupMember[1. Identifiant interne d’exploitation agricole*],0)),FALSE,TRUE))</f>
        <v>1</v>
      </c>
      <c r="G313" s="4">
        <f t="shared" si="11"/>
        <v>6.9577999999999998</v>
      </c>
      <c r="H313" s="4">
        <f t="shared" si="12"/>
        <v>-7.9558999999999997</v>
      </c>
      <c r="I313" s="20" t="str">
        <f t="array" ref="I313">IF(ISBLANK(C313),"",IF(C313=MAX(IF(FarmUnit[1. Identifiant interne d’exploitation agricole*]=A313,FarmUnit[3. Superficie de l’unité agricole (ha)*])),"!","-"))</f>
        <v>!</v>
      </c>
      <c r="J313" s="9" t="str">
        <f ca="1">IFERROR(CONCATENATE(VLOOKUP(A313,GM_Table,12,FALSE)," ",(VLOOKUP(A313,GM_Table,13,FALSE))),"")</f>
        <v/>
      </c>
    </row>
    <row r="314" spans="1:10" ht="15" x14ac:dyDescent="0.2">
      <c r="A314" s="150" t="s">
        <v>1628</v>
      </c>
      <c r="B314" s="150" t="s">
        <v>1628</v>
      </c>
      <c r="C314" s="264">
        <v>2.12</v>
      </c>
      <c r="D314" s="265">
        <v>7.1216999999999997</v>
      </c>
      <c r="E314" s="265">
        <v>-8.0449999999999999</v>
      </c>
      <c r="F314" s="122" t="b">
        <f>IF(ISBLANK(FarmUnit[[#This Row],[1. Identifiant interne d’exploitation agricole*]]),"",IF(ISERROR(MATCH(FarmUnit[[#This Row],[1. Identifiant interne d’exploitation agricole*]],GroupMember[1. Identifiant interne d’exploitation agricole*],0)),FALSE,TRUE))</f>
        <v>1</v>
      </c>
      <c r="G314" s="4">
        <f t="shared" si="11"/>
        <v>7.1216999999999997</v>
      </c>
      <c r="H314" s="4">
        <f t="shared" si="12"/>
        <v>-8.0449999999999999</v>
      </c>
      <c r="I314" s="20" t="str">
        <f t="array" ref="I314">IF(ISBLANK(C314),"",IF(C314=MAX(IF(FarmUnit[1. Identifiant interne d’exploitation agricole*]=A314,FarmUnit[3. Superficie de l’unité agricole (ha)*])),"!","-"))</f>
        <v>!</v>
      </c>
      <c r="J314" s="9" t="str">
        <f ca="1">IFERROR(CONCATENATE(VLOOKUP(A314,GM_Table,12,FALSE)," ",(VLOOKUP(A314,GM_Table,13,FALSE))),"")</f>
        <v/>
      </c>
    </row>
    <row r="315" spans="1:10" ht="15" x14ac:dyDescent="0.2">
      <c r="A315" s="179" t="s">
        <v>1631</v>
      </c>
      <c r="B315" s="179" t="s">
        <v>1631</v>
      </c>
      <c r="C315" s="264">
        <v>1.1399999999999999</v>
      </c>
      <c r="D315" s="265">
        <v>6.9480000000000004</v>
      </c>
      <c r="E315" s="265">
        <v>-7.9391999999999996</v>
      </c>
      <c r="F315" s="122" t="b">
        <f>IF(ISBLANK(FarmUnit[[#This Row],[1. Identifiant interne d’exploitation agricole*]]),"",IF(ISERROR(MATCH(FarmUnit[[#This Row],[1. Identifiant interne d’exploitation agricole*]],GroupMember[1. Identifiant interne d’exploitation agricole*],0)),FALSE,TRUE))</f>
        <v>1</v>
      </c>
      <c r="G315" s="4">
        <f t="shared" si="11"/>
        <v>6.9480000000000004</v>
      </c>
      <c r="H315" s="4">
        <f t="shared" si="12"/>
        <v>-7.9391999999999996</v>
      </c>
      <c r="I315" s="20" t="str">
        <f t="array" ref="I315">IF(ISBLANK(C315),"",IF(C315=MAX(IF(FarmUnit[1. Identifiant interne d’exploitation agricole*]=A315,FarmUnit[3. Superficie de l’unité agricole (ha)*])),"!","-"))</f>
        <v>!</v>
      </c>
      <c r="J315" s="9" t="str">
        <f ca="1">IFERROR(CONCATENATE(VLOOKUP(A315,GM_Table,12,FALSE)," ",(VLOOKUP(A315,GM_Table,13,FALSE))),"")</f>
        <v/>
      </c>
    </row>
    <row r="316" spans="1:10" ht="15" x14ac:dyDescent="0.2">
      <c r="A316" s="150" t="s">
        <v>1635</v>
      </c>
      <c r="B316" s="150" t="s">
        <v>1635</v>
      </c>
      <c r="C316" s="264">
        <v>0.76</v>
      </c>
      <c r="D316" s="267">
        <v>6.9482999999999997</v>
      </c>
      <c r="E316" s="267">
        <v>-7.9366000000000003</v>
      </c>
      <c r="F316" s="122" t="b">
        <f>IF(ISBLANK(FarmUnit[[#This Row],[1. Identifiant interne d’exploitation agricole*]]),"",IF(ISERROR(MATCH(FarmUnit[[#This Row],[1. Identifiant interne d’exploitation agricole*]],GroupMember[1. Identifiant interne d’exploitation agricole*],0)),FALSE,TRUE))</f>
        <v>1</v>
      </c>
      <c r="G316" s="4">
        <f t="shared" si="11"/>
        <v>6.9482999999999997</v>
      </c>
      <c r="H316" s="4">
        <f t="shared" si="12"/>
        <v>-7.9366000000000003</v>
      </c>
      <c r="I316" s="20" t="str">
        <f t="array" ref="I316">IF(ISBLANK(C316),"",IF(C316=MAX(IF(FarmUnit[1. Identifiant interne d’exploitation agricole*]=A316,FarmUnit[3. Superficie de l’unité agricole (ha)*])),"!","-"))</f>
        <v>!</v>
      </c>
      <c r="J316" s="9" t="str">
        <f ca="1">IFERROR(CONCATENATE(VLOOKUP(A316,GM_Table,12,FALSE)," ",(VLOOKUP(A316,GM_Table,13,FALSE))),"")</f>
        <v/>
      </c>
    </row>
    <row r="317" spans="1:10" ht="15" x14ac:dyDescent="0.2">
      <c r="A317" s="150" t="s">
        <v>1637</v>
      </c>
      <c r="B317" s="150" t="s">
        <v>1637</v>
      </c>
      <c r="C317" s="264">
        <v>2.37</v>
      </c>
      <c r="D317" s="265">
        <v>6.9564000000000004</v>
      </c>
      <c r="E317" s="265">
        <v>-7.9497</v>
      </c>
      <c r="F317" s="122" t="b">
        <f>IF(ISBLANK(FarmUnit[[#This Row],[1. Identifiant interne d’exploitation agricole*]]),"",IF(ISERROR(MATCH(FarmUnit[[#This Row],[1. Identifiant interne d’exploitation agricole*]],GroupMember[1. Identifiant interne d’exploitation agricole*],0)),FALSE,TRUE))</f>
        <v>1</v>
      </c>
      <c r="G317" s="4">
        <f t="shared" si="11"/>
        <v>6.9564000000000004</v>
      </c>
      <c r="H317" s="4">
        <f t="shared" si="12"/>
        <v>-7.9497</v>
      </c>
      <c r="I317" s="20" t="str">
        <f t="array" ref="I317">IF(ISBLANK(C317),"",IF(C317=MAX(IF(FarmUnit[1. Identifiant interne d’exploitation agricole*]=A317,FarmUnit[3. Superficie de l’unité agricole (ha)*])),"!","-"))</f>
        <v>!</v>
      </c>
      <c r="J317" s="9" t="str">
        <f ca="1">IFERROR(CONCATENATE(VLOOKUP(A317,GM_Table,12,FALSE)," ",(VLOOKUP(A317,GM_Table,13,FALSE))),"")</f>
        <v/>
      </c>
    </row>
    <row r="318" spans="1:10" ht="15" x14ac:dyDescent="0.2">
      <c r="A318" s="150" t="s">
        <v>1640</v>
      </c>
      <c r="B318" s="150" t="s">
        <v>1640</v>
      </c>
      <c r="C318" s="264">
        <v>2</v>
      </c>
      <c r="D318" s="265">
        <v>6.952</v>
      </c>
      <c r="E318" s="265">
        <v>-7.9501999999999997</v>
      </c>
      <c r="F318" s="122" t="b">
        <f>IF(ISBLANK(FarmUnit[[#This Row],[1. Identifiant interne d’exploitation agricole*]]),"",IF(ISERROR(MATCH(FarmUnit[[#This Row],[1. Identifiant interne d’exploitation agricole*]],GroupMember[1. Identifiant interne d’exploitation agricole*],0)),FALSE,TRUE))</f>
        <v>1</v>
      </c>
      <c r="G318" s="4">
        <f t="shared" si="11"/>
        <v>6.952</v>
      </c>
      <c r="H318" s="4">
        <f t="shared" si="12"/>
        <v>-7.9501999999999997</v>
      </c>
      <c r="I318" s="20" t="str">
        <f t="array" ref="I318">IF(ISBLANK(C318),"",IF(C318=MAX(IF(FarmUnit[1. Identifiant interne d’exploitation agricole*]=A318,FarmUnit[3. Superficie de l’unité agricole (ha)*])),"!","-"))</f>
        <v>!</v>
      </c>
      <c r="J318" s="9" t="str">
        <f ca="1">IFERROR(CONCATENATE(VLOOKUP(A318,GM_Table,12,FALSE)," ",(VLOOKUP(A318,GM_Table,13,FALSE))),"")</f>
        <v/>
      </c>
    </row>
    <row r="319" spans="1:10" ht="15" x14ac:dyDescent="0.2">
      <c r="A319" s="150" t="s">
        <v>1642</v>
      </c>
      <c r="B319" s="150" t="s">
        <v>1642</v>
      </c>
      <c r="C319" s="264">
        <v>2</v>
      </c>
      <c r="D319" s="265">
        <v>6.9485000000000001</v>
      </c>
      <c r="E319" s="265">
        <v>-7.9398</v>
      </c>
      <c r="F319" s="122" t="b">
        <f>IF(ISBLANK(FarmUnit[[#This Row],[1. Identifiant interne d’exploitation agricole*]]),"",IF(ISERROR(MATCH(FarmUnit[[#This Row],[1. Identifiant interne d’exploitation agricole*]],GroupMember[1. Identifiant interne d’exploitation agricole*],0)),FALSE,TRUE))</f>
        <v>1</v>
      </c>
      <c r="G319" s="4">
        <f t="shared" si="11"/>
        <v>6.9485000000000001</v>
      </c>
      <c r="H319" s="4">
        <f t="shared" si="12"/>
        <v>-7.9398</v>
      </c>
      <c r="I319" s="20" t="str">
        <f t="array" ref="I319">IF(ISBLANK(C319),"",IF(C319=MAX(IF(FarmUnit[1. Identifiant interne d’exploitation agricole*]=A319,FarmUnit[3. Superficie de l’unité agricole (ha)*])),"!","-"))</f>
        <v>!</v>
      </c>
      <c r="J319" s="9" t="str">
        <f ca="1">IFERROR(CONCATENATE(VLOOKUP(A319,GM_Table,12,FALSE)," ",(VLOOKUP(A319,GM_Table,13,FALSE))),"")</f>
        <v/>
      </c>
    </row>
    <row r="320" spans="1:10" ht="15" x14ac:dyDescent="0.2">
      <c r="A320" s="150" t="s">
        <v>1644</v>
      </c>
      <c r="B320" s="150" t="s">
        <v>1644</v>
      </c>
      <c r="C320" s="264">
        <v>3</v>
      </c>
      <c r="D320" s="265">
        <v>6.9580000000000002</v>
      </c>
      <c r="E320" s="265">
        <v>-7.9593999999999996</v>
      </c>
      <c r="F320" s="122" t="b">
        <f>IF(ISBLANK(FarmUnit[[#This Row],[1. Identifiant interne d’exploitation agricole*]]),"",IF(ISERROR(MATCH(FarmUnit[[#This Row],[1. Identifiant interne d’exploitation agricole*]],GroupMember[1. Identifiant interne d’exploitation agricole*],0)),FALSE,TRUE))</f>
        <v>1</v>
      </c>
      <c r="G320" s="4">
        <f t="shared" si="11"/>
        <v>6.9580000000000002</v>
      </c>
      <c r="H320" s="4">
        <f t="shared" si="12"/>
        <v>-7.9593999999999996</v>
      </c>
      <c r="I320" s="20" t="str">
        <f t="array" ref="I320">IF(ISBLANK(C320),"",IF(C320=MAX(IF(FarmUnit[1. Identifiant interne d’exploitation agricole*]=A320,FarmUnit[3. Superficie de l’unité agricole (ha)*])),"!","-"))</f>
        <v>!</v>
      </c>
      <c r="J320" s="9" t="str">
        <f ca="1">IFERROR(CONCATENATE(VLOOKUP(A320,GM_Table,12,FALSE)," ",(VLOOKUP(A320,GM_Table,13,FALSE))),"")</f>
        <v/>
      </c>
    </row>
    <row r="321" spans="1:10" ht="15" x14ac:dyDescent="0.2">
      <c r="A321" s="150" t="s">
        <v>1646</v>
      </c>
      <c r="B321" s="150" t="s">
        <v>1646</v>
      </c>
      <c r="C321" s="264">
        <v>2</v>
      </c>
      <c r="D321" s="265">
        <v>6.9554999999999998</v>
      </c>
      <c r="E321" s="265">
        <v>-7.9547999999999996</v>
      </c>
      <c r="F321" s="122" t="b">
        <f>IF(ISBLANK(FarmUnit[[#This Row],[1. Identifiant interne d’exploitation agricole*]]),"",IF(ISERROR(MATCH(FarmUnit[[#This Row],[1. Identifiant interne d’exploitation agricole*]],GroupMember[1. Identifiant interne d’exploitation agricole*],0)),FALSE,TRUE))</f>
        <v>1</v>
      </c>
      <c r="G321" s="4">
        <f t="shared" si="11"/>
        <v>6.9554999999999998</v>
      </c>
      <c r="H321" s="4">
        <f t="shared" si="12"/>
        <v>-7.9547999999999996</v>
      </c>
      <c r="I321" s="20" t="str">
        <f t="array" ref="I321">IF(ISBLANK(C321),"",IF(C321=MAX(IF(FarmUnit[1. Identifiant interne d’exploitation agricole*]=A321,FarmUnit[3. Superficie de l’unité agricole (ha)*])),"!","-"))</f>
        <v>!</v>
      </c>
      <c r="J321" s="9" t="str">
        <f ca="1">IFERROR(CONCATENATE(VLOOKUP(A321,GM_Table,12,FALSE)," ",(VLOOKUP(A321,GM_Table,13,FALSE))),"")</f>
        <v/>
      </c>
    </row>
    <row r="322" spans="1:10" ht="15" x14ac:dyDescent="0.2">
      <c r="A322" s="150" t="s">
        <v>1649</v>
      </c>
      <c r="B322" s="150" t="s">
        <v>1649</v>
      </c>
      <c r="C322" s="264">
        <v>2.1800000000000002</v>
      </c>
      <c r="D322" s="265">
        <v>7.1928000000000001</v>
      </c>
      <c r="E322" s="265">
        <v>-8.1305999999999994</v>
      </c>
      <c r="F322" s="122" t="b">
        <f>IF(ISBLANK(FarmUnit[[#This Row],[1. Identifiant interne d’exploitation agricole*]]),"",IF(ISERROR(MATCH(FarmUnit[[#This Row],[1. Identifiant interne d’exploitation agricole*]],GroupMember[1. Identifiant interne d’exploitation agricole*],0)),FALSE,TRUE))</f>
        <v>1</v>
      </c>
      <c r="G322" s="4">
        <f t="shared" si="11"/>
        <v>7.1928000000000001</v>
      </c>
      <c r="H322" s="4">
        <f t="shared" si="12"/>
        <v>-8.1305999999999994</v>
      </c>
      <c r="I322" s="20" t="str">
        <f t="array" ref="I322">IF(ISBLANK(C322),"",IF(C322=MAX(IF(FarmUnit[1. Identifiant interne d’exploitation agricole*]=A322,FarmUnit[3. Superficie de l’unité agricole (ha)*])),"!","-"))</f>
        <v>!</v>
      </c>
      <c r="J322" s="9" t="str">
        <f ca="1">IFERROR(CONCATENATE(VLOOKUP(A322,GM_Table,12,FALSE)," ",(VLOOKUP(A322,GM_Table,13,FALSE))),"")</f>
        <v/>
      </c>
    </row>
    <row r="323" spans="1:10" ht="15" x14ac:dyDescent="0.2">
      <c r="A323" s="150" t="s">
        <v>1652</v>
      </c>
      <c r="B323" s="150" t="s">
        <v>1652</v>
      </c>
      <c r="C323" s="264">
        <v>1.37</v>
      </c>
      <c r="D323" s="265">
        <v>6.9518000000000004</v>
      </c>
      <c r="E323" s="265">
        <v>-7.9653</v>
      </c>
      <c r="F323" s="122" t="b">
        <f>IF(ISBLANK(FarmUnit[[#This Row],[1. Identifiant interne d’exploitation agricole*]]),"",IF(ISERROR(MATCH(FarmUnit[[#This Row],[1. Identifiant interne d’exploitation agricole*]],GroupMember[1. Identifiant interne d’exploitation agricole*],0)),FALSE,TRUE))</f>
        <v>1</v>
      </c>
      <c r="G323" s="4">
        <f t="shared" si="11"/>
        <v>6.9518000000000004</v>
      </c>
      <c r="H323" s="4">
        <f t="shared" si="12"/>
        <v>-7.9653</v>
      </c>
      <c r="I323" s="20" t="str">
        <f t="array" ref="I323">IF(ISBLANK(C323),"",IF(C323=MAX(IF(FarmUnit[1. Identifiant interne d’exploitation agricole*]=A323,FarmUnit[3. Superficie de l’unité agricole (ha)*])),"!","-"))</f>
        <v>!</v>
      </c>
      <c r="J323" s="9" t="str">
        <f ca="1">IFERROR(CONCATENATE(VLOOKUP(A323,GM_Table,12,FALSE)," ",(VLOOKUP(A323,GM_Table,13,FALSE))),"")</f>
        <v/>
      </c>
    </row>
    <row r="324" spans="1:10" ht="15" x14ac:dyDescent="0.2">
      <c r="A324" s="150" t="s">
        <v>1655</v>
      </c>
      <c r="B324" s="150" t="s">
        <v>1655</v>
      </c>
      <c r="C324" s="264">
        <v>1.44</v>
      </c>
      <c r="D324" s="265">
        <v>7.0867000000000004</v>
      </c>
      <c r="E324" s="265">
        <v>-8.0146999999999995</v>
      </c>
      <c r="F324" s="122" t="b">
        <f>IF(ISBLANK(FarmUnit[[#This Row],[1. Identifiant interne d’exploitation agricole*]]),"",IF(ISERROR(MATCH(FarmUnit[[#This Row],[1. Identifiant interne d’exploitation agricole*]],GroupMember[1. Identifiant interne d’exploitation agricole*],0)),FALSE,TRUE))</f>
        <v>1</v>
      </c>
      <c r="G324" s="4">
        <f t="shared" si="11"/>
        <v>7.0867000000000004</v>
      </c>
      <c r="H324" s="4">
        <f t="shared" si="12"/>
        <v>-8.0146999999999995</v>
      </c>
      <c r="I324" s="20" t="str">
        <f t="array" ref="I324">IF(ISBLANK(C324),"",IF(C324=MAX(IF(FarmUnit[1. Identifiant interne d’exploitation agricole*]=A324,FarmUnit[3. Superficie de l’unité agricole (ha)*])),"!","-"))</f>
        <v>!</v>
      </c>
      <c r="J324" s="9" t="str">
        <f ca="1">IFERROR(CONCATENATE(VLOOKUP(A324,GM_Table,12,FALSE)," ",(VLOOKUP(A324,GM_Table,13,FALSE))),"")</f>
        <v/>
      </c>
    </row>
    <row r="325" spans="1:10" ht="15" x14ac:dyDescent="0.2">
      <c r="A325" s="150" t="s">
        <v>1658</v>
      </c>
      <c r="B325" s="150" t="s">
        <v>1658</v>
      </c>
      <c r="C325" s="264">
        <v>1.42</v>
      </c>
      <c r="D325" s="265">
        <v>6.9558999999999997</v>
      </c>
      <c r="E325" s="265">
        <v>-7.9543999999999997</v>
      </c>
      <c r="F325" s="122" t="b">
        <f>IF(ISBLANK(FarmUnit[[#This Row],[1. Identifiant interne d’exploitation agricole*]]),"",IF(ISERROR(MATCH(FarmUnit[[#This Row],[1. Identifiant interne d’exploitation agricole*]],GroupMember[1. Identifiant interne d’exploitation agricole*],0)),FALSE,TRUE))</f>
        <v>1</v>
      </c>
      <c r="G325" s="4">
        <f t="shared" si="11"/>
        <v>6.9558999999999997</v>
      </c>
      <c r="H325" s="4">
        <f t="shared" si="12"/>
        <v>-7.9543999999999997</v>
      </c>
      <c r="I325" s="20" t="str">
        <f t="array" ref="I325">IF(ISBLANK(C325),"",IF(C325=MAX(IF(FarmUnit[1. Identifiant interne d’exploitation agricole*]=A325,FarmUnit[3. Superficie de l’unité agricole (ha)*])),"!","-"))</f>
        <v>!</v>
      </c>
      <c r="J325" s="9" t="str">
        <f ca="1">IFERROR(CONCATENATE(VLOOKUP(A325,GM_Table,12,FALSE)," ",(VLOOKUP(A325,GM_Table,13,FALSE))),"")</f>
        <v/>
      </c>
    </row>
    <row r="326" spans="1:10" ht="15" x14ac:dyDescent="0.2">
      <c r="A326" s="150" t="s">
        <v>1662</v>
      </c>
      <c r="B326" s="150" t="s">
        <v>1662</v>
      </c>
      <c r="C326" s="264">
        <v>3.86</v>
      </c>
      <c r="D326" s="265">
        <v>6.9802999999999997</v>
      </c>
      <c r="E326" s="265">
        <v>-8.1456</v>
      </c>
      <c r="F326" s="122" t="b">
        <f>IF(ISBLANK(FarmUnit[[#This Row],[1. Identifiant interne d’exploitation agricole*]]),"",IF(ISERROR(MATCH(FarmUnit[[#This Row],[1. Identifiant interne d’exploitation agricole*]],GroupMember[1. Identifiant interne d’exploitation agricole*],0)),FALSE,TRUE))</f>
        <v>1</v>
      </c>
      <c r="G326" s="4">
        <f t="shared" si="11"/>
        <v>6.9802999999999997</v>
      </c>
      <c r="H326" s="4">
        <f t="shared" si="12"/>
        <v>-8.1456</v>
      </c>
      <c r="I326" s="20" t="str">
        <f t="array" ref="I326">IF(ISBLANK(C326),"",IF(C326=MAX(IF(FarmUnit[1. Identifiant interne d’exploitation agricole*]=A326,FarmUnit[3. Superficie de l’unité agricole (ha)*])),"!","-"))</f>
        <v>!</v>
      </c>
      <c r="J326" s="9" t="str">
        <f ca="1">IFERROR(CONCATENATE(VLOOKUP(A326,GM_Table,12,FALSE)," ",(VLOOKUP(A326,GM_Table,13,FALSE))),"")</f>
        <v/>
      </c>
    </row>
    <row r="327" spans="1:10" ht="15" x14ac:dyDescent="0.2">
      <c r="A327" s="150" t="s">
        <v>1665</v>
      </c>
      <c r="B327" s="150" t="s">
        <v>1665</v>
      </c>
      <c r="C327" s="264">
        <v>0.92</v>
      </c>
      <c r="D327" s="265">
        <v>6.9542999999999999</v>
      </c>
      <c r="E327" s="265">
        <v>-7.9648000000000003</v>
      </c>
      <c r="F327" s="122" t="b">
        <f>IF(ISBLANK(FarmUnit[[#This Row],[1. Identifiant interne d’exploitation agricole*]]),"",IF(ISERROR(MATCH(FarmUnit[[#This Row],[1. Identifiant interne d’exploitation agricole*]],GroupMember[1. Identifiant interne d’exploitation agricole*],0)),FALSE,TRUE))</f>
        <v>1</v>
      </c>
      <c r="G327" s="4">
        <f t="shared" si="11"/>
        <v>6.9542999999999999</v>
      </c>
      <c r="H327" s="4">
        <f t="shared" si="12"/>
        <v>-7.9648000000000003</v>
      </c>
      <c r="I327" s="20" t="str">
        <f t="array" ref="I327">IF(ISBLANK(C327),"",IF(C327=MAX(IF(FarmUnit[1. Identifiant interne d’exploitation agricole*]=A327,FarmUnit[3. Superficie de l’unité agricole (ha)*])),"!","-"))</f>
        <v>!</v>
      </c>
      <c r="J327" s="9" t="str">
        <f ca="1">IFERROR(CONCATENATE(VLOOKUP(A327,GM_Table,12,FALSE)," ",(VLOOKUP(A327,GM_Table,13,FALSE))),"")</f>
        <v/>
      </c>
    </row>
    <row r="328" spans="1:10" ht="15" x14ac:dyDescent="0.2">
      <c r="A328" s="150" t="s">
        <v>1669</v>
      </c>
      <c r="B328" s="150" t="s">
        <v>1669</v>
      </c>
      <c r="C328" s="264">
        <v>1.39</v>
      </c>
      <c r="D328" s="265">
        <v>7.0827999999999998</v>
      </c>
      <c r="E328" s="265">
        <v>-8.0297000000000001</v>
      </c>
      <c r="F328" s="122" t="b">
        <f>IF(ISBLANK(FarmUnit[[#This Row],[1. Identifiant interne d’exploitation agricole*]]),"",IF(ISERROR(MATCH(FarmUnit[[#This Row],[1. Identifiant interne d’exploitation agricole*]],GroupMember[1. Identifiant interne d’exploitation agricole*],0)),FALSE,TRUE))</f>
        <v>1</v>
      </c>
      <c r="G328" s="4">
        <f t="shared" si="11"/>
        <v>7.0827999999999998</v>
      </c>
      <c r="H328" s="4">
        <f t="shared" si="12"/>
        <v>-8.0297000000000001</v>
      </c>
      <c r="I328" s="20" t="str">
        <f t="array" ref="I328">IF(ISBLANK(C328),"",IF(C328=MAX(IF(FarmUnit[1. Identifiant interne d’exploitation agricole*]=A328,FarmUnit[3. Superficie de l’unité agricole (ha)*])),"!","-"))</f>
        <v>!</v>
      </c>
      <c r="J328" s="9" t="str">
        <f ca="1">IFERROR(CONCATENATE(VLOOKUP(A328,GM_Table,12,FALSE)," ",(VLOOKUP(A328,GM_Table,13,FALSE))),"")</f>
        <v/>
      </c>
    </row>
    <row r="329" spans="1:10" ht="15" x14ac:dyDescent="0.2">
      <c r="A329" s="150" t="s">
        <v>1672</v>
      </c>
      <c r="B329" s="150" t="s">
        <v>1672</v>
      </c>
      <c r="C329" s="264">
        <v>2</v>
      </c>
      <c r="D329" s="265">
        <v>6.9584000000000001</v>
      </c>
      <c r="E329" s="265">
        <v>-7.9577</v>
      </c>
      <c r="F329" s="122" t="b">
        <f>IF(ISBLANK(FarmUnit[[#This Row],[1. Identifiant interne d’exploitation agricole*]]),"",IF(ISERROR(MATCH(FarmUnit[[#This Row],[1. Identifiant interne d’exploitation agricole*]],GroupMember[1. Identifiant interne d’exploitation agricole*],0)),FALSE,TRUE))</f>
        <v>1</v>
      </c>
      <c r="G329" s="4">
        <f t="shared" si="11"/>
        <v>6.9584000000000001</v>
      </c>
      <c r="H329" s="4">
        <f t="shared" si="12"/>
        <v>-7.9577</v>
      </c>
      <c r="I329" s="20" t="str">
        <f t="array" ref="I329">IF(ISBLANK(C329),"",IF(C329=MAX(IF(FarmUnit[1. Identifiant interne d’exploitation agricole*]=A329,FarmUnit[3. Superficie de l’unité agricole (ha)*])),"!","-"))</f>
        <v>!</v>
      </c>
      <c r="J329" s="9" t="str">
        <f ca="1">IFERROR(CONCATENATE(VLOOKUP(A329,GM_Table,12,FALSE)," ",(VLOOKUP(A329,GM_Table,13,FALSE))),"")</f>
        <v/>
      </c>
    </row>
    <row r="330" spans="1:10" ht="15" x14ac:dyDescent="0.2">
      <c r="A330" s="150" t="s">
        <v>1674</v>
      </c>
      <c r="B330" s="150" t="s">
        <v>1674</v>
      </c>
      <c r="C330" s="264">
        <v>1.51</v>
      </c>
      <c r="D330" s="267">
        <v>6.9654999999999996</v>
      </c>
      <c r="E330" s="267">
        <v>-7.9458000000000002</v>
      </c>
      <c r="F330" s="122" t="b">
        <f>IF(ISBLANK(FarmUnit[[#This Row],[1. Identifiant interne d’exploitation agricole*]]),"",IF(ISERROR(MATCH(FarmUnit[[#This Row],[1. Identifiant interne d’exploitation agricole*]],GroupMember[1. Identifiant interne d’exploitation agricole*],0)),FALSE,TRUE))</f>
        <v>1</v>
      </c>
      <c r="G330" s="4">
        <f t="shared" si="11"/>
        <v>6.9654999999999996</v>
      </c>
      <c r="H330" s="4">
        <f t="shared" si="12"/>
        <v>-7.9458000000000002</v>
      </c>
      <c r="I330" s="20" t="str">
        <f t="array" ref="I330">IF(ISBLANK(C330),"",IF(C330=MAX(IF(FarmUnit[1. Identifiant interne d’exploitation agricole*]=A330,FarmUnit[3. Superficie de l’unité agricole (ha)*])),"!","-"))</f>
        <v>!</v>
      </c>
      <c r="J330" s="9" t="str">
        <f ca="1">IFERROR(CONCATENATE(VLOOKUP(A330,GM_Table,12,FALSE)," ",(VLOOKUP(A330,GM_Table,13,FALSE))),"")</f>
        <v/>
      </c>
    </row>
    <row r="331" spans="1:10" ht="15" x14ac:dyDescent="0.2">
      <c r="A331" s="150" t="s">
        <v>1679</v>
      </c>
      <c r="B331" s="150" t="s">
        <v>1679</v>
      </c>
      <c r="C331" s="264">
        <v>1.27</v>
      </c>
      <c r="D331" s="265">
        <v>7.0467000000000004</v>
      </c>
      <c r="E331" s="265">
        <v>-8.0307999999999993</v>
      </c>
      <c r="F331" s="122" t="b">
        <f>IF(ISBLANK(FarmUnit[[#This Row],[1. Identifiant interne d’exploitation agricole*]]),"",IF(ISERROR(MATCH(FarmUnit[[#This Row],[1. Identifiant interne d’exploitation agricole*]],GroupMember[1. Identifiant interne d’exploitation agricole*],0)),FALSE,TRUE))</f>
        <v>1</v>
      </c>
      <c r="G331" s="4">
        <f t="shared" si="11"/>
        <v>7.0467000000000004</v>
      </c>
      <c r="H331" s="4">
        <f t="shared" si="12"/>
        <v>-8.0307999999999993</v>
      </c>
      <c r="I331" s="20" t="str">
        <f t="array" ref="I331">IF(ISBLANK(C331),"",IF(C331=MAX(IF(FarmUnit[1. Identifiant interne d’exploitation agricole*]=A331,FarmUnit[3. Superficie de l’unité agricole (ha)*])),"!","-"))</f>
        <v>!</v>
      </c>
      <c r="J331" s="9" t="str">
        <f ca="1">IFERROR(CONCATENATE(VLOOKUP(A331,GM_Table,12,FALSE)," ",(VLOOKUP(A331,GM_Table,13,FALSE))),"")</f>
        <v/>
      </c>
    </row>
    <row r="332" spans="1:10" ht="15" x14ac:dyDescent="0.2">
      <c r="A332" s="150" t="s">
        <v>1682</v>
      </c>
      <c r="B332" s="150" t="s">
        <v>1682</v>
      </c>
      <c r="C332" s="264">
        <v>1.23</v>
      </c>
      <c r="D332" s="265">
        <v>7.1002999999999998</v>
      </c>
      <c r="E332" s="265">
        <v>-7.9675000000000002</v>
      </c>
      <c r="F332" s="122" t="b">
        <f>IF(ISBLANK(FarmUnit[[#This Row],[1. Identifiant interne d’exploitation agricole*]]),"",IF(ISERROR(MATCH(FarmUnit[[#This Row],[1. Identifiant interne d’exploitation agricole*]],GroupMember[1. Identifiant interne d’exploitation agricole*],0)),FALSE,TRUE))</f>
        <v>1</v>
      </c>
      <c r="G332" s="4">
        <f t="shared" si="11"/>
        <v>7.1002999999999998</v>
      </c>
      <c r="H332" s="4">
        <f t="shared" si="12"/>
        <v>-7.9675000000000002</v>
      </c>
      <c r="I332" s="20" t="str">
        <f t="array" ref="I332">IF(ISBLANK(C332),"",IF(C332=MAX(IF(FarmUnit[1. Identifiant interne d’exploitation agricole*]=A332,FarmUnit[3. Superficie de l’unité agricole (ha)*])),"!","-"))</f>
        <v>!</v>
      </c>
      <c r="J332" s="9" t="str">
        <f ca="1">IFERROR(CONCATENATE(VLOOKUP(A332,GM_Table,12,FALSE)," ",(VLOOKUP(A332,GM_Table,13,FALSE))),"")</f>
        <v/>
      </c>
    </row>
    <row r="333" spans="1:10" ht="15" x14ac:dyDescent="0.2">
      <c r="A333" s="150" t="s">
        <v>1685</v>
      </c>
      <c r="B333" s="150" t="s">
        <v>1685</v>
      </c>
      <c r="C333" s="264">
        <v>1.54</v>
      </c>
      <c r="D333" s="265">
        <v>7.0761000000000003</v>
      </c>
      <c r="E333" s="265">
        <v>-7.9410999999999996</v>
      </c>
      <c r="F333" s="122" t="b">
        <f>IF(ISBLANK(FarmUnit[[#This Row],[1. Identifiant interne d’exploitation agricole*]]),"",IF(ISERROR(MATCH(FarmUnit[[#This Row],[1. Identifiant interne d’exploitation agricole*]],GroupMember[1. Identifiant interne d’exploitation agricole*],0)),FALSE,TRUE))</f>
        <v>1</v>
      </c>
      <c r="G333" s="4">
        <f t="shared" si="11"/>
        <v>7.0761000000000003</v>
      </c>
      <c r="H333" s="4">
        <f t="shared" si="12"/>
        <v>-7.9410999999999996</v>
      </c>
      <c r="I333" s="20" t="str">
        <f t="array" ref="I333">IF(ISBLANK(C333),"",IF(C333=MAX(IF(FarmUnit[1. Identifiant interne d’exploitation agricole*]=A333,FarmUnit[3. Superficie de l’unité agricole (ha)*])),"!","-"))</f>
        <v>!</v>
      </c>
      <c r="J333" s="9" t="str">
        <f ca="1">IFERROR(CONCATENATE(VLOOKUP(A333,GM_Table,12,FALSE)," ",(VLOOKUP(A333,GM_Table,13,FALSE))),"")</f>
        <v/>
      </c>
    </row>
    <row r="334" spans="1:10" ht="15" x14ac:dyDescent="0.2">
      <c r="A334" s="150" t="s">
        <v>1687</v>
      </c>
      <c r="B334" s="150" t="s">
        <v>1687</v>
      </c>
      <c r="C334" s="264">
        <v>2.52</v>
      </c>
      <c r="D334" s="265">
        <v>7.2077999999999998</v>
      </c>
      <c r="E334" s="265">
        <v>-8.18</v>
      </c>
      <c r="F334" s="122" t="b">
        <f>IF(ISBLANK(FarmUnit[[#This Row],[1. Identifiant interne d’exploitation agricole*]]),"",IF(ISERROR(MATCH(FarmUnit[[#This Row],[1. Identifiant interne d’exploitation agricole*]],GroupMember[1. Identifiant interne d’exploitation agricole*],0)),FALSE,TRUE))</f>
        <v>1</v>
      </c>
      <c r="G334" s="4">
        <f t="shared" si="11"/>
        <v>7.2077999999999998</v>
      </c>
      <c r="H334" s="4">
        <f t="shared" si="12"/>
        <v>-8.18</v>
      </c>
      <c r="I334" s="20" t="str">
        <f t="array" ref="I334">IF(ISBLANK(C334),"",IF(C334=MAX(IF(FarmUnit[1. Identifiant interne d’exploitation agricole*]=A334,FarmUnit[3. Superficie de l’unité agricole (ha)*])),"!","-"))</f>
        <v>!</v>
      </c>
      <c r="J334" s="9" t="str">
        <f ca="1">IFERROR(CONCATENATE(VLOOKUP(A334,GM_Table,12,FALSE)," ",(VLOOKUP(A334,GM_Table,13,FALSE))),"")</f>
        <v/>
      </c>
    </row>
    <row r="335" spans="1:10" ht="15" x14ac:dyDescent="0.2">
      <c r="A335" s="150" t="s">
        <v>1692</v>
      </c>
      <c r="B335" s="150" t="s">
        <v>1692</v>
      </c>
      <c r="C335" s="264">
        <v>0.81</v>
      </c>
      <c r="D335" s="265">
        <v>7.1135999999999999</v>
      </c>
      <c r="E335" s="265">
        <v>-8.1143999999999998</v>
      </c>
      <c r="F335" s="122" t="b">
        <f>IF(ISBLANK(FarmUnit[[#This Row],[1. Identifiant interne d’exploitation agricole*]]),"",IF(ISERROR(MATCH(FarmUnit[[#This Row],[1. Identifiant interne d’exploitation agricole*]],GroupMember[1. Identifiant interne d’exploitation agricole*],0)),FALSE,TRUE))</f>
        <v>1</v>
      </c>
      <c r="G335" s="4">
        <f t="shared" si="11"/>
        <v>7.1135999999999999</v>
      </c>
      <c r="H335" s="4">
        <f t="shared" si="12"/>
        <v>-8.1143999999999998</v>
      </c>
      <c r="I335" s="20" t="str">
        <f t="array" ref="I335">IF(ISBLANK(C335),"",IF(C335=MAX(IF(FarmUnit[1. Identifiant interne d’exploitation agricole*]=A335,FarmUnit[3. Superficie de l’unité agricole (ha)*])),"!","-"))</f>
        <v>!</v>
      </c>
      <c r="J335" s="9" t="str">
        <f ca="1">IFERROR(CONCATENATE(VLOOKUP(A335,GM_Table,12,FALSE)," ",(VLOOKUP(A335,GM_Table,13,FALSE))),"")</f>
        <v/>
      </c>
    </row>
    <row r="336" spans="1:10" ht="15" x14ac:dyDescent="0.2">
      <c r="A336" s="150" t="s">
        <v>1696</v>
      </c>
      <c r="B336" s="150" t="s">
        <v>1696</v>
      </c>
      <c r="C336" s="264">
        <v>1.4</v>
      </c>
      <c r="D336" s="265">
        <v>7.2050000000000001</v>
      </c>
      <c r="E336" s="265">
        <v>-8.1710999999999991</v>
      </c>
      <c r="F336" s="122" t="b">
        <f>IF(ISBLANK(FarmUnit[[#This Row],[1. Identifiant interne d’exploitation agricole*]]),"",IF(ISERROR(MATCH(FarmUnit[[#This Row],[1. Identifiant interne d’exploitation agricole*]],GroupMember[1. Identifiant interne d’exploitation agricole*],0)),FALSE,TRUE))</f>
        <v>1</v>
      </c>
      <c r="G336" s="4">
        <f t="shared" si="11"/>
        <v>7.2050000000000001</v>
      </c>
      <c r="H336" s="4">
        <f t="shared" si="12"/>
        <v>-8.1710999999999991</v>
      </c>
      <c r="I336" s="20" t="str">
        <f t="array" ref="I336">IF(ISBLANK(C336),"",IF(C336=MAX(IF(FarmUnit[1. Identifiant interne d’exploitation agricole*]=A336,FarmUnit[3. Superficie de l’unité agricole (ha)*])),"!","-"))</f>
        <v>!</v>
      </c>
      <c r="J336" s="9" t="str">
        <f ca="1">IFERROR(CONCATENATE(VLOOKUP(A336,GM_Table,12,FALSE)," ",(VLOOKUP(A336,GM_Table,13,FALSE))),"")</f>
        <v/>
      </c>
    </row>
    <row r="337" spans="1:10" ht="15" x14ac:dyDescent="0.2">
      <c r="A337" s="150" t="s">
        <v>1699</v>
      </c>
      <c r="B337" s="150" t="s">
        <v>1699</v>
      </c>
      <c r="C337" s="264">
        <v>1.69</v>
      </c>
      <c r="D337" s="265">
        <v>7.2061000000000002</v>
      </c>
      <c r="E337" s="265">
        <v>-8.1714000000000002</v>
      </c>
      <c r="F337" s="122" t="b">
        <f>IF(ISBLANK(FarmUnit[[#This Row],[1. Identifiant interne d’exploitation agricole*]]),"",IF(ISERROR(MATCH(FarmUnit[[#This Row],[1. Identifiant interne d’exploitation agricole*]],GroupMember[1. Identifiant interne d’exploitation agricole*],0)),FALSE,TRUE))</f>
        <v>1</v>
      </c>
      <c r="G337" s="4">
        <f t="shared" si="11"/>
        <v>7.2061000000000002</v>
      </c>
      <c r="H337" s="4">
        <f t="shared" si="12"/>
        <v>-8.1714000000000002</v>
      </c>
      <c r="I337" s="20" t="str">
        <f t="array" ref="I337">IF(ISBLANK(C337),"",IF(C337=MAX(IF(FarmUnit[1. Identifiant interne d’exploitation agricole*]=A337,FarmUnit[3. Superficie de l’unité agricole (ha)*])),"!","-"))</f>
        <v>!</v>
      </c>
      <c r="J337" s="9" t="str">
        <f ca="1">IFERROR(CONCATENATE(VLOOKUP(A337,GM_Table,12,FALSE)," ",(VLOOKUP(A337,GM_Table,13,FALSE))),"")</f>
        <v/>
      </c>
    </row>
    <row r="338" spans="1:10" ht="15" x14ac:dyDescent="0.2">
      <c r="A338" s="150" t="s">
        <v>1702</v>
      </c>
      <c r="B338" s="150" t="s">
        <v>1702</v>
      </c>
      <c r="C338" s="264">
        <v>0.97</v>
      </c>
      <c r="D338" s="265">
        <v>7.1913999999999998</v>
      </c>
      <c r="E338" s="265">
        <v>-8.0716999999999999</v>
      </c>
      <c r="F338" s="122" t="b">
        <f>IF(ISBLANK(FarmUnit[[#This Row],[1. Identifiant interne d’exploitation agricole*]]),"",IF(ISERROR(MATCH(FarmUnit[[#This Row],[1. Identifiant interne d’exploitation agricole*]],GroupMember[1. Identifiant interne d’exploitation agricole*],0)),FALSE,TRUE))</f>
        <v>1</v>
      </c>
      <c r="G338" s="4">
        <f t="shared" si="11"/>
        <v>7.1913999999999998</v>
      </c>
      <c r="H338" s="4">
        <f t="shared" si="12"/>
        <v>-8.0716999999999999</v>
      </c>
      <c r="I338" s="20" t="str">
        <f t="array" ref="I338">IF(ISBLANK(C338),"",IF(C338=MAX(IF(FarmUnit[1. Identifiant interne d’exploitation agricole*]=A338,FarmUnit[3. Superficie de l’unité agricole (ha)*])),"!","-"))</f>
        <v>!</v>
      </c>
      <c r="J338" s="9" t="str">
        <f ca="1">IFERROR(CONCATENATE(VLOOKUP(A338,GM_Table,12,FALSE)," ",(VLOOKUP(A338,GM_Table,13,FALSE))),"")</f>
        <v/>
      </c>
    </row>
    <row r="339" spans="1:10" ht="15" x14ac:dyDescent="0.2">
      <c r="A339" s="150" t="s">
        <v>1705</v>
      </c>
      <c r="B339" s="150" t="s">
        <v>1705</v>
      </c>
      <c r="C339" s="264">
        <v>2.66</v>
      </c>
      <c r="D339" s="265">
        <v>7.1233000000000004</v>
      </c>
      <c r="E339" s="265">
        <v>-7.9733000000000001</v>
      </c>
      <c r="F339" s="122" t="b">
        <f>IF(ISBLANK(FarmUnit[[#This Row],[1. Identifiant interne d’exploitation agricole*]]),"",IF(ISERROR(MATCH(FarmUnit[[#This Row],[1. Identifiant interne d’exploitation agricole*]],GroupMember[1. Identifiant interne d’exploitation agricole*],0)),FALSE,TRUE))</f>
        <v>1</v>
      </c>
      <c r="G339" s="4">
        <f t="shared" si="11"/>
        <v>7.1233000000000004</v>
      </c>
      <c r="H339" s="4">
        <f t="shared" si="12"/>
        <v>-7.9733000000000001</v>
      </c>
      <c r="I339" s="20" t="str">
        <f t="array" ref="I339">IF(ISBLANK(C339),"",IF(C339=MAX(IF(FarmUnit[1. Identifiant interne d’exploitation agricole*]=A339,FarmUnit[3. Superficie de l’unité agricole (ha)*])),"!","-"))</f>
        <v>!</v>
      </c>
      <c r="J339" s="9" t="str">
        <f ca="1">IFERROR(CONCATENATE(VLOOKUP(A339,GM_Table,12,FALSE)," ",(VLOOKUP(A339,GM_Table,13,FALSE))),"")</f>
        <v/>
      </c>
    </row>
    <row r="340" spans="1:10" ht="15" x14ac:dyDescent="0.2">
      <c r="A340" s="150" t="s">
        <v>1707</v>
      </c>
      <c r="B340" s="150" t="s">
        <v>1707</v>
      </c>
      <c r="C340" s="264">
        <v>1.0900000000000001</v>
      </c>
      <c r="D340" s="265">
        <v>7.1449999999999996</v>
      </c>
      <c r="E340" s="265">
        <v>-8.1669</v>
      </c>
      <c r="F340" s="122" t="b">
        <f>IF(ISBLANK(FarmUnit[[#This Row],[1. Identifiant interne d’exploitation agricole*]]),"",IF(ISERROR(MATCH(FarmUnit[[#This Row],[1. Identifiant interne d’exploitation agricole*]],GroupMember[1. Identifiant interne d’exploitation agricole*],0)),FALSE,TRUE))</f>
        <v>1</v>
      </c>
      <c r="G340" s="4">
        <f t="shared" si="11"/>
        <v>7.1449999999999996</v>
      </c>
      <c r="H340" s="4">
        <f t="shared" si="12"/>
        <v>-8.1669</v>
      </c>
      <c r="I340" s="20" t="str">
        <f t="array" ref="I340">IF(ISBLANK(C340),"",IF(C340=MAX(IF(FarmUnit[1. Identifiant interne d’exploitation agricole*]=A340,FarmUnit[3. Superficie de l’unité agricole (ha)*])),"!","-"))</f>
        <v>!</v>
      </c>
      <c r="J340" s="9" t="str">
        <f ca="1">IFERROR(CONCATENATE(VLOOKUP(A340,GM_Table,12,FALSE)," ",(VLOOKUP(A340,GM_Table,13,FALSE))),"")</f>
        <v/>
      </c>
    </row>
    <row r="341" spans="1:10" ht="15" x14ac:dyDescent="0.2">
      <c r="A341" s="150" t="s">
        <v>1709</v>
      </c>
      <c r="B341" s="150" t="s">
        <v>1709</v>
      </c>
      <c r="C341" s="264">
        <v>4.1900000000000004</v>
      </c>
      <c r="D341" s="265">
        <v>7.0621999999999998</v>
      </c>
      <c r="E341" s="265">
        <v>-8.0708000000000002</v>
      </c>
      <c r="F341" s="122" t="b">
        <f>IF(ISBLANK(FarmUnit[[#This Row],[1. Identifiant interne d’exploitation agricole*]]),"",IF(ISERROR(MATCH(FarmUnit[[#This Row],[1. Identifiant interne d’exploitation agricole*]],GroupMember[1. Identifiant interne d’exploitation agricole*],0)),FALSE,TRUE))</f>
        <v>1</v>
      </c>
      <c r="G341" s="4">
        <f t="shared" si="11"/>
        <v>7.0621999999999998</v>
      </c>
      <c r="H341" s="4">
        <f t="shared" si="12"/>
        <v>-8.0708000000000002</v>
      </c>
      <c r="I341" s="20" t="str">
        <f t="array" ref="I341">IF(ISBLANK(C341),"",IF(C341=MAX(IF(FarmUnit[1. Identifiant interne d’exploitation agricole*]=A341,FarmUnit[3. Superficie de l’unité agricole (ha)*])),"!","-"))</f>
        <v>!</v>
      </c>
      <c r="J341" s="9" t="str">
        <f ca="1">IFERROR(CONCATENATE(VLOOKUP(A341,GM_Table,12,FALSE)," ",(VLOOKUP(A341,GM_Table,13,FALSE))),"")</f>
        <v/>
      </c>
    </row>
    <row r="342" spans="1:10" ht="15" x14ac:dyDescent="0.2">
      <c r="A342" s="150" t="s">
        <v>1712</v>
      </c>
      <c r="B342" s="150" t="s">
        <v>1712</v>
      </c>
      <c r="C342" s="264">
        <v>2</v>
      </c>
      <c r="D342" s="265">
        <v>6.9480000000000004</v>
      </c>
      <c r="E342" s="265">
        <v>-7.9577999999999998</v>
      </c>
      <c r="F342" s="122" t="b">
        <f>IF(ISBLANK(FarmUnit[[#This Row],[1. Identifiant interne d’exploitation agricole*]]),"",IF(ISERROR(MATCH(FarmUnit[[#This Row],[1. Identifiant interne d’exploitation agricole*]],GroupMember[1. Identifiant interne d’exploitation agricole*],0)),FALSE,TRUE))</f>
        <v>1</v>
      </c>
      <c r="G342" s="4">
        <f t="shared" si="11"/>
        <v>6.9480000000000004</v>
      </c>
      <c r="H342" s="4">
        <f t="shared" si="12"/>
        <v>-7.9577999999999998</v>
      </c>
      <c r="I342" s="20" t="str">
        <f t="array" ref="I342">IF(ISBLANK(C342),"",IF(C342=MAX(IF(FarmUnit[1. Identifiant interne d’exploitation agricole*]=A342,FarmUnit[3. Superficie de l’unité agricole (ha)*])),"!","-"))</f>
        <v>!</v>
      </c>
      <c r="J342" s="9" t="str">
        <f ca="1">IFERROR(CONCATENATE(VLOOKUP(A342,GM_Table,12,FALSE)," ",(VLOOKUP(A342,GM_Table,13,FALSE))),"")</f>
        <v/>
      </c>
    </row>
    <row r="343" spans="1:10" ht="15" x14ac:dyDescent="0.2">
      <c r="A343" s="150" t="s">
        <v>1715</v>
      </c>
      <c r="B343" s="150" t="s">
        <v>1715</v>
      </c>
      <c r="C343" s="264">
        <v>0.91</v>
      </c>
      <c r="D343" s="265">
        <v>7.2141999999999999</v>
      </c>
      <c r="E343" s="265">
        <v>-8.1339000000000006</v>
      </c>
      <c r="F343" s="122" t="b">
        <f>IF(ISBLANK(FarmUnit[[#This Row],[1. Identifiant interne d’exploitation agricole*]]),"",IF(ISERROR(MATCH(FarmUnit[[#This Row],[1. Identifiant interne d’exploitation agricole*]],GroupMember[1. Identifiant interne d’exploitation agricole*],0)),FALSE,TRUE))</f>
        <v>1</v>
      </c>
      <c r="G343" s="4">
        <f t="shared" si="11"/>
        <v>7.2141999999999999</v>
      </c>
      <c r="H343" s="4">
        <f t="shared" si="12"/>
        <v>-8.1339000000000006</v>
      </c>
      <c r="I343" s="20" t="str">
        <f t="array" ref="I343">IF(ISBLANK(C343),"",IF(C343=MAX(IF(FarmUnit[1. Identifiant interne d’exploitation agricole*]=A343,FarmUnit[3. Superficie de l’unité agricole (ha)*])),"!","-"))</f>
        <v>!</v>
      </c>
      <c r="J343" s="9" t="str">
        <f ca="1">IFERROR(CONCATENATE(VLOOKUP(A343,GM_Table,12,FALSE)," ",(VLOOKUP(A343,GM_Table,13,FALSE))),"")</f>
        <v/>
      </c>
    </row>
    <row r="344" spans="1:10" ht="15" x14ac:dyDescent="0.2">
      <c r="A344" s="190" t="s">
        <v>1719</v>
      </c>
      <c r="B344" s="190" t="s">
        <v>1719</v>
      </c>
      <c r="C344" s="264">
        <v>15.77</v>
      </c>
      <c r="D344" s="267">
        <v>6.9257999999999997</v>
      </c>
      <c r="E344" s="267">
        <v>-7.9345999999999997</v>
      </c>
      <c r="F344" s="122" t="b">
        <f>IF(ISBLANK(FarmUnit[[#This Row],[1. Identifiant interne d’exploitation agricole*]]),"",IF(ISERROR(MATCH(FarmUnit[[#This Row],[1. Identifiant interne d’exploitation agricole*]],GroupMember[1. Identifiant interne d’exploitation agricole*],0)),FALSE,TRUE))</f>
        <v>1</v>
      </c>
      <c r="G344" s="4">
        <f t="shared" si="11"/>
        <v>6.9257999999999997</v>
      </c>
      <c r="H344" s="4">
        <f t="shared" si="12"/>
        <v>-7.9345999999999997</v>
      </c>
      <c r="I344" s="20" t="str">
        <f t="array" ref="I344">IF(ISBLANK(C344),"",IF(C344=MAX(IF(FarmUnit[1. Identifiant interne d’exploitation agricole*]=A344,FarmUnit[3. Superficie de l’unité agricole (ha)*])),"!","-"))</f>
        <v>!</v>
      </c>
      <c r="J344" s="9" t="str">
        <f ca="1">IFERROR(CONCATENATE(VLOOKUP(A344,GM_Table,12,FALSE)," ",(VLOOKUP(A344,GM_Table,13,FALSE))),"")</f>
        <v/>
      </c>
    </row>
    <row r="345" spans="1:10" ht="15" x14ac:dyDescent="0.2">
      <c r="A345" s="190" t="s">
        <v>1723</v>
      </c>
      <c r="B345" s="190" t="s">
        <v>1723</v>
      </c>
      <c r="C345" s="264">
        <v>2.59</v>
      </c>
      <c r="D345" s="265">
        <v>6.9470999999999998</v>
      </c>
      <c r="E345" s="265">
        <v>-7.9325000000000001</v>
      </c>
      <c r="F345" s="122" t="b">
        <f>IF(ISBLANK(FarmUnit[[#This Row],[1. Identifiant interne d’exploitation agricole*]]),"",IF(ISERROR(MATCH(FarmUnit[[#This Row],[1. Identifiant interne d’exploitation agricole*]],GroupMember[1. Identifiant interne d’exploitation agricole*],0)),FALSE,TRUE))</f>
        <v>1</v>
      </c>
      <c r="G345" s="4">
        <f t="shared" si="11"/>
        <v>6.9470999999999998</v>
      </c>
      <c r="H345" s="4">
        <f t="shared" si="12"/>
        <v>-7.9325000000000001</v>
      </c>
      <c r="I345" s="20" t="str">
        <f t="array" ref="I345">IF(ISBLANK(C345),"",IF(C345=MAX(IF(FarmUnit[1. Identifiant interne d’exploitation agricole*]=A345,FarmUnit[3. Superficie de l’unité agricole (ha)*])),"!","-"))</f>
        <v>!</v>
      </c>
      <c r="J345" s="9" t="str">
        <f ca="1">IFERROR(CONCATENATE(VLOOKUP(A345,GM_Table,12,FALSE)," ",(VLOOKUP(A345,GM_Table,13,FALSE))),"")</f>
        <v/>
      </c>
    </row>
    <row r="346" spans="1:10" ht="15" x14ac:dyDescent="0.2">
      <c r="A346" s="190" t="s">
        <v>1726</v>
      </c>
      <c r="B346" s="190" t="s">
        <v>1726</v>
      </c>
      <c r="C346" s="264">
        <v>0.93</v>
      </c>
      <c r="D346" s="265">
        <v>6.9271000000000003</v>
      </c>
      <c r="E346" s="265">
        <v>-7.9309000000000003</v>
      </c>
      <c r="F346" s="122" t="b">
        <f>IF(ISBLANK(FarmUnit[[#This Row],[1. Identifiant interne d’exploitation agricole*]]),"",IF(ISERROR(MATCH(FarmUnit[[#This Row],[1. Identifiant interne d’exploitation agricole*]],GroupMember[1. Identifiant interne d’exploitation agricole*],0)),FALSE,TRUE))</f>
        <v>1</v>
      </c>
      <c r="G346" s="4">
        <f t="shared" si="11"/>
        <v>6.9271000000000003</v>
      </c>
      <c r="H346" s="4">
        <f t="shared" si="12"/>
        <v>-7.9309000000000003</v>
      </c>
      <c r="I346" s="20" t="str">
        <f t="array" ref="I346">IF(ISBLANK(C346),"",IF(C346=MAX(IF(FarmUnit[1. Identifiant interne d’exploitation agricole*]=A346,FarmUnit[3. Superficie de l’unité agricole (ha)*])),"!","-"))</f>
        <v>!</v>
      </c>
      <c r="J346" s="9" t="str">
        <f ca="1">IFERROR(CONCATENATE(VLOOKUP(A346,GM_Table,12,FALSE)," ",(VLOOKUP(A346,GM_Table,13,FALSE))),"")</f>
        <v/>
      </c>
    </row>
    <row r="347" spans="1:10" ht="15" x14ac:dyDescent="0.2">
      <c r="A347" s="190" t="s">
        <v>1729</v>
      </c>
      <c r="B347" s="190" t="s">
        <v>1729</v>
      </c>
      <c r="C347" s="264">
        <v>0.93</v>
      </c>
      <c r="D347" s="265">
        <v>7.0647000000000002</v>
      </c>
      <c r="E347" s="265">
        <v>-8.1158000000000001</v>
      </c>
      <c r="F347" s="122" t="b">
        <f>IF(ISBLANK(FarmUnit[[#This Row],[1. Identifiant interne d’exploitation agricole*]]),"",IF(ISERROR(MATCH(FarmUnit[[#This Row],[1. Identifiant interne d’exploitation agricole*]],GroupMember[1. Identifiant interne d’exploitation agricole*],0)),FALSE,TRUE))</f>
        <v>1</v>
      </c>
      <c r="G347" s="4">
        <f t="shared" si="11"/>
        <v>7.0647000000000002</v>
      </c>
      <c r="H347" s="4">
        <f t="shared" si="12"/>
        <v>-8.1158000000000001</v>
      </c>
      <c r="I347" s="20" t="str">
        <f t="array" ref="I347">IF(ISBLANK(C347),"",IF(C347=MAX(IF(FarmUnit[1. Identifiant interne d’exploitation agricole*]=A347,FarmUnit[3. Superficie de l’unité agricole (ha)*])),"!","-"))</f>
        <v>!</v>
      </c>
      <c r="J347" s="9" t="str">
        <f ca="1">IFERROR(CONCATENATE(VLOOKUP(A347,GM_Table,12,FALSE)," ",(VLOOKUP(A347,GM_Table,13,FALSE))),"")</f>
        <v/>
      </c>
    </row>
    <row r="348" spans="1:10" ht="15" x14ac:dyDescent="0.2">
      <c r="A348" s="190" t="s">
        <v>1731</v>
      </c>
      <c r="B348" s="190" t="s">
        <v>1731</v>
      </c>
      <c r="C348" s="264">
        <v>1.44</v>
      </c>
      <c r="D348" s="265">
        <v>6.9279000000000002</v>
      </c>
      <c r="E348" s="265">
        <v>-7.9329999999999998</v>
      </c>
      <c r="F348" s="122" t="b">
        <f>IF(ISBLANK(FarmUnit[[#This Row],[1. Identifiant interne d’exploitation agricole*]]),"",IF(ISERROR(MATCH(FarmUnit[[#This Row],[1. Identifiant interne d’exploitation agricole*]],GroupMember[1. Identifiant interne d’exploitation agricole*],0)),FALSE,TRUE))</f>
        <v>1</v>
      </c>
      <c r="G348" s="4">
        <f t="shared" si="11"/>
        <v>6.9279000000000002</v>
      </c>
      <c r="H348" s="4">
        <f t="shared" si="12"/>
        <v>-7.9329999999999998</v>
      </c>
      <c r="I348" s="20" t="str">
        <f t="array" ref="I348">IF(ISBLANK(C348),"",IF(C348=MAX(IF(FarmUnit[1. Identifiant interne d’exploitation agricole*]=A348,FarmUnit[3. Superficie de l’unité agricole (ha)*])),"!","-"))</f>
        <v>!</v>
      </c>
      <c r="J348" s="9" t="str">
        <f ca="1">IFERROR(CONCATENATE(VLOOKUP(A348,GM_Table,12,FALSE)," ",(VLOOKUP(A348,GM_Table,13,FALSE))),"")</f>
        <v/>
      </c>
    </row>
    <row r="349" spans="1:10" ht="15" x14ac:dyDescent="0.2">
      <c r="A349" s="190" t="s">
        <v>1734</v>
      </c>
      <c r="B349" s="190" t="s">
        <v>1734</v>
      </c>
      <c r="C349" s="264">
        <v>4.51</v>
      </c>
      <c r="D349" s="265">
        <v>7.0650000000000004</v>
      </c>
      <c r="E349" s="265">
        <v>-8.1164000000000005</v>
      </c>
      <c r="F349" s="122" t="b">
        <f>IF(ISBLANK(FarmUnit[[#This Row],[1. Identifiant interne d’exploitation agricole*]]),"",IF(ISERROR(MATCH(FarmUnit[[#This Row],[1. Identifiant interne d’exploitation agricole*]],GroupMember[1. Identifiant interne d’exploitation agricole*],0)),FALSE,TRUE))</f>
        <v>1</v>
      </c>
      <c r="G349" s="4">
        <f t="shared" si="11"/>
        <v>7.0650000000000004</v>
      </c>
      <c r="H349" s="4">
        <f t="shared" si="12"/>
        <v>-8.1164000000000005</v>
      </c>
      <c r="I349" s="20" t="str">
        <f t="array" ref="I349">IF(ISBLANK(C349),"",IF(C349=MAX(IF(FarmUnit[1. Identifiant interne d’exploitation agricole*]=A349,FarmUnit[3. Superficie de l’unité agricole (ha)*])),"!","-"))</f>
        <v>!</v>
      </c>
      <c r="J349" s="9" t="str">
        <f ca="1">IFERROR(CONCATENATE(VLOOKUP(A349,GM_Table,12,FALSE)," ",(VLOOKUP(A349,GM_Table,13,FALSE))),"")</f>
        <v/>
      </c>
    </row>
    <row r="350" spans="1:10" ht="15" x14ac:dyDescent="0.2">
      <c r="A350" s="190" t="s">
        <v>1738</v>
      </c>
      <c r="B350" s="190" t="s">
        <v>1738</v>
      </c>
      <c r="C350" s="264">
        <v>4.84</v>
      </c>
      <c r="D350" s="265">
        <v>6.9469000000000003</v>
      </c>
      <c r="E350" s="265">
        <v>-7.9379999999999997</v>
      </c>
      <c r="F350" s="122" t="b">
        <f>IF(ISBLANK(FarmUnit[[#This Row],[1. Identifiant interne d’exploitation agricole*]]),"",IF(ISERROR(MATCH(FarmUnit[[#This Row],[1. Identifiant interne d’exploitation agricole*]],GroupMember[1. Identifiant interne d’exploitation agricole*],0)),FALSE,TRUE))</f>
        <v>1</v>
      </c>
      <c r="G350" s="4">
        <f t="shared" si="11"/>
        <v>6.9469000000000003</v>
      </c>
      <c r="H350" s="4">
        <f t="shared" si="12"/>
        <v>-7.9379999999999997</v>
      </c>
      <c r="I350" s="20" t="str">
        <f t="array" ref="I350">IF(ISBLANK(C350),"",IF(C350=MAX(IF(FarmUnit[1. Identifiant interne d’exploitation agricole*]=A350,FarmUnit[3. Superficie de l’unité agricole (ha)*])),"!","-"))</f>
        <v>!</v>
      </c>
      <c r="J350" s="9" t="str">
        <f ca="1">IFERROR(CONCATENATE(VLOOKUP(A350,GM_Table,12,FALSE)," ",(VLOOKUP(A350,GM_Table,13,FALSE))),"")</f>
        <v/>
      </c>
    </row>
    <row r="351" spans="1:10" ht="15" x14ac:dyDescent="0.2">
      <c r="A351" s="190" t="s">
        <v>1742</v>
      </c>
      <c r="B351" s="190" t="s">
        <v>1742</v>
      </c>
      <c r="C351" s="264">
        <v>1.93</v>
      </c>
      <c r="D351" s="265">
        <v>6.9225000000000003</v>
      </c>
      <c r="E351" s="265">
        <v>-7.9321999999999999</v>
      </c>
      <c r="F351" s="122" t="b">
        <f>IF(ISBLANK(FarmUnit[[#This Row],[1. Identifiant interne d’exploitation agricole*]]),"",IF(ISERROR(MATCH(FarmUnit[[#This Row],[1. Identifiant interne d’exploitation agricole*]],GroupMember[1. Identifiant interne d’exploitation agricole*],0)),FALSE,TRUE))</f>
        <v>1</v>
      </c>
      <c r="G351" s="4">
        <f t="shared" si="11"/>
        <v>6.9225000000000003</v>
      </c>
      <c r="H351" s="4">
        <f t="shared" si="12"/>
        <v>-7.9321999999999999</v>
      </c>
      <c r="I351" s="20" t="str">
        <f t="array" ref="I351">IF(ISBLANK(C351),"",IF(C351=MAX(IF(FarmUnit[1. Identifiant interne d’exploitation agricole*]=A351,FarmUnit[3. Superficie de l’unité agricole (ha)*])),"!","-"))</f>
        <v>!</v>
      </c>
      <c r="J351" s="9" t="str">
        <f ca="1">IFERROR(CONCATENATE(VLOOKUP(A351,GM_Table,12,FALSE)," ",(VLOOKUP(A351,GM_Table,13,FALSE))),"")</f>
        <v/>
      </c>
    </row>
    <row r="352" spans="1:10" ht="15" x14ac:dyDescent="0.2">
      <c r="A352" s="190" t="s">
        <v>1745</v>
      </c>
      <c r="B352" s="190" t="s">
        <v>1745</v>
      </c>
      <c r="C352" s="6">
        <v>1.23</v>
      </c>
      <c r="D352" s="265">
        <v>7.1325000000000003</v>
      </c>
      <c r="E352" s="265">
        <v>-8.1740999999999993</v>
      </c>
      <c r="F352" s="122" t="b">
        <f>IF(ISBLANK(FarmUnit[[#This Row],[1. Identifiant interne d’exploitation agricole*]]),"",IF(ISERROR(MATCH(FarmUnit[[#This Row],[1. Identifiant interne d’exploitation agricole*]],GroupMember[1. Identifiant interne d’exploitation agricole*],0)),FALSE,TRUE))</f>
        <v>1</v>
      </c>
      <c r="G352" s="4">
        <f t="shared" si="11"/>
        <v>7.1325000000000003</v>
      </c>
      <c r="H352" s="4">
        <f t="shared" si="12"/>
        <v>-8.1740999999999993</v>
      </c>
      <c r="I352" s="20" t="str">
        <f t="array" ref="I352">IF(ISBLANK(C352),"",IF(C352=MAX(IF(FarmUnit[1. Identifiant interne d’exploitation agricole*]=A352,FarmUnit[3. Superficie de l’unité agricole (ha)*])),"!","-"))</f>
        <v>!</v>
      </c>
      <c r="J352" s="9" t="str">
        <f ca="1">IFERROR(CONCATENATE(VLOOKUP(A352,GM_Table,12,FALSE)," ",(VLOOKUP(A352,GM_Table,13,FALSE))),"")</f>
        <v/>
      </c>
    </row>
    <row r="353" spans="1:10" ht="15" x14ac:dyDescent="0.2">
      <c r="A353" s="190" t="s">
        <v>1746</v>
      </c>
      <c r="B353" s="190" t="s">
        <v>1746</v>
      </c>
      <c r="C353" s="264">
        <v>2.54</v>
      </c>
      <c r="D353" s="265">
        <v>6.9432</v>
      </c>
      <c r="E353" s="265">
        <v>-7.9273999999999996</v>
      </c>
      <c r="F353" s="122" t="b">
        <f>IF(ISBLANK(FarmUnit[[#This Row],[1. Identifiant interne d’exploitation agricole*]]),"",IF(ISERROR(MATCH(FarmUnit[[#This Row],[1. Identifiant interne d’exploitation agricole*]],GroupMember[1. Identifiant interne d’exploitation agricole*],0)),FALSE,TRUE))</f>
        <v>1</v>
      </c>
      <c r="G353" s="4">
        <f t="shared" si="11"/>
        <v>6.9432</v>
      </c>
      <c r="H353" s="4">
        <f t="shared" si="12"/>
        <v>-7.9273999999999996</v>
      </c>
      <c r="I353" s="20" t="str">
        <f t="array" ref="I353">IF(ISBLANK(C353),"",IF(C353=MAX(IF(FarmUnit[1. Identifiant interne d’exploitation agricole*]=A353,FarmUnit[3. Superficie de l’unité agricole (ha)*])),"!","-"))</f>
        <v>!</v>
      </c>
      <c r="J353" s="9" t="str">
        <f ca="1">IFERROR(CONCATENATE(VLOOKUP(A353,GM_Table,12,FALSE)," ",(VLOOKUP(A353,GM_Table,13,FALSE))),"")</f>
        <v/>
      </c>
    </row>
    <row r="354" spans="1:10" ht="15" x14ac:dyDescent="0.2">
      <c r="A354" s="190" t="s">
        <v>1750</v>
      </c>
      <c r="B354" s="190" t="s">
        <v>1750</v>
      </c>
      <c r="C354" s="264">
        <v>1.1100000000000001</v>
      </c>
      <c r="D354" s="265">
        <v>6.9419000000000004</v>
      </c>
      <c r="E354" s="265">
        <v>-7.9042000000000003</v>
      </c>
      <c r="F354" s="122" t="b">
        <f>IF(ISBLANK(FarmUnit[[#This Row],[1. Identifiant interne d’exploitation agricole*]]),"",IF(ISERROR(MATCH(FarmUnit[[#This Row],[1. Identifiant interne d’exploitation agricole*]],GroupMember[1. Identifiant interne d’exploitation agricole*],0)),FALSE,TRUE))</f>
        <v>1</v>
      </c>
      <c r="G354" s="4">
        <f t="shared" si="11"/>
        <v>6.9419000000000004</v>
      </c>
      <c r="H354" s="4">
        <f t="shared" si="12"/>
        <v>-7.9042000000000003</v>
      </c>
      <c r="I354" s="20" t="str">
        <f t="array" ref="I354">IF(ISBLANK(C354),"",IF(C354=MAX(IF(FarmUnit[1. Identifiant interne d’exploitation agricole*]=A354,FarmUnit[3. Superficie de l’unité agricole (ha)*])),"!","-"))</f>
        <v>!</v>
      </c>
      <c r="J354" s="9" t="str">
        <f ca="1">IFERROR(CONCATENATE(VLOOKUP(A354,GM_Table,12,FALSE)," ",(VLOOKUP(A354,GM_Table,13,FALSE))),"")</f>
        <v/>
      </c>
    </row>
    <row r="355" spans="1:10" ht="15" x14ac:dyDescent="0.2">
      <c r="A355" s="190" t="s">
        <v>1753</v>
      </c>
      <c r="B355" s="190" t="s">
        <v>1753</v>
      </c>
      <c r="C355" s="264">
        <v>1.06</v>
      </c>
      <c r="D355" s="265">
        <v>6.9538000000000002</v>
      </c>
      <c r="E355" s="265">
        <v>-7.9390999999999998</v>
      </c>
      <c r="F355" s="122" t="b">
        <f>IF(ISBLANK(FarmUnit[[#This Row],[1. Identifiant interne d’exploitation agricole*]]),"",IF(ISERROR(MATCH(FarmUnit[[#This Row],[1. Identifiant interne d’exploitation agricole*]],GroupMember[1. Identifiant interne d’exploitation agricole*],0)),FALSE,TRUE))</f>
        <v>1</v>
      </c>
      <c r="G355" s="4">
        <f t="shared" si="11"/>
        <v>6.9538000000000002</v>
      </c>
      <c r="H355" s="4">
        <f t="shared" si="12"/>
        <v>-7.9390999999999998</v>
      </c>
      <c r="I355" s="20" t="str">
        <f t="array" ref="I355">IF(ISBLANK(C355),"",IF(C355=MAX(IF(FarmUnit[1. Identifiant interne d’exploitation agricole*]=A355,FarmUnit[3. Superficie de l’unité agricole (ha)*])),"!","-"))</f>
        <v>!</v>
      </c>
      <c r="J355" s="9" t="str">
        <f ca="1">IFERROR(CONCATENATE(VLOOKUP(A355,GM_Table,12,FALSE)," ",(VLOOKUP(A355,GM_Table,13,FALSE))),"")</f>
        <v/>
      </c>
    </row>
    <row r="356" spans="1:10" ht="15" x14ac:dyDescent="0.2">
      <c r="A356" s="190" t="s">
        <v>1756</v>
      </c>
      <c r="B356" s="190" t="s">
        <v>1756</v>
      </c>
      <c r="C356" s="264">
        <v>1.79</v>
      </c>
      <c r="D356" s="265">
        <v>7.1153000000000004</v>
      </c>
      <c r="E356" s="265">
        <v>-8.0769000000000002</v>
      </c>
      <c r="F356" s="122" t="b">
        <f>IF(ISBLANK(FarmUnit[[#This Row],[1. Identifiant interne d’exploitation agricole*]]),"",IF(ISERROR(MATCH(FarmUnit[[#This Row],[1. Identifiant interne d’exploitation agricole*]],GroupMember[1. Identifiant interne d’exploitation agricole*],0)),FALSE,TRUE))</f>
        <v>1</v>
      </c>
      <c r="G356" s="4">
        <f t="shared" si="11"/>
        <v>7.1153000000000004</v>
      </c>
      <c r="H356" s="4">
        <f t="shared" si="12"/>
        <v>-8.0769000000000002</v>
      </c>
      <c r="I356" s="20" t="str">
        <f t="array" ref="I356">IF(ISBLANK(C356),"",IF(C356=MAX(IF(FarmUnit[1. Identifiant interne d’exploitation agricole*]=A356,FarmUnit[3. Superficie de l’unité agricole (ha)*])),"!","-"))</f>
        <v>!</v>
      </c>
      <c r="J356" s="9" t="str">
        <f ca="1">IFERROR(CONCATENATE(VLOOKUP(A356,GM_Table,12,FALSE)," ",(VLOOKUP(A356,GM_Table,13,FALSE))),"")</f>
        <v/>
      </c>
    </row>
    <row r="357" spans="1:10" ht="15" x14ac:dyDescent="0.2">
      <c r="A357" s="190" t="s">
        <v>1759</v>
      </c>
      <c r="B357" s="190" t="s">
        <v>1759</v>
      </c>
      <c r="C357" s="264">
        <v>1.51</v>
      </c>
      <c r="D357" s="265">
        <v>7.0785999999999998</v>
      </c>
      <c r="E357" s="265">
        <v>-8.0368999999999993</v>
      </c>
      <c r="F357" s="122" t="b">
        <f>IF(ISBLANK(FarmUnit[[#This Row],[1. Identifiant interne d’exploitation agricole*]]),"",IF(ISERROR(MATCH(FarmUnit[[#This Row],[1. Identifiant interne d’exploitation agricole*]],GroupMember[1. Identifiant interne d’exploitation agricole*],0)),FALSE,TRUE))</f>
        <v>1</v>
      </c>
      <c r="G357" s="4">
        <f t="shared" si="11"/>
        <v>7.0785999999999998</v>
      </c>
      <c r="H357" s="4">
        <f t="shared" si="12"/>
        <v>-8.0368999999999993</v>
      </c>
      <c r="I357" s="20" t="str">
        <f t="array" ref="I357">IF(ISBLANK(C357),"",IF(C357=MAX(IF(FarmUnit[1. Identifiant interne d’exploitation agricole*]=A357,FarmUnit[3. Superficie de l’unité agricole (ha)*])),"!","-"))</f>
        <v>!</v>
      </c>
      <c r="J357" s="9" t="str">
        <f ca="1">IFERROR(CONCATENATE(VLOOKUP(A357,GM_Table,12,FALSE)," ",(VLOOKUP(A357,GM_Table,13,FALSE))),"")</f>
        <v/>
      </c>
    </row>
    <row r="358" spans="1:10" ht="15" x14ac:dyDescent="0.2">
      <c r="A358" s="190" t="s">
        <v>1762</v>
      </c>
      <c r="B358" s="190" t="s">
        <v>1762</v>
      </c>
      <c r="C358" s="264">
        <v>0.86</v>
      </c>
      <c r="D358" s="265">
        <v>7.0101000000000004</v>
      </c>
      <c r="E358" s="265">
        <v>-8.1435999999999993</v>
      </c>
      <c r="F358" s="122" t="b">
        <f>IF(ISBLANK(FarmUnit[[#This Row],[1. Identifiant interne d’exploitation agricole*]]),"",IF(ISERROR(MATCH(FarmUnit[[#This Row],[1. Identifiant interne d’exploitation agricole*]],GroupMember[1. Identifiant interne d’exploitation agricole*],0)),FALSE,TRUE))</f>
        <v>1</v>
      </c>
      <c r="G358" s="4">
        <f t="shared" si="11"/>
        <v>7.0101000000000004</v>
      </c>
      <c r="H358" s="4">
        <f t="shared" si="12"/>
        <v>-8.1435999999999993</v>
      </c>
      <c r="I358" s="20" t="str">
        <f t="array" ref="I358">IF(ISBLANK(C358),"",IF(C358=MAX(IF(FarmUnit[1. Identifiant interne d’exploitation agricole*]=A358,FarmUnit[3. Superficie de l’unité agricole (ha)*])),"!","-"))</f>
        <v>!</v>
      </c>
      <c r="J358" s="9" t="str">
        <f ca="1">IFERROR(CONCATENATE(VLOOKUP(A358,GM_Table,12,FALSE)," ",(VLOOKUP(A358,GM_Table,13,FALSE))),"")</f>
        <v/>
      </c>
    </row>
    <row r="359" spans="1:10" ht="15" x14ac:dyDescent="0.2">
      <c r="A359" s="190" t="s">
        <v>1764</v>
      </c>
      <c r="B359" s="190" t="s">
        <v>1764</v>
      </c>
      <c r="C359" s="264">
        <v>3.49</v>
      </c>
      <c r="D359" s="265">
        <v>6.9718999999999998</v>
      </c>
      <c r="E359" s="265">
        <v>-8.0685000000000002</v>
      </c>
      <c r="F359" s="122" t="b">
        <f>IF(ISBLANK(FarmUnit[[#This Row],[1. Identifiant interne d’exploitation agricole*]]),"",IF(ISERROR(MATCH(FarmUnit[[#This Row],[1. Identifiant interne d’exploitation agricole*]],GroupMember[1. Identifiant interne d’exploitation agricole*],0)),FALSE,TRUE))</f>
        <v>1</v>
      </c>
      <c r="G359" s="4">
        <f t="shared" si="11"/>
        <v>6.9718999999999998</v>
      </c>
      <c r="H359" s="4">
        <f t="shared" si="12"/>
        <v>-8.0685000000000002</v>
      </c>
      <c r="I359" s="20" t="str">
        <f t="array" ref="I359">IF(ISBLANK(C359),"",IF(C359=MAX(IF(FarmUnit[1. Identifiant interne d’exploitation agricole*]=A359,FarmUnit[3. Superficie de l’unité agricole (ha)*])),"!","-"))</f>
        <v>!</v>
      </c>
      <c r="J359" s="9" t="str">
        <f ca="1">IFERROR(CONCATENATE(VLOOKUP(A359,GM_Table,12,FALSE)," ",(VLOOKUP(A359,GM_Table,13,FALSE))),"")</f>
        <v/>
      </c>
    </row>
    <row r="360" spans="1:10" ht="15" x14ac:dyDescent="0.2">
      <c r="A360" s="190" t="s">
        <v>1768</v>
      </c>
      <c r="B360" s="190" t="s">
        <v>1768</v>
      </c>
      <c r="C360" s="264">
        <v>1.26</v>
      </c>
      <c r="D360" s="265">
        <v>6.9363000000000001</v>
      </c>
      <c r="E360" s="265">
        <v>-7.9406999999999996</v>
      </c>
      <c r="F360" s="122" t="b">
        <f>IF(ISBLANK(FarmUnit[[#This Row],[1. Identifiant interne d’exploitation agricole*]]),"",IF(ISERROR(MATCH(FarmUnit[[#This Row],[1. Identifiant interne d’exploitation agricole*]],GroupMember[1. Identifiant interne d’exploitation agricole*],0)),FALSE,TRUE))</f>
        <v>1</v>
      </c>
      <c r="G360" s="4">
        <f t="shared" si="11"/>
        <v>6.9363000000000001</v>
      </c>
      <c r="H360" s="4">
        <f t="shared" si="12"/>
        <v>-7.9406999999999996</v>
      </c>
      <c r="I360" s="20" t="str">
        <f t="array" ref="I360">IF(ISBLANK(C360),"",IF(C360=MAX(IF(FarmUnit[1. Identifiant interne d’exploitation agricole*]=A360,FarmUnit[3. Superficie de l’unité agricole (ha)*])),"!","-"))</f>
        <v>!</v>
      </c>
      <c r="J360" s="9" t="str">
        <f ca="1">IFERROR(CONCATENATE(VLOOKUP(A360,GM_Table,12,FALSE)," ",(VLOOKUP(A360,GM_Table,13,FALSE))),"")</f>
        <v/>
      </c>
    </row>
    <row r="361" spans="1:10" ht="15" x14ac:dyDescent="0.2">
      <c r="A361" s="190" t="s">
        <v>1770</v>
      </c>
      <c r="B361" s="190" t="s">
        <v>1770</v>
      </c>
      <c r="C361" s="264">
        <v>3.35</v>
      </c>
      <c r="D361" s="265">
        <v>7.0632999999999999</v>
      </c>
      <c r="E361" s="265">
        <v>-8.1583000000000006</v>
      </c>
      <c r="F361" s="122" t="b">
        <f>IF(ISBLANK(FarmUnit[[#This Row],[1. Identifiant interne d’exploitation agricole*]]),"",IF(ISERROR(MATCH(FarmUnit[[#This Row],[1. Identifiant interne d’exploitation agricole*]],GroupMember[1. Identifiant interne d’exploitation agricole*],0)),FALSE,TRUE))</f>
        <v>1</v>
      </c>
      <c r="G361" s="4">
        <f t="shared" si="11"/>
        <v>7.0632999999999999</v>
      </c>
      <c r="H361" s="4">
        <f t="shared" si="12"/>
        <v>-8.1583000000000006</v>
      </c>
      <c r="I361" s="20" t="str">
        <f t="array" ref="I361">IF(ISBLANK(C361),"",IF(C361=MAX(IF(FarmUnit[1. Identifiant interne d’exploitation agricole*]=A361,FarmUnit[3. Superficie de l’unité agricole (ha)*])),"!","-"))</f>
        <v>!</v>
      </c>
      <c r="J361" s="9" t="str">
        <f ca="1">IFERROR(CONCATENATE(VLOOKUP(A361,GM_Table,12,FALSE)," ",(VLOOKUP(A361,GM_Table,13,FALSE))),"")</f>
        <v/>
      </c>
    </row>
    <row r="362" spans="1:10" ht="15" x14ac:dyDescent="0.2">
      <c r="A362" s="190" t="s">
        <v>1772</v>
      </c>
      <c r="B362" s="190" t="s">
        <v>1772</v>
      </c>
      <c r="C362" s="264">
        <v>1.05</v>
      </c>
      <c r="D362" s="265">
        <v>6.9531999999999998</v>
      </c>
      <c r="E362" s="265">
        <v>-7.9372999999999996</v>
      </c>
      <c r="F362" s="122" t="b">
        <f>IF(ISBLANK(FarmUnit[[#This Row],[1. Identifiant interne d’exploitation agricole*]]),"",IF(ISERROR(MATCH(FarmUnit[[#This Row],[1. Identifiant interne d’exploitation agricole*]],GroupMember[1. Identifiant interne d’exploitation agricole*],0)),FALSE,TRUE))</f>
        <v>1</v>
      </c>
      <c r="G362" s="4">
        <f t="shared" si="11"/>
        <v>6.9531999999999998</v>
      </c>
      <c r="H362" s="4">
        <f t="shared" si="12"/>
        <v>-7.9372999999999996</v>
      </c>
      <c r="I362" s="20" t="str">
        <f t="array" ref="I362">IF(ISBLANK(C362),"",IF(C362=MAX(IF(FarmUnit[1. Identifiant interne d’exploitation agricole*]=A362,FarmUnit[3. Superficie de l’unité agricole (ha)*])),"!","-"))</f>
        <v>!</v>
      </c>
      <c r="J362" s="9" t="str">
        <f ca="1">IFERROR(CONCATENATE(VLOOKUP(A362,GM_Table,12,FALSE)," ",(VLOOKUP(A362,GM_Table,13,FALSE))),"")</f>
        <v/>
      </c>
    </row>
    <row r="363" spans="1:10" ht="15" x14ac:dyDescent="0.2">
      <c r="A363" s="190" t="s">
        <v>1776</v>
      </c>
      <c r="B363" s="190" t="s">
        <v>1776</v>
      </c>
      <c r="C363" s="264">
        <v>3.58</v>
      </c>
      <c r="D363" s="265">
        <v>7.1942000000000004</v>
      </c>
      <c r="E363" s="265">
        <v>-7.9431000000000003</v>
      </c>
      <c r="F363" s="122" t="b">
        <f>IF(ISBLANK(FarmUnit[[#This Row],[1. Identifiant interne d’exploitation agricole*]]),"",IF(ISERROR(MATCH(FarmUnit[[#This Row],[1. Identifiant interne d’exploitation agricole*]],GroupMember[1. Identifiant interne d’exploitation agricole*],0)),FALSE,TRUE))</f>
        <v>1</v>
      </c>
      <c r="G363" s="4">
        <f t="shared" si="11"/>
        <v>7.1942000000000004</v>
      </c>
      <c r="H363" s="4">
        <f t="shared" si="12"/>
        <v>-7.9431000000000003</v>
      </c>
      <c r="I363" s="20" t="str">
        <f t="array" ref="I363">IF(ISBLANK(C363),"",IF(C363=MAX(IF(FarmUnit[1. Identifiant interne d’exploitation agricole*]=A363,FarmUnit[3. Superficie de l’unité agricole (ha)*])),"!","-"))</f>
        <v>!</v>
      </c>
      <c r="J363" s="9" t="str">
        <f ca="1">IFERROR(CONCATENATE(VLOOKUP(A363,GM_Table,12,FALSE)," ",(VLOOKUP(A363,GM_Table,13,FALSE))),"")</f>
        <v/>
      </c>
    </row>
    <row r="364" spans="1:10" ht="15" x14ac:dyDescent="0.2">
      <c r="A364" s="190" t="s">
        <v>1779</v>
      </c>
      <c r="B364" s="190" t="s">
        <v>1779</v>
      </c>
      <c r="C364" s="264">
        <v>5</v>
      </c>
      <c r="D364" s="267">
        <v>6.9390000000000001</v>
      </c>
      <c r="E364" s="267">
        <v>-7.9458000000000002</v>
      </c>
      <c r="F364" s="122" t="b">
        <f>IF(ISBLANK(FarmUnit[[#This Row],[1. Identifiant interne d’exploitation agricole*]]),"",IF(ISERROR(MATCH(FarmUnit[[#This Row],[1. Identifiant interne d’exploitation agricole*]],GroupMember[1. Identifiant interne d’exploitation agricole*],0)),FALSE,TRUE))</f>
        <v>1</v>
      </c>
      <c r="G364" s="4">
        <f t="shared" si="11"/>
        <v>6.9390000000000001</v>
      </c>
      <c r="H364" s="4">
        <f t="shared" si="12"/>
        <v>-7.9458000000000002</v>
      </c>
      <c r="I364" s="20" t="str">
        <f t="array" ref="I364">IF(ISBLANK(C364),"",IF(C364=MAX(IF(FarmUnit[1. Identifiant interne d’exploitation agricole*]=A364,FarmUnit[3. Superficie de l’unité agricole (ha)*])),"!","-"))</f>
        <v>!</v>
      </c>
      <c r="J364" s="9" t="str">
        <f ca="1">IFERROR(CONCATENATE(VLOOKUP(A364,GM_Table,12,FALSE)," ",(VLOOKUP(A364,GM_Table,13,FALSE))),"")</f>
        <v/>
      </c>
    </row>
    <row r="365" spans="1:10" ht="15" x14ac:dyDescent="0.2">
      <c r="A365" s="190" t="s">
        <v>1780</v>
      </c>
      <c r="B365" s="190" t="s">
        <v>1780</v>
      </c>
      <c r="C365" s="264">
        <v>2.59</v>
      </c>
      <c r="D365" s="265">
        <v>7.0618999999999996</v>
      </c>
      <c r="E365" s="265">
        <v>-8.1583000000000006</v>
      </c>
      <c r="F365" s="122" t="b">
        <f>IF(ISBLANK(FarmUnit[[#This Row],[1. Identifiant interne d’exploitation agricole*]]),"",IF(ISERROR(MATCH(FarmUnit[[#This Row],[1. Identifiant interne d’exploitation agricole*]],GroupMember[1. Identifiant interne d’exploitation agricole*],0)),FALSE,TRUE))</f>
        <v>1</v>
      </c>
      <c r="G365" s="4">
        <f t="shared" si="11"/>
        <v>7.0618999999999996</v>
      </c>
      <c r="H365" s="4">
        <f t="shared" si="12"/>
        <v>-8.1583000000000006</v>
      </c>
      <c r="I365" s="20" t="str">
        <f t="array" ref="I365">IF(ISBLANK(C365),"",IF(C365=MAX(IF(FarmUnit[1. Identifiant interne d’exploitation agricole*]=A365,FarmUnit[3. Superficie de l’unité agricole (ha)*])),"!","-"))</f>
        <v>!</v>
      </c>
      <c r="J365" s="9" t="str">
        <f ca="1">IFERROR(CONCATENATE(VLOOKUP(A365,GM_Table,12,FALSE)," ",(VLOOKUP(A365,GM_Table,13,FALSE))),"")</f>
        <v/>
      </c>
    </row>
    <row r="366" spans="1:10" ht="15" x14ac:dyDescent="0.2">
      <c r="A366" s="190" t="s">
        <v>1784</v>
      </c>
      <c r="B366" s="190" t="s">
        <v>1784</v>
      </c>
      <c r="C366" s="264">
        <v>4.71</v>
      </c>
      <c r="D366" s="265">
        <v>6.9227999999999996</v>
      </c>
      <c r="E366" s="265">
        <v>-7.9039999999999999</v>
      </c>
      <c r="F366" s="122" t="b">
        <f>IF(ISBLANK(FarmUnit[[#This Row],[1. Identifiant interne d’exploitation agricole*]]),"",IF(ISERROR(MATCH(FarmUnit[[#This Row],[1. Identifiant interne d’exploitation agricole*]],GroupMember[1. Identifiant interne d’exploitation agricole*],0)),FALSE,TRUE))</f>
        <v>1</v>
      </c>
      <c r="G366" s="4">
        <f t="shared" si="11"/>
        <v>6.9227999999999996</v>
      </c>
      <c r="H366" s="4">
        <f t="shared" si="12"/>
        <v>-7.9039999999999999</v>
      </c>
      <c r="I366" s="20" t="str">
        <f t="array" ref="I366">IF(ISBLANK(C366),"",IF(C366=MAX(IF(FarmUnit[1. Identifiant interne d’exploitation agricole*]=A366,FarmUnit[3. Superficie de l’unité agricole (ha)*])),"!","-"))</f>
        <v>!</v>
      </c>
      <c r="J366" s="9" t="str">
        <f ca="1">IFERROR(CONCATENATE(VLOOKUP(A366,GM_Table,12,FALSE)," ",(VLOOKUP(A366,GM_Table,13,FALSE))),"")</f>
        <v/>
      </c>
    </row>
    <row r="367" spans="1:10" ht="15" x14ac:dyDescent="0.2">
      <c r="A367" s="190" t="s">
        <v>1786</v>
      </c>
      <c r="B367" s="190" t="s">
        <v>1786</v>
      </c>
      <c r="C367" s="264">
        <v>5.21</v>
      </c>
      <c r="D367" s="265">
        <v>6.9428000000000001</v>
      </c>
      <c r="E367" s="265">
        <v>-8.1925000000000008</v>
      </c>
      <c r="F367" s="122" t="b">
        <f>IF(ISBLANK(FarmUnit[[#This Row],[1. Identifiant interne d’exploitation agricole*]]),"",IF(ISERROR(MATCH(FarmUnit[[#This Row],[1. Identifiant interne d’exploitation agricole*]],GroupMember[1. Identifiant interne d’exploitation agricole*],0)),FALSE,TRUE))</f>
        <v>1</v>
      </c>
      <c r="G367" s="4">
        <f t="shared" si="11"/>
        <v>6.9428000000000001</v>
      </c>
      <c r="H367" s="4">
        <f t="shared" si="12"/>
        <v>-8.1925000000000008</v>
      </c>
      <c r="I367" s="20" t="str">
        <f t="array" ref="I367">IF(ISBLANK(C367),"",IF(C367=MAX(IF(FarmUnit[1. Identifiant interne d’exploitation agricole*]=A367,FarmUnit[3. Superficie de l’unité agricole (ha)*])),"!","-"))</f>
        <v>!</v>
      </c>
      <c r="J367" s="9" t="str">
        <f ca="1">IFERROR(CONCATENATE(VLOOKUP(A367,GM_Table,12,FALSE)," ",(VLOOKUP(A367,GM_Table,13,FALSE))),"")</f>
        <v/>
      </c>
    </row>
    <row r="368" spans="1:10" ht="15" x14ac:dyDescent="0.2">
      <c r="A368" s="190" t="s">
        <v>1788</v>
      </c>
      <c r="B368" s="190" t="s">
        <v>1788</v>
      </c>
      <c r="C368" s="264">
        <v>1.74</v>
      </c>
      <c r="D368" s="265">
        <v>6.9991000000000003</v>
      </c>
      <c r="E368" s="265">
        <v>-8.1072000000000006</v>
      </c>
      <c r="F368" s="122" t="b">
        <f>IF(ISBLANK(FarmUnit[[#This Row],[1. Identifiant interne d’exploitation agricole*]]),"",IF(ISERROR(MATCH(FarmUnit[[#This Row],[1. Identifiant interne d’exploitation agricole*]],GroupMember[1. Identifiant interne d’exploitation agricole*],0)),FALSE,TRUE))</f>
        <v>1</v>
      </c>
      <c r="G368" s="4">
        <f t="shared" si="11"/>
        <v>6.9991000000000003</v>
      </c>
      <c r="H368" s="4">
        <f t="shared" si="12"/>
        <v>-8.1072000000000006</v>
      </c>
      <c r="I368" s="20" t="str">
        <f t="array" ref="I368">IF(ISBLANK(C368),"",IF(C368=MAX(IF(FarmUnit[1. Identifiant interne d’exploitation agricole*]=A368,FarmUnit[3. Superficie de l’unité agricole (ha)*])),"!","-"))</f>
        <v>!</v>
      </c>
      <c r="J368" s="9" t="str">
        <f ca="1">IFERROR(CONCATENATE(VLOOKUP(A368,GM_Table,12,FALSE)," ",(VLOOKUP(A368,GM_Table,13,FALSE))),"")</f>
        <v/>
      </c>
    </row>
    <row r="369" spans="1:10" ht="15" x14ac:dyDescent="0.2">
      <c r="A369" s="190" t="s">
        <v>1792</v>
      </c>
      <c r="B369" s="190" t="s">
        <v>1792</v>
      </c>
      <c r="C369" s="264">
        <v>1.24</v>
      </c>
      <c r="D369" s="265">
        <v>7.0130999999999997</v>
      </c>
      <c r="E369" s="265">
        <v>-8.1856000000000009</v>
      </c>
      <c r="F369" s="122" t="b">
        <f>IF(ISBLANK(FarmUnit[[#This Row],[1. Identifiant interne d’exploitation agricole*]]),"",IF(ISERROR(MATCH(FarmUnit[[#This Row],[1. Identifiant interne d’exploitation agricole*]],GroupMember[1. Identifiant interne d’exploitation agricole*],0)),FALSE,TRUE))</f>
        <v>1</v>
      </c>
      <c r="G369" s="4">
        <f t="shared" si="11"/>
        <v>7.0130999999999997</v>
      </c>
      <c r="H369" s="4">
        <f t="shared" si="12"/>
        <v>-8.1856000000000009</v>
      </c>
      <c r="I369" s="20" t="str">
        <f t="array" ref="I369">IF(ISBLANK(C369),"",IF(C369=MAX(IF(FarmUnit[1. Identifiant interne d’exploitation agricole*]=A369,FarmUnit[3. Superficie de l’unité agricole (ha)*])),"!","-"))</f>
        <v>!</v>
      </c>
      <c r="J369" s="9" t="str">
        <f ca="1">IFERROR(CONCATENATE(VLOOKUP(A369,GM_Table,12,FALSE)," ",(VLOOKUP(A369,GM_Table,13,FALSE))),"")</f>
        <v/>
      </c>
    </row>
    <row r="370" spans="1:10" ht="15" x14ac:dyDescent="0.2">
      <c r="A370" s="190" t="s">
        <v>1796</v>
      </c>
      <c r="B370" s="190" t="s">
        <v>1796</v>
      </c>
      <c r="C370" s="264">
        <v>1.65</v>
      </c>
      <c r="D370" s="265">
        <v>7.0339</v>
      </c>
      <c r="E370" s="265">
        <v>-8.1913999999999998</v>
      </c>
      <c r="F370" s="122" t="b">
        <f>IF(ISBLANK(FarmUnit[[#This Row],[1. Identifiant interne d’exploitation agricole*]]),"",IF(ISERROR(MATCH(FarmUnit[[#This Row],[1. Identifiant interne d’exploitation agricole*]],GroupMember[1. Identifiant interne d’exploitation agricole*],0)),FALSE,TRUE))</f>
        <v>1</v>
      </c>
      <c r="G370" s="4">
        <f t="shared" si="11"/>
        <v>7.0339</v>
      </c>
      <c r="H370" s="4">
        <f t="shared" si="12"/>
        <v>-8.1913999999999998</v>
      </c>
      <c r="I370" s="20" t="str">
        <f t="array" ref="I370">IF(ISBLANK(C370),"",IF(C370=MAX(IF(FarmUnit[1. Identifiant interne d’exploitation agricole*]=A370,FarmUnit[3. Superficie de l’unité agricole (ha)*])),"!","-"))</f>
        <v>!</v>
      </c>
      <c r="J370" s="9" t="str">
        <f ca="1">IFERROR(CONCATENATE(VLOOKUP(A370,GM_Table,12,FALSE)," ",(VLOOKUP(A370,GM_Table,13,FALSE))),"")</f>
        <v/>
      </c>
    </row>
    <row r="371" spans="1:10" ht="15" x14ac:dyDescent="0.2">
      <c r="A371" s="190" t="s">
        <v>1799</v>
      </c>
      <c r="B371" s="190" t="s">
        <v>1799</v>
      </c>
      <c r="C371" s="264">
        <v>2.95</v>
      </c>
      <c r="D371" s="265">
        <v>7.0324999999999998</v>
      </c>
      <c r="E371" s="265">
        <v>-7.9375</v>
      </c>
      <c r="F371" s="122" t="b">
        <f>IF(ISBLANK(FarmUnit[[#This Row],[1. Identifiant interne d’exploitation agricole*]]),"",IF(ISERROR(MATCH(FarmUnit[[#This Row],[1. Identifiant interne d’exploitation agricole*]],GroupMember[1. Identifiant interne d’exploitation agricole*],0)),FALSE,TRUE))</f>
        <v>1</v>
      </c>
      <c r="G371" s="4">
        <f t="shared" ref="G371:G434" si="13">IF(D371=0,"",D371)</f>
        <v>7.0324999999999998</v>
      </c>
      <c r="H371" s="4">
        <f t="shared" ref="H371:H434" si="14">IF(E371=0,"",E371)</f>
        <v>-7.9375</v>
      </c>
      <c r="I371" s="20" t="str">
        <f t="array" ref="I371">IF(ISBLANK(C371),"",IF(C371=MAX(IF(FarmUnit[1. Identifiant interne d’exploitation agricole*]=A371,FarmUnit[3. Superficie de l’unité agricole (ha)*])),"!","-"))</f>
        <v>!</v>
      </c>
      <c r="J371" s="9" t="str">
        <f ca="1">IFERROR(CONCATENATE(VLOOKUP(A371,GM_Table,12,FALSE)," ",(VLOOKUP(A371,GM_Table,13,FALSE))),"")</f>
        <v/>
      </c>
    </row>
    <row r="372" spans="1:10" ht="15" x14ac:dyDescent="0.2">
      <c r="A372" s="190" t="s">
        <v>1802</v>
      </c>
      <c r="B372" s="190" t="s">
        <v>1802</v>
      </c>
      <c r="C372" s="264">
        <v>1.51</v>
      </c>
      <c r="D372" s="265">
        <v>6.9271000000000003</v>
      </c>
      <c r="E372" s="265">
        <v>-7.9318999999999997</v>
      </c>
      <c r="F372" s="122" t="b">
        <f>IF(ISBLANK(FarmUnit[[#This Row],[1. Identifiant interne d’exploitation agricole*]]),"",IF(ISERROR(MATCH(FarmUnit[[#This Row],[1. Identifiant interne d’exploitation agricole*]],GroupMember[1. Identifiant interne d’exploitation agricole*],0)),FALSE,TRUE))</f>
        <v>1</v>
      </c>
      <c r="G372" s="4">
        <f t="shared" si="13"/>
        <v>6.9271000000000003</v>
      </c>
      <c r="H372" s="4">
        <f t="shared" si="14"/>
        <v>-7.9318999999999997</v>
      </c>
      <c r="I372" s="20" t="str">
        <f t="array" ref="I372">IF(ISBLANK(C372),"",IF(C372=MAX(IF(FarmUnit[1. Identifiant interne d’exploitation agricole*]=A372,FarmUnit[3. Superficie de l’unité agricole (ha)*])),"!","-"))</f>
        <v>!</v>
      </c>
      <c r="J372" s="9" t="str">
        <f ca="1">IFERROR(CONCATENATE(VLOOKUP(A372,GM_Table,12,FALSE)," ",(VLOOKUP(A372,GM_Table,13,FALSE))),"")</f>
        <v/>
      </c>
    </row>
    <row r="373" spans="1:10" ht="15" x14ac:dyDescent="0.2">
      <c r="A373" s="190" t="s">
        <v>1804</v>
      </c>
      <c r="B373" s="190" t="s">
        <v>1804</v>
      </c>
      <c r="C373" s="264">
        <v>2.0699999999999998</v>
      </c>
      <c r="D373" s="265">
        <v>6.9508000000000001</v>
      </c>
      <c r="E373" s="265">
        <v>-7.9370000000000003</v>
      </c>
      <c r="F373" s="122" t="b">
        <f>IF(ISBLANK(FarmUnit[[#This Row],[1. Identifiant interne d’exploitation agricole*]]),"",IF(ISERROR(MATCH(FarmUnit[[#This Row],[1. Identifiant interne d’exploitation agricole*]],GroupMember[1. Identifiant interne d’exploitation agricole*],0)),FALSE,TRUE))</f>
        <v>1</v>
      </c>
      <c r="G373" s="4">
        <f t="shared" si="13"/>
        <v>6.9508000000000001</v>
      </c>
      <c r="H373" s="4">
        <f t="shared" si="14"/>
        <v>-7.9370000000000003</v>
      </c>
      <c r="I373" s="20" t="str">
        <f t="array" ref="I373">IF(ISBLANK(C373),"",IF(C373=MAX(IF(FarmUnit[1. Identifiant interne d’exploitation agricole*]=A373,FarmUnit[3. Superficie de l’unité agricole (ha)*])),"!","-"))</f>
        <v>!</v>
      </c>
      <c r="J373" s="9" t="str">
        <f ca="1">IFERROR(CONCATENATE(VLOOKUP(A373,GM_Table,12,FALSE)," ",(VLOOKUP(A373,GM_Table,13,FALSE))),"")</f>
        <v/>
      </c>
    </row>
    <row r="374" spans="1:10" ht="15" x14ac:dyDescent="0.2">
      <c r="A374" s="190" t="s">
        <v>1807</v>
      </c>
      <c r="B374" s="190" t="s">
        <v>1807</v>
      </c>
      <c r="C374" s="264">
        <v>1.41</v>
      </c>
      <c r="D374" s="265">
        <v>6.9414999999999996</v>
      </c>
      <c r="E374" s="265">
        <v>-7.9414999999999996</v>
      </c>
      <c r="F374" s="122" t="b">
        <f>IF(ISBLANK(FarmUnit[[#This Row],[1. Identifiant interne d’exploitation agricole*]]),"",IF(ISERROR(MATCH(FarmUnit[[#This Row],[1. Identifiant interne d’exploitation agricole*]],GroupMember[1. Identifiant interne d’exploitation agricole*],0)),FALSE,TRUE))</f>
        <v>1</v>
      </c>
      <c r="G374" s="4">
        <f t="shared" si="13"/>
        <v>6.9414999999999996</v>
      </c>
      <c r="H374" s="4">
        <f t="shared" si="14"/>
        <v>-7.9414999999999996</v>
      </c>
      <c r="I374" s="20" t="str">
        <f t="array" ref="I374">IF(ISBLANK(C374),"",IF(C374=MAX(IF(FarmUnit[1. Identifiant interne d’exploitation agricole*]=A374,FarmUnit[3. Superficie de l’unité agricole (ha)*])),"!","-"))</f>
        <v>!</v>
      </c>
      <c r="J374" s="9" t="str">
        <f ca="1">IFERROR(CONCATENATE(VLOOKUP(A374,GM_Table,12,FALSE)," ",(VLOOKUP(A374,GM_Table,13,FALSE))),"")</f>
        <v/>
      </c>
    </row>
    <row r="375" spans="1:10" ht="15" x14ac:dyDescent="0.2">
      <c r="A375" s="190" t="s">
        <v>1809</v>
      </c>
      <c r="B375" s="190" t="s">
        <v>1809</v>
      </c>
      <c r="C375" s="264">
        <v>6.79</v>
      </c>
      <c r="D375" s="265">
        <v>6.9600999999999997</v>
      </c>
      <c r="E375" s="265">
        <v>-8.0319000000000003</v>
      </c>
      <c r="F375" s="122" t="b">
        <f>IF(ISBLANK(FarmUnit[[#This Row],[1. Identifiant interne d’exploitation agricole*]]),"",IF(ISERROR(MATCH(FarmUnit[[#This Row],[1. Identifiant interne d’exploitation agricole*]],GroupMember[1. Identifiant interne d’exploitation agricole*],0)),FALSE,TRUE))</f>
        <v>1</v>
      </c>
      <c r="G375" s="4">
        <f t="shared" si="13"/>
        <v>6.9600999999999997</v>
      </c>
      <c r="H375" s="4">
        <f t="shared" si="14"/>
        <v>-8.0319000000000003</v>
      </c>
      <c r="I375" s="20" t="str">
        <f t="array" ref="I375">IF(ISBLANK(C375),"",IF(C375=MAX(IF(FarmUnit[1. Identifiant interne d’exploitation agricole*]=A375,FarmUnit[3. Superficie de l’unité agricole (ha)*])),"!","-"))</f>
        <v>!</v>
      </c>
      <c r="J375" s="9" t="str">
        <f ca="1">IFERROR(CONCATENATE(VLOOKUP(A375,GM_Table,12,FALSE)," ",(VLOOKUP(A375,GM_Table,13,FALSE))),"")</f>
        <v/>
      </c>
    </row>
    <row r="376" spans="1:10" ht="15" x14ac:dyDescent="0.2">
      <c r="A376" s="190" t="s">
        <v>1813</v>
      </c>
      <c r="B376" s="190" t="s">
        <v>1813</v>
      </c>
      <c r="C376" s="264">
        <v>3.49</v>
      </c>
      <c r="D376" s="265">
        <v>7.0189000000000004</v>
      </c>
      <c r="E376" s="265">
        <v>-7.9519000000000002</v>
      </c>
      <c r="F376" s="122" t="b">
        <f>IF(ISBLANK(FarmUnit[[#This Row],[1. Identifiant interne d’exploitation agricole*]]),"",IF(ISERROR(MATCH(FarmUnit[[#This Row],[1. Identifiant interne d’exploitation agricole*]],GroupMember[1. Identifiant interne d’exploitation agricole*],0)),FALSE,TRUE))</f>
        <v>1</v>
      </c>
      <c r="G376" s="4">
        <f t="shared" si="13"/>
        <v>7.0189000000000004</v>
      </c>
      <c r="H376" s="4">
        <f t="shared" si="14"/>
        <v>-7.9519000000000002</v>
      </c>
      <c r="I376" s="20" t="str">
        <f t="array" ref="I376">IF(ISBLANK(C376),"",IF(C376=MAX(IF(FarmUnit[1. Identifiant interne d’exploitation agricole*]=A376,FarmUnit[3. Superficie de l’unité agricole (ha)*])),"!","-"))</f>
        <v>!</v>
      </c>
      <c r="J376" s="9" t="str">
        <f ca="1">IFERROR(CONCATENATE(VLOOKUP(A376,GM_Table,12,FALSE)," ",(VLOOKUP(A376,GM_Table,13,FALSE))),"")</f>
        <v/>
      </c>
    </row>
    <row r="377" spans="1:10" ht="15" x14ac:dyDescent="0.2">
      <c r="A377" s="190" t="s">
        <v>1815</v>
      </c>
      <c r="B377" s="190" t="s">
        <v>1815</v>
      </c>
      <c r="C377" s="264">
        <v>1.07</v>
      </c>
      <c r="D377" s="265">
        <v>6.9635999999999996</v>
      </c>
      <c r="E377" s="265">
        <v>-8.0330999999999992</v>
      </c>
      <c r="F377" s="122" t="b">
        <f>IF(ISBLANK(FarmUnit[[#This Row],[1. Identifiant interne d’exploitation agricole*]]),"",IF(ISERROR(MATCH(FarmUnit[[#This Row],[1. Identifiant interne d’exploitation agricole*]],GroupMember[1. Identifiant interne d’exploitation agricole*],0)),FALSE,TRUE))</f>
        <v>1</v>
      </c>
      <c r="G377" s="4">
        <f t="shared" si="13"/>
        <v>6.9635999999999996</v>
      </c>
      <c r="H377" s="4">
        <f t="shared" si="14"/>
        <v>-8.0330999999999992</v>
      </c>
      <c r="I377" s="20" t="str">
        <f t="array" ref="I377">IF(ISBLANK(C377),"",IF(C377=MAX(IF(FarmUnit[1. Identifiant interne d’exploitation agricole*]=A377,FarmUnit[3. Superficie de l’unité agricole (ha)*])),"!","-"))</f>
        <v>!</v>
      </c>
      <c r="J377" s="9" t="str">
        <f ca="1">IFERROR(CONCATENATE(VLOOKUP(A377,GM_Table,12,FALSE)," ",(VLOOKUP(A377,GM_Table,13,FALSE))),"")</f>
        <v/>
      </c>
    </row>
    <row r="378" spans="1:10" ht="15" x14ac:dyDescent="0.2">
      <c r="A378" s="190" t="s">
        <v>1817</v>
      </c>
      <c r="B378" s="190" t="s">
        <v>1817</v>
      </c>
      <c r="C378" s="264">
        <v>1.1399999999999999</v>
      </c>
      <c r="D378" s="265">
        <v>6.9423000000000004</v>
      </c>
      <c r="E378" s="265">
        <v>-7.9279000000000002</v>
      </c>
      <c r="F378" s="122" t="b">
        <f>IF(ISBLANK(FarmUnit[[#This Row],[1. Identifiant interne d’exploitation agricole*]]),"",IF(ISERROR(MATCH(FarmUnit[[#This Row],[1. Identifiant interne d’exploitation agricole*]],GroupMember[1. Identifiant interne d’exploitation agricole*],0)),FALSE,TRUE))</f>
        <v>1</v>
      </c>
      <c r="G378" s="4">
        <f t="shared" si="13"/>
        <v>6.9423000000000004</v>
      </c>
      <c r="H378" s="4">
        <f t="shared" si="14"/>
        <v>-7.9279000000000002</v>
      </c>
      <c r="I378" s="20" t="str">
        <f t="array" ref="I378">IF(ISBLANK(C378),"",IF(C378=MAX(IF(FarmUnit[1. Identifiant interne d’exploitation agricole*]=A378,FarmUnit[3. Superficie de l’unité agricole (ha)*])),"!","-"))</f>
        <v>!</v>
      </c>
      <c r="J378" s="9" t="str">
        <f ca="1">IFERROR(CONCATENATE(VLOOKUP(A378,GM_Table,12,FALSE)," ",(VLOOKUP(A378,GM_Table,13,FALSE))),"")</f>
        <v/>
      </c>
    </row>
    <row r="379" spans="1:10" ht="15" x14ac:dyDescent="0.2">
      <c r="A379" s="190" t="s">
        <v>1821</v>
      </c>
      <c r="B379" s="190" t="s">
        <v>1821</v>
      </c>
      <c r="C379" s="264">
        <v>2.86</v>
      </c>
      <c r="D379" s="265">
        <v>7.0171999999999999</v>
      </c>
      <c r="E379" s="265">
        <v>-7.9520999999999997</v>
      </c>
      <c r="F379" s="122" t="b">
        <f>IF(ISBLANK(FarmUnit[[#This Row],[1. Identifiant interne d’exploitation agricole*]]),"",IF(ISERROR(MATCH(FarmUnit[[#This Row],[1. Identifiant interne d’exploitation agricole*]],GroupMember[1. Identifiant interne d’exploitation agricole*],0)),FALSE,TRUE))</f>
        <v>1</v>
      </c>
      <c r="G379" s="4">
        <f t="shared" si="13"/>
        <v>7.0171999999999999</v>
      </c>
      <c r="H379" s="4">
        <f t="shared" si="14"/>
        <v>-7.9520999999999997</v>
      </c>
      <c r="I379" s="20" t="str">
        <f t="array" ref="I379">IF(ISBLANK(C379),"",IF(C379=MAX(IF(FarmUnit[1. Identifiant interne d’exploitation agricole*]=A379,FarmUnit[3. Superficie de l’unité agricole (ha)*])),"!","-"))</f>
        <v>!</v>
      </c>
      <c r="J379" s="9" t="str">
        <f ca="1">IFERROR(CONCATENATE(VLOOKUP(A379,GM_Table,12,FALSE)," ",(VLOOKUP(A379,GM_Table,13,FALSE))),"")</f>
        <v/>
      </c>
    </row>
    <row r="380" spans="1:10" ht="15" x14ac:dyDescent="0.2">
      <c r="A380" s="190" t="s">
        <v>1824</v>
      </c>
      <c r="B380" s="190" t="s">
        <v>1824</v>
      </c>
      <c r="C380" s="264">
        <v>1.21</v>
      </c>
      <c r="D380" s="265">
        <v>6.9363999999999999</v>
      </c>
      <c r="E380" s="265">
        <v>-7.9385000000000003</v>
      </c>
      <c r="F380" s="122" t="b">
        <f>IF(ISBLANK(FarmUnit[[#This Row],[1. Identifiant interne d’exploitation agricole*]]),"",IF(ISERROR(MATCH(FarmUnit[[#This Row],[1. Identifiant interne d’exploitation agricole*]],GroupMember[1. Identifiant interne d’exploitation agricole*],0)),FALSE,TRUE))</f>
        <v>1</v>
      </c>
      <c r="G380" s="4">
        <f t="shared" si="13"/>
        <v>6.9363999999999999</v>
      </c>
      <c r="H380" s="4">
        <f t="shared" si="14"/>
        <v>-7.9385000000000003</v>
      </c>
      <c r="I380" s="20" t="str">
        <f t="array" ref="I380">IF(ISBLANK(C380),"",IF(C380=MAX(IF(FarmUnit[1. Identifiant interne d’exploitation agricole*]=A380,FarmUnit[3. Superficie de l’unité agricole (ha)*])),"!","-"))</f>
        <v>!</v>
      </c>
      <c r="J380" s="9" t="str">
        <f ca="1">IFERROR(CONCATENATE(VLOOKUP(A380,GM_Table,12,FALSE)," ",(VLOOKUP(A380,GM_Table,13,FALSE))),"")</f>
        <v/>
      </c>
    </row>
    <row r="381" spans="1:10" ht="15" x14ac:dyDescent="0.2">
      <c r="A381" s="190" t="s">
        <v>1827</v>
      </c>
      <c r="B381" s="190" t="s">
        <v>1827</v>
      </c>
      <c r="C381" s="264">
        <v>1.53</v>
      </c>
      <c r="D381" s="265">
        <v>6.9382000000000001</v>
      </c>
      <c r="E381" s="265">
        <v>-7.9284999999999997</v>
      </c>
      <c r="F381" s="122" t="b">
        <f>IF(ISBLANK(FarmUnit[[#This Row],[1. Identifiant interne d’exploitation agricole*]]),"",IF(ISERROR(MATCH(FarmUnit[[#This Row],[1. Identifiant interne d’exploitation agricole*]],GroupMember[1. Identifiant interne d’exploitation agricole*],0)),FALSE,TRUE))</f>
        <v>1</v>
      </c>
      <c r="G381" s="4">
        <f t="shared" si="13"/>
        <v>6.9382000000000001</v>
      </c>
      <c r="H381" s="4">
        <f t="shared" si="14"/>
        <v>-7.9284999999999997</v>
      </c>
      <c r="I381" s="20" t="str">
        <f t="array" ref="I381">IF(ISBLANK(C381),"",IF(C381=MAX(IF(FarmUnit[1. Identifiant interne d’exploitation agricole*]=A381,FarmUnit[3. Superficie de l’unité agricole (ha)*])),"!","-"))</f>
        <v>!</v>
      </c>
      <c r="J381" s="9" t="str">
        <f ca="1">IFERROR(CONCATENATE(VLOOKUP(A381,GM_Table,12,FALSE)," ",(VLOOKUP(A381,GM_Table,13,FALSE))),"")</f>
        <v/>
      </c>
    </row>
    <row r="382" spans="1:10" ht="15" x14ac:dyDescent="0.2">
      <c r="A382" s="190" t="s">
        <v>1830</v>
      </c>
      <c r="B382" s="190" t="s">
        <v>1830</v>
      </c>
      <c r="C382" s="264">
        <v>15.93</v>
      </c>
      <c r="D382" s="265">
        <v>7.0774999999999997</v>
      </c>
      <c r="E382" s="265">
        <v>-7.9566999999999997</v>
      </c>
      <c r="F382" s="122" t="b">
        <f>IF(ISBLANK(FarmUnit[[#This Row],[1. Identifiant interne d’exploitation agricole*]]),"",IF(ISERROR(MATCH(FarmUnit[[#This Row],[1. Identifiant interne d’exploitation agricole*]],GroupMember[1. Identifiant interne d’exploitation agricole*],0)),FALSE,TRUE))</f>
        <v>1</v>
      </c>
      <c r="G382" s="4">
        <f t="shared" si="13"/>
        <v>7.0774999999999997</v>
      </c>
      <c r="H382" s="4">
        <f t="shared" si="14"/>
        <v>-7.9566999999999997</v>
      </c>
      <c r="I382" s="20" t="str">
        <f t="array" ref="I382">IF(ISBLANK(C382),"",IF(C382=MAX(IF(FarmUnit[1. Identifiant interne d’exploitation agricole*]=A382,FarmUnit[3. Superficie de l’unité agricole (ha)*])),"!","-"))</f>
        <v>!</v>
      </c>
      <c r="J382" s="9" t="str">
        <f ca="1">IFERROR(CONCATENATE(VLOOKUP(A382,GM_Table,12,FALSE)," ",(VLOOKUP(A382,GM_Table,13,FALSE))),"")</f>
        <v/>
      </c>
    </row>
    <row r="383" spans="1:10" ht="15" x14ac:dyDescent="0.2">
      <c r="A383" s="190" t="s">
        <v>1832</v>
      </c>
      <c r="B383" s="190" t="s">
        <v>1832</v>
      </c>
      <c r="C383" s="264">
        <v>5.59</v>
      </c>
      <c r="D383" s="265">
        <v>6.9653</v>
      </c>
      <c r="E383" s="265">
        <v>-8.0533000000000001</v>
      </c>
      <c r="F383" s="122" t="b">
        <f>IF(ISBLANK(FarmUnit[[#This Row],[1. Identifiant interne d’exploitation agricole*]]),"",IF(ISERROR(MATCH(FarmUnit[[#This Row],[1. Identifiant interne d’exploitation agricole*]],GroupMember[1. Identifiant interne d’exploitation agricole*],0)),FALSE,TRUE))</f>
        <v>1</v>
      </c>
      <c r="G383" s="4">
        <f t="shared" si="13"/>
        <v>6.9653</v>
      </c>
      <c r="H383" s="4">
        <f t="shared" si="14"/>
        <v>-8.0533000000000001</v>
      </c>
      <c r="I383" s="20" t="str">
        <f t="array" ref="I383">IF(ISBLANK(C383),"",IF(C383=MAX(IF(FarmUnit[1. Identifiant interne d’exploitation agricole*]=A383,FarmUnit[3. Superficie de l’unité agricole (ha)*])),"!","-"))</f>
        <v>!</v>
      </c>
      <c r="J383" s="9" t="str">
        <f ca="1">IFERROR(CONCATENATE(VLOOKUP(A383,GM_Table,12,FALSE)," ",(VLOOKUP(A383,GM_Table,13,FALSE))),"")</f>
        <v/>
      </c>
    </row>
    <row r="384" spans="1:10" ht="15" x14ac:dyDescent="0.2">
      <c r="A384" s="190" t="s">
        <v>1835</v>
      </c>
      <c r="B384" s="190" t="s">
        <v>1835</v>
      </c>
      <c r="C384" s="264">
        <v>3.49</v>
      </c>
      <c r="D384" s="265">
        <v>6.9842000000000004</v>
      </c>
      <c r="E384" s="265">
        <v>-8.0168999999999997</v>
      </c>
      <c r="F384" s="122" t="b">
        <f>IF(ISBLANK(FarmUnit[[#This Row],[1. Identifiant interne d’exploitation agricole*]]),"",IF(ISERROR(MATCH(FarmUnit[[#This Row],[1. Identifiant interne d’exploitation agricole*]],GroupMember[1. Identifiant interne d’exploitation agricole*],0)),FALSE,TRUE))</f>
        <v>1</v>
      </c>
      <c r="G384" s="4">
        <f t="shared" si="13"/>
        <v>6.9842000000000004</v>
      </c>
      <c r="H384" s="4">
        <f t="shared" si="14"/>
        <v>-8.0168999999999997</v>
      </c>
      <c r="I384" s="20" t="str">
        <f t="array" ref="I384">IF(ISBLANK(C384),"",IF(C384=MAX(IF(FarmUnit[1. Identifiant interne d’exploitation agricole*]=A384,FarmUnit[3. Superficie de l’unité agricole (ha)*])),"!","-"))</f>
        <v>!</v>
      </c>
      <c r="J384" s="9" t="str">
        <f ca="1">IFERROR(CONCATENATE(VLOOKUP(A384,GM_Table,12,FALSE)," ",(VLOOKUP(A384,GM_Table,13,FALSE))),"")</f>
        <v/>
      </c>
    </row>
    <row r="385" spans="1:10" ht="15" x14ac:dyDescent="0.2">
      <c r="A385" s="190" t="s">
        <v>1839</v>
      </c>
      <c r="B385" s="190" t="s">
        <v>1839</v>
      </c>
      <c r="C385" s="264">
        <v>1.53</v>
      </c>
      <c r="D385" s="265">
        <v>7.1839000000000004</v>
      </c>
      <c r="E385" s="265">
        <v>-8.2253000000000007</v>
      </c>
      <c r="F385" s="122" t="b">
        <f>IF(ISBLANK(FarmUnit[[#This Row],[1. Identifiant interne d’exploitation agricole*]]),"",IF(ISERROR(MATCH(FarmUnit[[#This Row],[1. Identifiant interne d’exploitation agricole*]],GroupMember[1. Identifiant interne d’exploitation agricole*],0)),FALSE,TRUE))</f>
        <v>1</v>
      </c>
      <c r="G385" s="4">
        <f t="shared" si="13"/>
        <v>7.1839000000000004</v>
      </c>
      <c r="H385" s="4">
        <f t="shared" si="14"/>
        <v>-8.2253000000000007</v>
      </c>
      <c r="I385" s="20" t="str">
        <f t="array" ref="I385">IF(ISBLANK(C385),"",IF(C385=MAX(IF(FarmUnit[1. Identifiant interne d’exploitation agricole*]=A385,FarmUnit[3. Superficie de l’unité agricole (ha)*])),"!","-"))</f>
        <v>!</v>
      </c>
      <c r="J385" s="9" t="str">
        <f ca="1">IFERROR(CONCATENATE(VLOOKUP(A385,GM_Table,12,FALSE)," ",(VLOOKUP(A385,GM_Table,13,FALSE))),"")</f>
        <v/>
      </c>
    </row>
    <row r="386" spans="1:10" ht="15" x14ac:dyDescent="0.2">
      <c r="A386" s="190" t="s">
        <v>1843</v>
      </c>
      <c r="B386" s="190" t="s">
        <v>1843</v>
      </c>
      <c r="C386" s="264">
        <v>1.1100000000000001</v>
      </c>
      <c r="D386" s="265">
        <v>7.1219000000000001</v>
      </c>
      <c r="E386" s="265">
        <v>-8.1480999999999995</v>
      </c>
      <c r="F386" s="122" t="b">
        <f>IF(ISBLANK(FarmUnit[[#This Row],[1. Identifiant interne d’exploitation agricole*]]),"",IF(ISERROR(MATCH(FarmUnit[[#This Row],[1. Identifiant interne d’exploitation agricole*]],GroupMember[1. Identifiant interne d’exploitation agricole*],0)),FALSE,TRUE))</f>
        <v>1</v>
      </c>
      <c r="G386" s="4">
        <f t="shared" si="13"/>
        <v>7.1219000000000001</v>
      </c>
      <c r="H386" s="4">
        <f t="shared" si="14"/>
        <v>-8.1480999999999995</v>
      </c>
      <c r="I386" s="20" t="str">
        <f t="array" ref="I386">IF(ISBLANK(C386),"",IF(C386=MAX(IF(FarmUnit[1. Identifiant interne d’exploitation agricole*]=A386,FarmUnit[3. Superficie de l’unité agricole (ha)*])),"!","-"))</f>
        <v>!</v>
      </c>
      <c r="J386" s="9" t="str">
        <f ca="1">IFERROR(CONCATENATE(VLOOKUP(A386,GM_Table,12,FALSE)," ",(VLOOKUP(A386,GM_Table,13,FALSE))),"")</f>
        <v/>
      </c>
    </row>
    <row r="387" spans="1:10" ht="15" x14ac:dyDescent="0.2">
      <c r="A387" s="190" t="s">
        <v>1845</v>
      </c>
      <c r="B387" s="190" t="s">
        <v>1845</v>
      </c>
      <c r="C387" s="264">
        <v>3.7</v>
      </c>
      <c r="D387" s="265">
        <v>7.2225000000000001</v>
      </c>
      <c r="E387" s="265">
        <v>-7.9843999999999999</v>
      </c>
      <c r="F387" s="122" t="b">
        <f>IF(ISBLANK(FarmUnit[[#This Row],[1. Identifiant interne d’exploitation agricole*]]),"",IF(ISERROR(MATCH(FarmUnit[[#This Row],[1. Identifiant interne d’exploitation agricole*]],GroupMember[1. Identifiant interne d’exploitation agricole*],0)),FALSE,TRUE))</f>
        <v>1</v>
      </c>
      <c r="G387" s="4">
        <f t="shared" si="13"/>
        <v>7.2225000000000001</v>
      </c>
      <c r="H387" s="4">
        <f t="shared" si="14"/>
        <v>-7.9843999999999999</v>
      </c>
      <c r="I387" s="20" t="str">
        <f t="array" ref="I387">IF(ISBLANK(C387),"",IF(C387=MAX(IF(FarmUnit[1. Identifiant interne d’exploitation agricole*]=A387,FarmUnit[3. Superficie de l’unité agricole (ha)*])),"!","-"))</f>
        <v>!</v>
      </c>
      <c r="J387" s="9" t="str">
        <f ca="1">IFERROR(CONCATENATE(VLOOKUP(A387,GM_Table,12,FALSE)," ",(VLOOKUP(A387,GM_Table,13,FALSE))),"")</f>
        <v/>
      </c>
    </row>
    <row r="388" spans="1:10" ht="15" x14ac:dyDescent="0.2">
      <c r="A388" s="190" t="s">
        <v>1849</v>
      </c>
      <c r="B388" s="190" t="s">
        <v>1849</v>
      </c>
      <c r="C388" s="264">
        <v>6.01</v>
      </c>
      <c r="D388" s="265">
        <v>6.9509999999999996</v>
      </c>
      <c r="E388" s="265">
        <v>-7.9375999999999998</v>
      </c>
      <c r="F388" s="122" t="b">
        <f>IF(ISBLANK(FarmUnit[[#This Row],[1. Identifiant interne d’exploitation agricole*]]),"",IF(ISERROR(MATCH(FarmUnit[[#This Row],[1. Identifiant interne d’exploitation agricole*]],GroupMember[1. Identifiant interne d’exploitation agricole*],0)),FALSE,TRUE))</f>
        <v>1</v>
      </c>
      <c r="G388" s="4">
        <f t="shared" si="13"/>
        <v>6.9509999999999996</v>
      </c>
      <c r="H388" s="4">
        <f t="shared" si="14"/>
        <v>-7.9375999999999998</v>
      </c>
      <c r="I388" s="20" t="str">
        <f t="array" ref="I388">IF(ISBLANK(C388),"",IF(C388=MAX(IF(FarmUnit[1. Identifiant interne d’exploitation agricole*]=A388,FarmUnit[3. Superficie de l’unité agricole (ha)*])),"!","-"))</f>
        <v>!</v>
      </c>
      <c r="J388" s="9" t="str">
        <f ca="1">IFERROR(CONCATENATE(VLOOKUP(A388,GM_Table,12,FALSE)," ",(VLOOKUP(A388,GM_Table,13,FALSE))),"")</f>
        <v/>
      </c>
    </row>
    <row r="389" spans="1:10" ht="15" x14ac:dyDescent="0.2">
      <c r="A389" s="190" t="s">
        <v>1852</v>
      </c>
      <c r="B389" s="190" t="s">
        <v>1852</v>
      </c>
      <c r="C389" s="264">
        <v>1.02</v>
      </c>
      <c r="D389" s="265">
        <v>6.9855999999999998</v>
      </c>
      <c r="E389" s="265">
        <v>-8.0183</v>
      </c>
      <c r="F389" s="122" t="b">
        <f>IF(ISBLANK(FarmUnit[[#This Row],[1. Identifiant interne d’exploitation agricole*]]),"",IF(ISERROR(MATCH(FarmUnit[[#This Row],[1. Identifiant interne d’exploitation agricole*]],GroupMember[1. Identifiant interne d’exploitation agricole*],0)),FALSE,TRUE))</f>
        <v>1</v>
      </c>
      <c r="G389" s="4">
        <f t="shared" si="13"/>
        <v>6.9855999999999998</v>
      </c>
      <c r="H389" s="4">
        <f t="shared" si="14"/>
        <v>-8.0183</v>
      </c>
      <c r="I389" s="20" t="str">
        <f t="array" ref="I389">IF(ISBLANK(C389),"",IF(C389=MAX(IF(FarmUnit[1. Identifiant interne d’exploitation agricole*]=A389,FarmUnit[3. Superficie de l’unité agricole (ha)*])),"!","-"))</f>
        <v>!</v>
      </c>
      <c r="J389" s="9" t="str">
        <f ca="1">IFERROR(CONCATENATE(VLOOKUP(A389,GM_Table,12,FALSE)," ",(VLOOKUP(A389,GM_Table,13,FALSE))),"")</f>
        <v/>
      </c>
    </row>
    <row r="390" spans="1:10" ht="15" x14ac:dyDescent="0.2">
      <c r="A390" s="150" t="s">
        <v>1856</v>
      </c>
      <c r="B390" s="150" t="s">
        <v>1856</v>
      </c>
      <c r="C390" s="264">
        <v>4</v>
      </c>
      <c r="D390" s="267">
        <v>6.9527999999999999</v>
      </c>
      <c r="E390" s="267">
        <v>-7.9451000000000001</v>
      </c>
      <c r="F390" s="122" t="b">
        <f>IF(ISBLANK(FarmUnit[[#This Row],[1. Identifiant interne d’exploitation agricole*]]),"",IF(ISERROR(MATCH(FarmUnit[[#This Row],[1. Identifiant interne d’exploitation agricole*]],GroupMember[1. Identifiant interne d’exploitation agricole*],0)),FALSE,TRUE))</f>
        <v>1</v>
      </c>
      <c r="G390" s="4">
        <f t="shared" si="13"/>
        <v>6.9527999999999999</v>
      </c>
      <c r="H390" s="4">
        <f t="shared" si="14"/>
        <v>-7.9451000000000001</v>
      </c>
      <c r="I390" s="20" t="str">
        <f t="array" ref="I390">IF(ISBLANK(C390),"",IF(C390=MAX(IF(FarmUnit[1. Identifiant interne d’exploitation agricole*]=A390,FarmUnit[3. Superficie de l’unité agricole (ha)*])),"!","-"))</f>
        <v>!</v>
      </c>
      <c r="J390" s="9" t="str">
        <f ca="1">IFERROR(CONCATENATE(VLOOKUP(A390,GM_Table,12,FALSE)," ",(VLOOKUP(A390,GM_Table,13,FALSE))),"")</f>
        <v/>
      </c>
    </row>
    <row r="391" spans="1:10" ht="15" x14ac:dyDescent="0.2">
      <c r="A391" s="150" t="s">
        <v>1858</v>
      </c>
      <c r="B391" s="150" t="s">
        <v>1858</v>
      </c>
      <c r="C391" s="264">
        <v>1.41</v>
      </c>
      <c r="D391" s="265">
        <v>7.2072000000000003</v>
      </c>
      <c r="E391" s="265">
        <v>-8.0091999999999999</v>
      </c>
      <c r="F391" s="122" t="b">
        <f>IF(ISBLANK(FarmUnit[[#This Row],[1. Identifiant interne d’exploitation agricole*]]),"",IF(ISERROR(MATCH(FarmUnit[[#This Row],[1. Identifiant interne d’exploitation agricole*]],GroupMember[1. Identifiant interne d’exploitation agricole*],0)),FALSE,TRUE))</f>
        <v>1</v>
      </c>
      <c r="G391" s="4">
        <f t="shared" si="13"/>
        <v>7.2072000000000003</v>
      </c>
      <c r="H391" s="4">
        <f t="shared" si="14"/>
        <v>-8.0091999999999999</v>
      </c>
      <c r="I391" s="20" t="str">
        <f t="array" ref="I391">IF(ISBLANK(C391),"",IF(C391=MAX(IF(FarmUnit[1. Identifiant interne d’exploitation agricole*]=A391,FarmUnit[3. Superficie de l’unité agricole (ha)*])),"!","-"))</f>
        <v>!</v>
      </c>
      <c r="J391" s="9" t="str">
        <f ca="1">IFERROR(CONCATENATE(VLOOKUP(A391,GM_Table,12,FALSE)," ",(VLOOKUP(A391,GM_Table,13,FALSE))),"")</f>
        <v/>
      </c>
    </row>
    <row r="392" spans="1:10" ht="15" x14ac:dyDescent="0.2">
      <c r="A392" s="150" t="s">
        <v>1861</v>
      </c>
      <c r="B392" s="150" t="s">
        <v>1861</v>
      </c>
      <c r="C392" s="264">
        <v>1.31</v>
      </c>
      <c r="D392" s="265">
        <v>7.2081</v>
      </c>
      <c r="E392" s="265">
        <v>-8.01</v>
      </c>
      <c r="F392" s="122" t="b">
        <f>IF(ISBLANK(FarmUnit[[#This Row],[1. Identifiant interne d’exploitation agricole*]]),"",IF(ISERROR(MATCH(FarmUnit[[#This Row],[1. Identifiant interne d’exploitation agricole*]],GroupMember[1. Identifiant interne d’exploitation agricole*],0)),FALSE,TRUE))</f>
        <v>1</v>
      </c>
      <c r="G392" s="4">
        <f t="shared" si="13"/>
        <v>7.2081</v>
      </c>
      <c r="H392" s="4">
        <f t="shared" si="14"/>
        <v>-8.01</v>
      </c>
      <c r="I392" s="20" t="str">
        <f t="array" ref="I392">IF(ISBLANK(C392),"",IF(C392=MAX(IF(FarmUnit[1. Identifiant interne d’exploitation agricole*]=A392,FarmUnit[3. Superficie de l’unité agricole (ha)*])),"!","-"))</f>
        <v>!</v>
      </c>
      <c r="J392" s="9" t="str">
        <f ca="1">IFERROR(CONCATENATE(VLOOKUP(A392,GM_Table,12,FALSE)," ",(VLOOKUP(A392,GM_Table,13,FALSE))),"")</f>
        <v/>
      </c>
    </row>
    <row r="393" spans="1:10" ht="15" x14ac:dyDescent="0.2">
      <c r="A393" s="150" t="s">
        <v>1864</v>
      </c>
      <c r="B393" s="150" t="s">
        <v>1864</v>
      </c>
      <c r="C393" s="264">
        <v>1.75</v>
      </c>
      <c r="D393" s="265">
        <v>6.9680999999999997</v>
      </c>
      <c r="E393" s="265">
        <v>-8.1683000000000003</v>
      </c>
      <c r="F393" s="122" t="b">
        <f>IF(ISBLANK(FarmUnit[[#This Row],[1. Identifiant interne d’exploitation agricole*]]),"",IF(ISERROR(MATCH(FarmUnit[[#This Row],[1. Identifiant interne d’exploitation agricole*]],GroupMember[1. Identifiant interne d’exploitation agricole*],0)),FALSE,TRUE))</f>
        <v>1</v>
      </c>
      <c r="G393" s="4">
        <f t="shared" si="13"/>
        <v>6.9680999999999997</v>
      </c>
      <c r="H393" s="4">
        <f t="shared" si="14"/>
        <v>-8.1683000000000003</v>
      </c>
      <c r="I393" s="20" t="str">
        <f t="array" ref="I393">IF(ISBLANK(C393),"",IF(C393=MAX(IF(FarmUnit[1. Identifiant interne d’exploitation agricole*]=A393,FarmUnit[3. Superficie de l’unité agricole (ha)*])),"!","-"))</f>
        <v>!</v>
      </c>
      <c r="J393" s="9" t="str">
        <f ca="1">IFERROR(CONCATENATE(VLOOKUP(A393,GM_Table,12,FALSE)," ",(VLOOKUP(A393,GM_Table,13,FALSE))),"")</f>
        <v/>
      </c>
    </row>
    <row r="394" spans="1:10" ht="15" x14ac:dyDescent="0.2">
      <c r="A394" s="150" t="s">
        <v>1865</v>
      </c>
      <c r="B394" s="150" t="s">
        <v>1865</v>
      </c>
      <c r="C394" s="264">
        <v>2.58</v>
      </c>
      <c r="D394" s="265">
        <v>7.1261000000000001</v>
      </c>
      <c r="E394" s="265">
        <v>-8.1585999999999999</v>
      </c>
      <c r="F394" s="122" t="b">
        <f>IF(ISBLANK(FarmUnit[[#This Row],[1. Identifiant interne d’exploitation agricole*]]),"",IF(ISERROR(MATCH(FarmUnit[[#This Row],[1. Identifiant interne d’exploitation agricole*]],GroupMember[1. Identifiant interne d’exploitation agricole*],0)),FALSE,TRUE))</f>
        <v>1</v>
      </c>
      <c r="G394" s="4">
        <f t="shared" si="13"/>
        <v>7.1261000000000001</v>
      </c>
      <c r="H394" s="4">
        <f t="shared" si="14"/>
        <v>-8.1585999999999999</v>
      </c>
      <c r="I394" s="20" t="str">
        <f t="array" ref="I394">IF(ISBLANK(C394),"",IF(C394=MAX(IF(FarmUnit[1. Identifiant interne d’exploitation agricole*]=A394,FarmUnit[3. Superficie de l’unité agricole (ha)*])),"!","-"))</f>
        <v>!</v>
      </c>
      <c r="J394" s="9" t="str">
        <f ca="1">IFERROR(CONCATENATE(VLOOKUP(A394,GM_Table,12,FALSE)," ",(VLOOKUP(A394,GM_Table,13,FALSE))),"")</f>
        <v/>
      </c>
    </row>
    <row r="395" spans="1:10" ht="15" x14ac:dyDescent="0.2">
      <c r="A395" s="150" t="s">
        <v>1867</v>
      </c>
      <c r="B395" s="150" t="s">
        <v>1867</v>
      </c>
      <c r="C395" s="264">
        <v>1.73</v>
      </c>
      <c r="D395" s="265">
        <v>7.1231</v>
      </c>
      <c r="E395" s="265">
        <v>-8.1681000000000008</v>
      </c>
      <c r="F395" s="122" t="b">
        <f>IF(ISBLANK(FarmUnit[[#This Row],[1. Identifiant interne d’exploitation agricole*]]),"",IF(ISERROR(MATCH(FarmUnit[[#This Row],[1. Identifiant interne d’exploitation agricole*]],GroupMember[1. Identifiant interne d’exploitation agricole*],0)),FALSE,TRUE))</f>
        <v>1</v>
      </c>
      <c r="G395" s="4">
        <f t="shared" si="13"/>
        <v>7.1231</v>
      </c>
      <c r="H395" s="4">
        <f t="shared" si="14"/>
        <v>-8.1681000000000008</v>
      </c>
      <c r="I395" s="20" t="str">
        <f t="array" ref="I395">IF(ISBLANK(C395),"",IF(C395=MAX(IF(FarmUnit[1. Identifiant interne d’exploitation agricole*]=A395,FarmUnit[3. Superficie de l’unité agricole (ha)*])),"!","-"))</f>
        <v>!</v>
      </c>
      <c r="J395" s="9" t="str">
        <f ca="1">IFERROR(CONCATENATE(VLOOKUP(A395,GM_Table,12,FALSE)," ",(VLOOKUP(A395,GM_Table,13,FALSE))),"")</f>
        <v/>
      </c>
    </row>
    <row r="396" spans="1:10" ht="15" x14ac:dyDescent="0.2">
      <c r="A396" s="150" t="s">
        <v>1871</v>
      </c>
      <c r="B396" s="150" t="s">
        <v>1871</v>
      </c>
      <c r="C396" s="264">
        <v>1.25</v>
      </c>
      <c r="D396" s="265">
        <v>7.0772000000000004</v>
      </c>
      <c r="E396" s="265">
        <v>-8.0075000000000003</v>
      </c>
      <c r="F396" s="122" t="b">
        <f>IF(ISBLANK(FarmUnit[[#This Row],[1. Identifiant interne d’exploitation agricole*]]),"",IF(ISERROR(MATCH(FarmUnit[[#This Row],[1. Identifiant interne d’exploitation agricole*]],GroupMember[1. Identifiant interne d’exploitation agricole*],0)),FALSE,TRUE))</f>
        <v>1</v>
      </c>
      <c r="G396" s="4">
        <f t="shared" si="13"/>
        <v>7.0772000000000004</v>
      </c>
      <c r="H396" s="4">
        <f t="shared" si="14"/>
        <v>-8.0075000000000003</v>
      </c>
      <c r="I396" s="20" t="str">
        <f t="array" ref="I396">IF(ISBLANK(C396),"",IF(C396=MAX(IF(FarmUnit[1. Identifiant interne d’exploitation agricole*]=A396,FarmUnit[3. Superficie de l’unité agricole (ha)*])),"!","-"))</f>
        <v>!</v>
      </c>
      <c r="J396" s="9" t="str">
        <f ca="1">IFERROR(CONCATENATE(VLOOKUP(A396,GM_Table,12,FALSE)," ",(VLOOKUP(A396,GM_Table,13,FALSE))),"")</f>
        <v/>
      </c>
    </row>
    <row r="397" spans="1:10" ht="15" x14ac:dyDescent="0.2">
      <c r="A397" s="150" t="s">
        <v>1874</v>
      </c>
      <c r="B397" s="150" t="s">
        <v>1874</v>
      </c>
      <c r="C397" s="264">
        <v>1.35</v>
      </c>
      <c r="D397" s="265">
        <v>6.9935999999999998</v>
      </c>
      <c r="E397" s="265">
        <v>-8.0525000000000002</v>
      </c>
      <c r="F397" s="122" t="b">
        <f>IF(ISBLANK(FarmUnit[[#This Row],[1. Identifiant interne d’exploitation agricole*]]),"",IF(ISERROR(MATCH(FarmUnit[[#This Row],[1. Identifiant interne d’exploitation agricole*]],GroupMember[1. Identifiant interne d’exploitation agricole*],0)),FALSE,TRUE))</f>
        <v>1</v>
      </c>
      <c r="G397" s="4">
        <f t="shared" si="13"/>
        <v>6.9935999999999998</v>
      </c>
      <c r="H397" s="4">
        <f t="shared" si="14"/>
        <v>-8.0525000000000002</v>
      </c>
      <c r="I397" s="20" t="str">
        <f t="array" ref="I397">IF(ISBLANK(C397),"",IF(C397=MAX(IF(FarmUnit[1. Identifiant interne d’exploitation agricole*]=A397,FarmUnit[3. Superficie de l’unité agricole (ha)*])),"!","-"))</f>
        <v>!</v>
      </c>
      <c r="J397" s="9" t="str">
        <f ca="1">IFERROR(CONCATENATE(VLOOKUP(A397,GM_Table,12,FALSE)," ",(VLOOKUP(A397,GM_Table,13,FALSE))),"")</f>
        <v/>
      </c>
    </row>
    <row r="398" spans="1:10" ht="15" x14ac:dyDescent="0.2">
      <c r="A398" s="150" t="s">
        <v>1875</v>
      </c>
      <c r="B398" s="150" t="s">
        <v>1875</v>
      </c>
      <c r="C398" s="264">
        <v>1.49</v>
      </c>
      <c r="D398" s="265">
        <v>7.1833</v>
      </c>
      <c r="E398" s="265">
        <v>-8.1889000000000003</v>
      </c>
      <c r="F398" s="122" t="b">
        <f>IF(ISBLANK(FarmUnit[[#This Row],[1. Identifiant interne d’exploitation agricole*]]),"",IF(ISERROR(MATCH(FarmUnit[[#This Row],[1. Identifiant interne d’exploitation agricole*]],GroupMember[1. Identifiant interne d’exploitation agricole*],0)),FALSE,TRUE))</f>
        <v>1</v>
      </c>
      <c r="G398" s="4">
        <f t="shared" si="13"/>
        <v>7.1833</v>
      </c>
      <c r="H398" s="4">
        <f t="shared" si="14"/>
        <v>-8.1889000000000003</v>
      </c>
      <c r="I398" s="20" t="str">
        <f t="array" ref="I398">IF(ISBLANK(C398),"",IF(C398=MAX(IF(FarmUnit[1. Identifiant interne d’exploitation agricole*]=A398,FarmUnit[3. Superficie de l’unité agricole (ha)*])),"!","-"))</f>
        <v>!</v>
      </c>
      <c r="J398" s="9" t="str">
        <f ca="1">IFERROR(CONCATENATE(VLOOKUP(A398,GM_Table,12,FALSE)," ",(VLOOKUP(A398,GM_Table,13,FALSE))),"")</f>
        <v/>
      </c>
    </row>
    <row r="399" spans="1:10" ht="15" x14ac:dyDescent="0.2">
      <c r="A399" s="150" t="s">
        <v>1878</v>
      </c>
      <c r="B399" s="150" t="s">
        <v>1878</v>
      </c>
      <c r="C399" s="264">
        <v>3.62</v>
      </c>
      <c r="D399" s="265">
        <v>6.9889000000000001</v>
      </c>
      <c r="E399" s="265">
        <v>-8.1911000000000005</v>
      </c>
      <c r="F399" s="122" t="b">
        <f>IF(ISBLANK(FarmUnit[[#This Row],[1. Identifiant interne d’exploitation agricole*]]),"",IF(ISERROR(MATCH(FarmUnit[[#This Row],[1. Identifiant interne d’exploitation agricole*]],GroupMember[1. Identifiant interne d’exploitation agricole*],0)),FALSE,TRUE))</f>
        <v>1</v>
      </c>
      <c r="G399" s="4">
        <f t="shared" si="13"/>
        <v>6.9889000000000001</v>
      </c>
      <c r="H399" s="4">
        <f t="shared" si="14"/>
        <v>-8.1911000000000005</v>
      </c>
      <c r="I399" s="20" t="str">
        <f t="array" ref="I399">IF(ISBLANK(C399),"",IF(C399=MAX(IF(FarmUnit[1. Identifiant interne d’exploitation agricole*]=A399,FarmUnit[3. Superficie de l’unité agricole (ha)*])),"!","-"))</f>
        <v>!</v>
      </c>
      <c r="J399" s="9" t="str">
        <f ca="1">IFERROR(CONCATENATE(VLOOKUP(A399,GM_Table,12,FALSE)," ",(VLOOKUP(A399,GM_Table,13,FALSE))),"")</f>
        <v/>
      </c>
    </row>
    <row r="400" spans="1:10" ht="15" x14ac:dyDescent="0.2">
      <c r="A400" s="150" t="s">
        <v>1882</v>
      </c>
      <c r="B400" s="150" t="s">
        <v>1882</v>
      </c>
      <c r="C400" s="264">
        <v>2.64</v>
      </c>
      <c r="D400" s="265">
        <v>7.1797000000000004</v>
      </c>
      <c r="E400" s="265">
        <v>-8.1563999999999997</v>
      </c>
      <c r="F400" s="122" t="b">
        <f>IF(ISBLANK(FarmUnit[[#This Row],[1. Identifiant interne d’exploitation agricole*]]),"",IF(ISERROR(MATCH(FarmUnit[[#This Row],[1. Identifiant interne d’exploitation agricole*]],GroupMember[1. Identifiant interne d’exploitation agricole*],0)),FALSE,TRUE))</f>
        <v>1</v>
      </c>
      <c r="G400" s="4">
        <f t="shared" si="13"/>
        <v>7.1797000000000004</v>
      </c>
      <c r="H400" s="4">
        <f t="shared" si="14"/>
        <v>-8.1563999999999997</v>
      </c>
      <c r="I400" s="20" t="str">
        <f t="array" ref="I400">IF(ISBLANK(C400),"",IF(C400=MAX(IF(FarmUnit[1. Identifiant interne d’exploitation agricole*]=A400,FarmUnit[3. Superficie de l’unité agricole (ha)*])),"!","-"))</f>
        <v>!</v>
      </c>
      <c r="J400" s="9" t="str">
        <f ca="1">IFERROR(CONCATENATE(VLOOKUP(A400,GM_Table,12,FALSE)," ",(VLOOKUP(A400,GM_Table,13,FALSE))),"")</f>
        <v/>
      </c>
    </row>
    <row r="401" spans="1:10" ht="15" x14ac:dyDescent="0.2">
      <c r="A401" s="150" t="s">
        <v>1884</v>
      </c>
      <c r="B401" s="150" t="s">
        <v>1884</v>
      </c>
      <c r="C401" s="264">
        <v>2.2599999999999998</v>
      </c>
      <c r="D401" s="265">
        <v>7.1338999999999997</v>
      </c>
      <c r="E401" s="265">
        <v>-8.1382999999999992</v>
      </c>
      <c r="F401" s="122" t="b">
        <f>IF(ISBLANK(FarmUnit[[#This Row],[1. Identifiant interne d’exploitation agricole*]]),"",IF(ISERROR(MATCH(FarmUnit[[#This Row],[1. Identifiant interne d’exploitation agricole*]],GroupMember[1. Identifiant interne d’exploitation agricole*],0)),FALSE,TRUE))</f>
        <v>1</v>
      </c>
      <c r="G401" s="4">
        <f t="shared" si="13"/>
        <v>7.1338999999999997</v>
      </c>
      <c r="H401" s="4">
        <f t="shared" si="14"/>
        <v>-8.1382999999999992</v>
      </c>
      <c r="I401" s="20" t="str">
        <f t="array" ref="I401">IF(ISBLANK(C401),"",IF(C401=MAX(IF(FarmUnit[1. Identifiant interne d’exploitation agricole*]=A401,FarmUnit[3. Superficie de l’unité agricole (ha)*])),"!","-"))</f>
        <v>!</v>
      </c>
      <c r="J401" s="9" t="str">
        <f ca="1">IFERROR(CONCATENATE(VLOOKUP(A401,GM_Table,12,FALSE)," ",(VLOOKUP(A401,GM_Table,13,FALSE))),"")</f>
        <v/>
      </c>
    </row>
    <row r="402" spans="1:10" ht="15" x14ac:dyDescent="0.2">
      <c r="A402" s="150" t="s">
        <v>1887</v>
      </c>
      <c r="B402" s="150" t="s">
        <v>1887</v>
      </c>
      <c r="C402" s="264">
        <v>1.19</v>
      </c>
      <c r="D402" s="265">
        <v>7.1360999999999999</v>
      </c>
      <c r="E402" s="265">
        <v>-8.1527999999999992</v>
      </c>
      <c r="F402" s="122" t="b">
        <f>IF(ISBLANK(FarmUnit[[#This Row],[1. Identifiant interne d’exploitation agricole*]]),"",IF(ISERROR(MATCH(FarmUnit[[#This Row],[1. Identifiant interne d’exploitation agricole*]],GroupMember[1. Identifiant interne d’exploitation agricole*],0)),FALSE,TRUE))</f>
        <v>1</v>
      </c>
      <c r="G402" s="4">
        <f t="shared" si="13"/>
        <v>7.1360999999999999</v>
      </c>
      <c r="H402" s="4">
        <f t="shared" si="14"/>
        <v>-8.1527999999999992</v>
      </c>
      <c r="I402" s="20" t="str">
        <f t="array" ref="I402">IF(ISBLANK(C402),"",IF(C402=MAX(IF(FarmUnit[1. Identifiant interne d’exploitation agricole*]=A402,FarmUnit[3. Superficie de l’unité agricole (ha)*])),"!","-"))</f>
        <v>!</v>
      </c>
      <c r="J402" s="9" t="str">
        <f ca="1">IFERROR(CONCATENATE(VLOOKUP(A402,GM_Table,12,FALSE)," ",(VLOOKUP(A402,GM_Table,13,FALSE))),"")</f>
        <v/>
      </c>
    </row>
    <row r="403" spans="1:10" ht="15" x14ac:dyDescent="0.2">
      <c r="A403" s="150" t="s">
        <v>1890</v>
      </c>
      <c r="B403" s="150" t="s">
        <v>1890</v>
      </c>
      <c r="C403" s="264">
        <v>0.83</v>
      </c>
      <c r="D403" s="265">
        <v>7.1886000000000001</v>
      </c>
      <c r="E403" s="265">
        <v>-8.1793999999999993</v>
      </c>
      <c r="F403" s="122" t="b">
        <f>IF(ISBLANK(FarmUnit[[#This Row],[1. Identifiant interne d’exploitation agricole*]]),"",IF(ISERROR(MATCH(FarmUnit[[#This Row],[1. Identifiant interne d’exploitation agricole*]],GroupMember[1. Identifiant interne d’exploitation agricole*],0)),FALSE,TRUE))</f>
        <v>1</v>
      </c>
      <c r="G403" s="4">
        <f t="shared" si="13"/>
        <v>7.1886000000000001</v>
      </c>
      <c r="H403" s="4">
        <f t="shared" si="14"/>
        <v>-8.1793999999999993</v>
      </c>
      <c r="I403" s="20" t="str">
        <f t="array" ref="I403">IF(ISBLANK(C403),"",IF(C403=MAX(IF(FarmUnit[1. Identifiant interne d’exploitation agricole*]=A403,FarmUnit[3. Superficie de l’unité agricole (ha)*])),"!","-"))</f>
        <v>!</v>
      </c>
      <c r="J403" s="9" t="str">
        <f ca="1">IFERROR(CONCATENATE(VLOOKUP(A403,GM_Table,12,FALSE)," ",(VLOOKUP(A403,GM_Table,13,FALSE))),"")</f>
        <v/>
      </c>
    </row>
    <row r="404" spans="1:10" ht="15" x14ac:dyDescent="0.2">
      <c r="A404" s="150" t="s">
        <v>1892</v>
      </c>
      <c r="B404" s="150" t="s">
        <v>1892</v>
      </c>
      <c r="C404" s="264">
        <v>1.37</v>
      </c>
      <c r="D404" s="265">
        <v>7.1741999999999999</v>
      </c>
      <c r="E404" s="265">
        <v>-8.2286000000000001</v>
      </c>
      <c r="F404" s="122" t="b">
        <f>IF(ISBLANK(FarmUnit[[#This Row],[1. Identifiant interne d’exploitation agricole*]]),"",IF(ISERROR(MATCH(FarmUnit[[#This Row],[1. Identifiant interne d’exploitation agricole*]],GroupMember[1. Identifiant interne d’exploitation agricole*],0)),FALSE,TRUE))</f>
        <v>1</v>
      </c>
      <c r="G404" s="4">
        <f t="shared" si="13"/>
        <v>7.1741999999999999</v>
      </c>
      <c r="H404" s="4">
        <f t="shared" si="14"/>
        <v>-8.2286000000000001</v>
      </c>
      <c r="I404" s="20" t="str">
        <f t="array" ref="I404">IF(ISBLANK(C404),"",IF(C404=MAX(IF(FarmUnit[1. Identifiant interne d’exploitation agricole*]=A404,FarmUnit[3. Superficie de l’unité agricole (ha)*])),"!","-"))</f>
        <v>!</v>
      </c>
      <c r="J404" s="9" t="str">
        <f ca="1">IFERROR(CONCATENATE(VLOOKUP(A404,GM_Table,12,FALSE)," ",(VLOOKUP(A404,GM_Table,13,FALSE))),"")</f>
        <v/>
      </c>
    </row>
    <row r="405" spans="1:10" ht="15" x14ac:dyDescent="0.2">
      <c r="A405" s="150" t="s">
        <v>1894</v>
      </c>
      <c r="B405" s="150" t="s">
        <v>1894</v>
      </c>
      <c r="C405" s="264">
        <v>1.1499999999999999</v>
      </c>
      <c r="D405" s="265">
        <v>7.1021999999999998</v>
      </c>
      <c r="E405" s="265">
        <v>-7.9764999999999997</v>
      </c>
      <c r="F405" s="122" t="b">
        <f>IF(ISBLANK(FarmUnit[[#This Row],[1. Identifiant interne d’exploitation agricole*]]),"",IF(ISERROR(MATCH(FarmUnit[[#This Row],[1. Identifiant interne d’exploitation agricole*]],GroupMember[1. Identifiant interne d’exploitation agricole*],0)),FALSE,TRUE))</f>
        <v>1</v>
      </c>
      <c r="G405" s="4">
        <f t="shared" si="13"/>
        <v>7.1021999999999998</v>
      </c>
      <c r="H405" s="4">
        <f t="shared" si="14"/>
        <v>-7.9764999999999997</v>
      </c>
      <c r="I405" s="20" t="str">
        <f t="array" ref="I405">IF(ISBLANK(C405),"",IF(C405=MAX(IF(FarmUnit[1. Identifiant interne d’exploitation agricole*]=A405,FarmUnit[3. Superficie de l’unité agricole (ha)*])),"!","-"))</f>
        <v>!</v>
      </c>
      <c r="J405" s="9" t="str">
        <f ca="1">IFERROR(CONCATENATE(VLOOKUP(A405,GM_Table,12,FALSE)," ",(VLOOKUP(A405,GM_Table,13,FALSE))),"")</f>
        <v/>
      </c>
    </row>
    <row r="406" spans="1:10" ht="15" x14ac:dyDescent="0.2">
      <c r="A406" s="150" t="s">
        <v>1897</v>
      </c>
      <c r="B406" s="150" t="s">
        <v>1897</v>
      </c>
      <c r="C406" s="264">
        <v>1.1399999999999999</v>
      </c>
      <c r="D406" s="265">
        <v>7.1833</v>
      </c>
      <c r="E406" s="265">
        <v>-8.2306000000000008</v>
      </c>
      <c r="F406" s="122" t="b">
        <f>IF(ISBLANK(FarmUnit[[#This Row],[1. Identifiant interne d’exploitation agricole*]]),"",IF(ISERROR(MATCH(FarmUnit[[#This Row],[1. Identifiant interne d’exploitation agricole*]],GroupMember[1. Identifiant interne d’exploitation agricole*],0)),FALSE,TRUE))</f>
        <v>1</v>
      </c>
      <c r="G406" s="4">
        <f t="shared" si="13"/>
        <v>7.1833</v>
      </c>
      <c r="H406" s="4">
        <f t="shared" si="14"/>
        <v>-8.2306000000000008</v>
      </c>
      <c r="I406" s="20" t="str">
        <f t="array" ref="I406">IF(ISBLANK(C406),"",IF(C406=MAX(IF(FarmUnit[1. Identifiant interne d’exploitation agricole*]=A406,FarmUnit[3. Superficie de l’unité agricole (ha)*])),"!","-"))</f>
        <v>!</v>
      </c>
      <c r="J406" s="9" t="str">
        <f ca="1">IFERROR(CONCATENATE(VLOOKUP(A406,GM_Table,12,FALSE)," ",(VLOOKUP(A406,GM_Table,13,FALSE))),"")</f>
        <v/>
      </c>
    </row>
    <row r="407" spans="1:10" ht="15" x14ac:dyDescent="0.2">
      <c r="A407" s="150" t="s">
        <v>1899</v>
      </c>
      <c r="B407" s="150" t="s">
        <v>1899</v>
      </c>
      <c r="C407" s="264">
        <v>2</v>
      </c>
      <c r="D407" s="265">
        <v>6.9051999999999998</v>
      </c>
      <c r="E407" s="265">
        <v>-7.9458000000000002</v>
      </c>
      <c r="F407" s="122" t="b">
        <f>IF(ISBLANK(FarmUnit[[#This Row],[1. Identifiant interne d’exploitation agricole*]]),"",IF(ISERROR(MATCH(FarmUnit[[#This Row],[1. Identifiant interne d’exploitation agricole*]],GroupMember[1. Identifiant interne d’exploitation agricole*],0)),FALSE,TRUE))</f>
        <v>1</v>
      </c>
      <c r="G407" s="4">
        <f t="shared" si="13"/>
        <v>6.9051999999999998</v>
      </c>
      <c r="H407" s="4">
        <f t="shared" si="14"/>
        <v>-7.9458000000000002</v>
      </c>
      <c r="I407" s="20" t="str">
        <f t="array" ref="I407">IF(ISBLANK(C407),"",IF(C407=MAX(IF(FarmUnit[1. Identifiant interne d’exploitation agricole*]=A407,FarmUnit[3. Superficie de l’unité agricole (ha)*])),"!","-"))</f>
        <v>!</v>
      </c>
      <c r="J407" s="9" t="str">
        <f ca="1">IFERROR(CONCATENATE(VLOOKUP(A407,GM_Table,12,FALSE)," ",(VLOOKUP(A407,GM_Table,13,FALSE))),"")</f>
        <v/>
      </c>
    </row>
    <row r="408" spans="1:10" ht="15" x14ac:dyDescent="0.2">
      <c r="A408" s="150" t="s">
        <v>1901</v>
      </c>
      <c r="B408" s="150" t="s">
        <v>1901</v>
      </c>
      <c r="C408" s="264">
        <v>1.45</v>
      </c>
      <c r="D408" s="265">
        <v>6.9058000000000002</v>
      </c>
      <c r="E408" s="265">
        <v>-7.9455999999999998</v>
      </c>
      <c r="F408" s="122" t="b">
        <f>IF(ISBLANK(FarmUnit[[#This Row],[1. Identifiant interne d’exploitation agricole*]]),"",IF(ISERROR(MATCH(FarmUnit[[#This Row],[1. Identifiant interne d’exploitation agricole*]],GroupMember[1. Identifiant interne d’exploitation agricole*],0)),FALSE,TRUE))</f>
        <v>1</v>
      </c>
      <c r="G408" s="4">
        <f t="shared" si="13"/>
        <v>6.9058000000000002</v>
      </c>
      <c r="H408" s="4">
        <f t="shared" si="14"/>
        <v>-7.9455999999999998</v>
      </c>
      <c r="I408" s="20" t="str">
        <f t="array" ref="I408">IF(ISBLANK(C408),"",IF(C408=MAX(IF(FarmUnit[1. Identifiant interne d’exploitation agricole*]=A408,FarmUnit[3. Superficie de l’unité agricole (ha)*])),"!","-"))</f>
        <v>!</v>
      </c>
      <c r="J408" s="9" t="str">
        <f ca="1">IFERROR(CONCATENATE(VLOOKUP(A408,GM_Table,12,FALSE)," ",(VLOOKUP(A408,GM_Table,13,FALSE))),"")</f>
        <v/>
      </c>
    </row>
    <row r="409" spans="1:10" ht="15" x14ac:dyDescent="0.2">
      <c r="A409" s="150" t="s">
        <v>1903</v>
      </c>
      <c r="B409" s="150" t="s">
        <v>1903</v>
      </c>
      <c r="C409" s="264">
        <v>0.98</v>
      </c>
      <c r="D409" s="265">
        <v>6.9530000000000003</v>
      </c>
      <c r="E409" s="265">
        <v>-7.9907000000000004</v>
      </c>
      <c r="F409" s="122" t="b">
        <f>IF(ISBLANK(FarmUnit[[#This Row],[1. Identifiant interne d’exploitation agricole*]]),"",IF(ISERROR(MATCH(FarmUnit[[#This Row],[1. Identifiant interne d’exploitation agricole*]],GroupMember[1. Identifiant interne d’exploitation agricole*],0)),FALSE,TRUE))</f>
        <v>1</v>
      </c>
      <c r="G409" s="4">
        <f t="shared" si="13"/>
        <v>6.9530000000000003</v>
      </c>
      <c r="H409" s="4">
        <f t="shared" si="14"/>
        <v>-7.9907000000000004</v>
      </c>
      <c r="I409" s="20" t="str">
        <f t="array" ref="I409">IF(ISBLANK(C409),"",IF(C409=MAX(IF(FarmUnit[1. Identifiant interne d’exploitation agricole*]=A409,FarmUnit[3. Superficie de l’unité agricole (ha)*])),"!","-"))</f>
        <v>!</v>
      </c>
      <c r="J409" s="9" t="str">
        <f ca="1">IFERROR(CONCATENATE(VLOOKUP(A409,GM_Table,12,FALSE)," ",(VLOOKUP(A409,GM_Table,13,FALSE))),"")</f>
        <v/>
      </c>
    </row>
    <row r="410" spans="1:10" ht="15" x14ac:dyDescent="0.2">
      <c r="A410" s="150" t="s">
        <v>1904</v>
      </c>
      <c r="B410" s="150" t="s">
        <v>1904</v>
      </c>
      <c r="C410" s="264">
        <v>2.19</v>
      </c>
      <c r="D410" s="265">
        <v>7.05</v>
      </c>
      <c r="E410" s="265">
        <v>-8.0828000000000007</v>
      </c>
      <c r="F410" s="122" t="b">
        <f>IF(ISBLANK(FarmUnit[[#This Row],[1. Identifiant interne d’exploitation agricole*]]),"",IF(ISERROR(MATCH(FarmUnit[[#This Row],[1. Identifiant interne d’exploitation agricole*]],GroupMember[1. Identifiant interne d’exploitation agricole*],0)),FALSE,TRUE))</f>
        <v>1</v>
      </c>
      <c r="G410" s="4">
        <f t="shared" si="13"/>
        <v>7.05</v>
      </c>
      <c r="H410" s="4">
        <f t="shared" si="14"/>
        <v>-8.0828000000000007</v>
      </c>
      <c r="I410" s="20" t="str">
        <f t="array" ref="I410">IF(ISBLANK(C410),"",IF(C410=MAX(IF(FarmUnit[1. Identifiant interne d’exploitation agricole*]=A410,FarmUnit[3. Superficie de l’unité agricole (ha)*])),"!","-"))</f>
        <v>!</v>
      </c>
      <c r="J410" s="9" t="str">
        <f ca="1">IFERROR(CONCATENATE(VLOOKUP(A410,GM_Table,12,FALSE)," ",(VLOOKUP(A410,GM_Table,13,FALSE))),"")</f>
        <v/>
      </c>
    </row>
    <row r="411" spans="1:10" ht="15" x14ac:dyDescent="0.2">
      <c r="A411" s="150" t="s">
        <v>1907</v>
      </c>
      <c r="B411" s="150" t="s">
        <v>1907</v>
      </c>
      <c r="C411" s="264">
        <v>1.84</v>
      </c>
      <c r="D411" s="265">
        <v>7.1849999999999996</v>
      </c>
      <c r="E411" s="265">
        <v>-8.1461000000000006</v>
      </c>
      <c r="F411" s="122" t="b">
        <f>IF(ISBLANK(FarmUnit[[#This Row],[1. Identifiant interne d’exploitation agricole*]]),"",IF(ISERROR(MATCH(FarmUnit[[#This Row],[1. Identifiant interne d’exploitation agricole*]],GroupMember[1. Identifiant interne d’exploitation agricole*],0)),FALSE,TRUE))</f>
        <v>1</v>
      </c>
      <c r="G411" s="4">
        <f t="shared" si="13"/>
        <v>7.1849999999999996</v>
      </c>
      <c r="H411" s="4">
        <f t="shared" si="14"/>
        <v>-8.1461000000000006</v>
      </c>
      <c r="I411" s="20" t="str">
        <f t="array" ref="I411">IF(ISBLANK(C411),"",IF(C411=MAX(IF(FarmUnit[1. Identifiant interne d’exploitation agricole*]=A411,FarmUnit[3. Superficie de l’unité agricole (ha)*])),"!","-"))</f>
        <v>!</v>
      </c>
      <c r="J411" s="9" t="str">
        <f ca="1">IFERROR(CONCATENATE(VLOOKUP(A411,GM_Table,12,FALSE)," ",(VLOOKUP(A411,GM_Table,13,FALSE))),"")</f>
        <v/>
      </c>
    </row>
    <row r="412" spans="1:10" ht="15" x14ac:dyDescent="0.2">
      <c r="A412" s="150" t="s">
        <v>1909</v>
      </c>
      <c r="B412" s="150" t="s">
        <v>1909</v>
      </c>
      <c r="C412" s="264">
        <v>1.32</v>
      </c>
      <c r="D412" s="265">
        <v>7.1383000000000001</v>
      </c>
      <c r="E412" s="265">
        <v>-8.1531000000000002</v>
      </c>
      <c r="F412" s="122" t="b">
        <f>IF(ISBLANK(FarmUnit[[#This Row],[1. Identifiant interne d’exploitation agricole*]]),"",IF(ISERROR(MATCH(FarmUnit[[#This Row],[1. Identifiant interne d’exploitation agricole*]],GroupMember[1. Identifiant interne d’exploitation agricole*],0)),FALSE,TRUE))</f>
        <v>1</v>
      </c>
      <c r="G412" s="4">
        <f t="shared" si="13"/>
        <v>7.1383000000000001</v>
      </c>
      <c r="H412" s="4">
        <f t="shared" si="14"/>
        <v>-8.1531000000000002</v>
      </c>
      <c r="I412" s="20" t="str">
        <f t="array" ref="I412">IF(ISBLANK(C412),"",IF(C412=MAX(IF(FarmUnit[1. Identifiant interne d’exploitation agricole*]=A412,FarmUnit[3. Superficie de l’unité agricole (ha)*])),"!","-"))</f>
        <v>!</v>
      </c>
      <c r="J412" s="9" t="str">
        <f ca="1">IFERROR(CONCATENATE(VLOOKUP(A412,GM_Table,12,FALSE)," ",(VLOOKUP(A412,GM_Table,13,FALSE))),"")</f>
        <v/>
      </c>
    </row>
    <row r="413" spans="1:10" ht="15" x14ac:dyDescent="0.2">
      <c r="A413" s="150" t="s">
        <v>1911</v>
      </c>
      <c r="B413" s="150" t="s">
        <v>1911</v>
      </c>
      <c r="C413" s="264">
        <v>2.5299999999999998</v>
      </c>
      <c r="D413" s="265">
        <v>6.8989000000000003</v>
      </c>
      <c r="E413" s="265">
        <v>-8.0015000000000001</v>
      </c>
      <c r="F413" s="122" t="b">
        <f>IF(ISBLANK(FarmUnit[[#This Row],[1. Identifiant interne d’exploitation agricole*]]),"",IF(ISERROR(MATCH(FarmUnit[[#This Row],[1. Identifiant interne d’exploitation agricole*]],GroupMember[1. Identifiant interne d’exploitation agricole*],0)),FALSE,TRUE))</f>
        <v>1</v>
      </c>
      <c r="G413" s="4">
        <f t="shared" si="13"/>
        <v>6.8989000000000003</v>
      </c>
      <c r="H413" s="4">
        <f t="shared" si="14"/>
        <v>-8.0015000000000001</v>
      </c>
      <c r="I413" s="20" t="str">
        <f t="array" ref="I413">IF(ISBLANK(C413),"",IF(C413=MAX(IF(FarmUnit[1. Identifiant interne d’exploitation agricole*]=A413,FarmUnit[3. Superficie de l’unité agricole (ha)*])),"!","-"))</f>
        <v>!</v>
      </c>
      <c r="J413" s="9" t="str">
        <f ca="1">IFERROR(CONCATENATE(VLOOKUP(A413,GM_Table,12,FALSE)," ",(VLOOKUP(A413,GM_Table,13,FALSE))),"")</f>
        <v/>
      </c>
    </row>
    <row r="414" spans="1:10" ht="15" x14ac:dyDescent="0.2">
      <c r="A414" s="150" t="s">
        <v>1914</v>
      </c>
      <c r="B414" s="150" t="s">
        <v>1914</v>
      </c>
      <c r="C414" s="264">
        <v>3.67</v>
      </c>
      <c r="D414" s="265">
        <v>7.0006000000000004</v>
      </c>
      <c r="E414" s="265">
        <v>-8.2349999999999994</v>
      </c>
      <c r="F414" s="122" t="b">
        <f>IF(ISBLANK(FarmUnit[[#This Row],[1. Identifiant interne d’exploitation agricole*]]),"",IF(ISERROR(MATCH(FarmUnit[[#This Row],[1. Identifiant interne d’exploitation agricole*]],GroupMember[1. Identifiant interne d’exploitation agricole*],0)),FALSE,TRUE))</f>
        <v>1</v>
      </c>
      <c r="G414" s="4">
        <f t="shared" si="13"/>
        <v>7.0006000000000004</v>
      </c>
      <c r="H414" s="4">
        <f t="shared" si="14"/>
        <v>-8.2349999999999994</v>
      </c>
      <c r="I414" s="20" t="str">
        <f t="array" ref="I414">IF(ISBLANK(C414),"",IF(C414=MAX(IF(FarmUnit[1. Identifiant interne d’exploitation agricole*]=A414,FarmUnit[3. Superficie de l’unité agricole (ha)*])),"!","-"))</f>
        <v>!</v>
      </c>
      <c r="J414" s="9" t="str">
        <f ca="1">IFERROR(CONCATENATE(VLOOKUP(A414,GM_Table,12,FALSE)," ",(VLOOKUP(A414,GM_Table,13,FALSE))),"")</f>
        <v/>
      </c>
    </row>
    <row r="415" spans="1:10" ht="15" x14ac:dyDescent="0.2">
      <c r="A415" s="150" t="s">
        <v>1919</v>
      </c>
      <c r="B415" s="150" t="s">
        <v>1919</v>
      </c>
      <c r="C415" s="264">
        <v>1.62</v>
      </c>
      <c r="D415" s="265">
        <v>7.0652999999999997</v>
      </c>
      <c r="E415" s="265">
        <v>-8.1318999999999999</v>
      </c>
      <c r="F415" s="122" t="b">
        <f>IF(ISBLANK(FarmUnit[[#This Row],[1. Identifiant interne d’exploitation agricole*]]),"",IF(ISERROR(MATCH(FarmUnit[[#This Row],[1. Identifiant interne d’exploitation agricole*]],GroupMember[1. Identifiant interne d’exploitation agricole*],0)),FALSE,TRUE))</f>
        <v>1</v>
      </c>
      <c r="G415" s="4">
        <f t="shared" si="13"/>
        <v>7.0652999999999997</v>
      </c>
      <c r="H415" s="4">
        <f t="shared" si="14"/>
        <v>-8.1318999999999999</v>
      </c>
      <c r="I415" s="20" t="str">
        <f t="array" ref="I415">IF(ISBLANK(C415),"",IF(C415=MAX(IF(FarmUnit[1. Identifiant interne d’exploitation agricole*]=A415,FarmUnit[3. Superficie de l’unité agricole (ha)*])),"!","-"))</f>
        <v>!</v>
      </c>
      <c r="J415" s="9" t="str">
        <f ca="1">IFERROR(CONCATENATE(VLOOKUP(A415,GM_Table,12,FALSE)," ",(VLOOKUP(A415,GM_Table,13,FALSE))),"")</f>
        <v/>
      </c>
    </row>
    <row r="416" spans="1:10" ht="15" x14ac:dyDescent="0.2">
      <c r="A416" s="150" t="s">
        <v>1922</v>
      </c>
      <c r="B416" s="150" t="s">
        <v>1922</v>
      </c>
      <c r="C416" s="264">
        <v>1.46</v>
      </c>
      <c r="D416" s="267">
        <v>6.9123999999999999</v>
      </c>
      <c r="E416" s="267">
        <v>-8.0048999999999992</v>
      </c>
      <c r="F416" s="122" t="b">
        <f>IF(ISBLANK(FarmUnit[[#This Row],[1. Identifiant interne d’exploitation agricole*]]),"",IF(ISERROR(MATCH(FarmUnit[[#This Row],[1. Identifiant interne d’exploitation agricole*]],GroupMember[1. Identifiant interne d’exploitation agricole*],0)),FALSE,TRUE))</f>
        <v>1</v>
      </c>
      <c r="G416" s="4">
        <f t="shared" si="13"/>
        <v>6.9123999999999999</v>
      </c>
      <c r="H416" s="4">
        <f t="shared" si="14"/>
        <v>-8.0048999999999992</v>
      </c>
      <c r="I416" s="20" t="str">
        <f t="array" ref="I416">IF(ISBLANK(C416),"",IF(C416=MAX(IF(FarmUnit[1. Identifiant interne d’exploitation agricole*]=A416,FarmUnit[3. Superficie de l’unité agricole (ha)*])),"!","-"))</f>
        <v>!</v>
      </c>
      <c r="J416" s="9" t="str">
        <f ca="1">IFERROR(CONCATENATE(VLOOKUP(A416,GM_Table,12,FALSE)," ",(VLOOKUP(A416,GM_Table,13,FALSE))),"")</f>
        <v/>
      </c>
    </row>
    <row r="417" spans="1:10" ht="15" x14ac:dyDescent="0.2">
      <c r="A417" s="150" t="s">
        <v>1925</v>
      </c>
      <c r="B417" s="150" t="s">
        <v>1925</v>
      </c>
      <c r="C417" s="264">
        <v>1.75</v>
      </c>
      <c r="D417" s="265">
        <v>7.1463999999999999</v>
      </c>
      <c r="E417" s="265">
        <v>-8.1492000000000004</v>
      </c>
      <c r="F417" s="122" t="b">
        <f>IF(ISBLANK(FarmUnit[[#This Row],[1. Identifiant interne d’exploitation agricole*]]),"",IF(ISERROR(MATCH(FarmUnit[[#This Row],[1. Identifiant interne d’exploitation agricole*]],GroupMember[1. Identifiant interne d’exploitation agricole*],0)),FALSE,TRUE))</f>
        <v>1</v>
      </c>
      <c r="G417" s="4">
        <f t="shared" si="13"/>
        <v>7.1463999999999999</v>
      </c>
      <c r="H417" s="4">
        <f t="shared" si="14"/>
        <v>-8.1492000000000004</v>
      </c>
      <c r="I417" s="20" t="str">
        <f t="array" ref="I417">IF(ISBLANK(C417),"",IF(C417=MAX(IF(FarmUnit[1. Identifiant interne d’exploitation agricole*]=A417,FarmUnit[3. Superficie de l’unité agricole (ha)*])),"!","-"))</f>
        <v>!</v>
      </c>
      <c r="J417" s="9" t="str">
        <f ca="1">IFERROR(CONCATENATE(VLOOKUP(A417,GM_Table,12,FALSE)," ",(VLOOKUP(A417,GM_Table,13,FALSE))),"")</f>
        <v/>
      </c>
    </row>
    <row r="418" spans="1:10" ht="15" x14ac:dyDescent="0.2">
      <c r="A418" s="150" t="s">
        <v>1930</v>
      </c>
      <c r="B418" s="150" t="s">
        <v>1930</v>
      </c>
      <c r="C418" s="264">
        <v>2</v>
      </c>
      <c r="D418" s="265">
        <v>6.8986999999999998</v>
      </c>
      <c r="E418" s="265">
        <v>-7.9973999999999998</v>
      </c>
      <c r="F418" s="122" t="b">
        <f>IF(ISBLANK(FarmUnit[[#This Row],[1. Identifiant interne d’exploitation agricole*]]),"",IF(ISERROR(MATCH(FarmUnit[[#This Row],[1. Identifiant interne d’exploitation agricole*]],GroupMember[1. Identifiant interne d’exploitation agricole*],0)),FALSE,TRUE))</f>
        <v>1</v>
      </c>
      <c r="G418" s="4">
        <f t="shared" si="13"/>
        <v>6.8986999999999998</v>
      </c>
      <c r="H418" s="4">
        <f t="shared" si="14"/>
        <v>-7.9973999999999998</v>
      </c>
      <c r="I418" s="20" t="str">
        <f t="array" ref="I418">IF(ISBLANK(C418),"",IF(C418=MAX(IF(FarmUnit[1. Identifiant interne d’exploitation agricole*]=A418,FarmUnit[3. Superficie de l’unité agricole (ha)*])),"!","-"))</f>
        <v>!</v>
      </c>
      <c r="J418" s="9" t="str">
        <f ca="1">IFERROR(CONCATENATE(VLOOKUP(A418,GM_Table,12,FALSE)," ",(VLOOKUP(A418,GM_Table,13,FALSE))),"")</f>
        <v/>
      </c>
    </row>
    <row r="419" spans="1:10" ht="15" x14ac:dyDescent="0.2">
      <c r="A419" s="150" t="s">
        <v>1932</v>
      </c>
      <c r="B419" s="150" t="s">
        <v>1932</v>
      </c>
      <c r="C419" s="264">
        <v>1.59</v>
      </c>
      <c r="D419" s="267">
        <v>6.899</v>
      </c>
      <c r="E419" s="267">
        <v>-8.0091000000000001</v>
      </c>
      <c r="F419" s="122" t="b">
        <f>IF(ISBLANK(FarmUnit[[#This Row],[1. Identifiant interne d’exploitation agricole*]]),"",IF(ISERROR(MATCH(FarmUnit[[#This Row],[1. Identifiant interne d’exploitation agricole*]],GroupMember[1. Identifiant interne d’exploitation agricole*],0)),FALSE,TRUE))</f>
        <v>1</v>
      </c>
      <c r="G419" s="4">
        <f t="shared" si="13"/>
        <v>6.899</v>
      </c>
      <c r="H419" s="4">
        <f t="shared" si="14"/>
        <v>-8.0091000000000001</v>
      </c>
      <c r="I419" s="20" t="str">
        <f t="array" ref="I419">IF(ISBLANK(C419),"",IF(C419=MAX(IF(FarmUnit[1. Identifiant interne d’exploitation agricole*]=A419,FarmUnit[3. Superficie de l’unité agricole (ha)*])),"!","-"))</f>
        <v>!</v>
      </c>
      <c r="J419" s="9" t="str">
        <f ca="1">IFERROR(CONCATENATE(VLOOKUP(A419,GM_Table,12,FALSE)," ",(VLOOKUP(A419,GM_Table,13,FALSE))),"")</f>
        <v/>
      </c>
    </row>
    <row r="420" spans="1:10" ht="15" x14ac:dyDescent="0.2">
      <c r="A420" s="150" t="s">
        <v>1935</v>
      </c>
      <c r="B420" s="150" t="s">
        <v>1935</v>
      </c>
      <c r="C420" s="264">
        <v>1.75</v>
      </c>
      <c r="D420" s="267">
        <v>6.9024000000000001</v>
      </c>
      <c r="E420" s="267">
        <v>-7.9989999999999997</v>
      </c>
      <c r="F420" s="122" t="b">
        <f>IF(ISBLANK(FarmUnit[[#This Row],[1. Identifiant interne d’exploitation agricole*]]),"",IF(ISERROR(MATCH(FarmUnit[[#This Row],[1. Identifiant interne d’exploitation agricole*]],GroupMember[1. Identifiant interne d’exploitation agricole*],0)),FALSE,TRUE))</f>
        <v>1</v>
      </c>
      <c r="G420" s="4">
        <f t="shared" si="13"/>
        <v>6.9024000000000001</v>
      </c>
      <c r="H420" s="4">
        <f t="shared" si="14"/>
        <v>-7.9989999999999997</v>
      </c>
      <c r="I420" s="20" t="str">
        <f t="array" ref="I420">IF(ISBLANK(C420),"",IF(C420=MAX(IF(FarmUnit[1. Identifiant interne d’exploitation agricole*]=A420,FarmUnit[3. Superficie de l’unité agricole (ha)*])),"!","-"))</f>
        <v>!</v>
      </c>
      <c r="J420" s="9" t="str">
        <f ca="1">IFERROR(CONCATENATE(VLOOKUP(A420,GM_Table,12,FALSE)," ",(VLOOKUP(A420,GM_Table,13,FALSE))),"")</f>
        <v/>
      </c>
    </row>
    <row r="421" spans="1:10" ht="15" x14ac:dyDescent="0.2">
      <c r="A421" s="150" t="s">
        <v>1939</v>
      </c>
      <c r="B421" s="150" t="s">
        <v>1939</v>
      </c>
      <c r="C421" s="264">
        <v>2.96</v>
      </c>
      <c r="D421" s="265">
        <v>6.9089</v>
      </c>
      <c r="E421" s="265">
        <v>-8.0012000000000008</v>
      </c>
      <c r="F421" s="122" t="b">
        <f>IF(ISBLANK(FarmUnit[[#This Row],[1. Identifiant interne d’exploitation agricole*]]),"",IF(ISERROR(MATCH(FarmUnit[[#This Row],[1. Identifiant interne d’exploitation agricole*]],GroupMember[1. Identifiant interne d’exploitation agricole*],0)),FALSE,TRUE))</f>
        <v>1</v>
      </c>
      <c r="G421" s="4">
        <f t="shared" si="13"/>
        <v>6.9089</v>
      </c>
      <c r="H421" s="4">
        <f t="shared" si="14"/>
        <v>-8.0012000000000008</v>
      </c>
      <c r="I421" s="20" t="str">
        <f t="array" ref="I421">IF(ISBLANK(C421),"",IF(C421=MAX(IF(FarmUnit[1. Identifiant interne d’exploitation agricole*]=A421,FarmUnit[3. Superficie de l’unité agricole (ha)*])),"!","-"))</f>
        <v>!</v>
      </c>
      <c r="J421" s="9" t="str">
        <f ca="1">IFERROR(CONCATENATE(VLOOKUP(A421,GM_Table,12,FALSE)," ",(VLOOKUP(A421,GM_Table,13,FALSE))),"")</f>
        <v/>
      </c>
    </row>
    <row r="422" spans="1:10" ht="15" x14ac:dyDescent="0.2">
      <c r="A422" s="150" t="s">
        <v>1941</v>
      </c>
      <c r="B422" s="150" t="s">
        <v>1941</v>
      </c>
      <c r="C422" s="264">
        <v>2.54</v>
      </c>
      <c r="D422" s="265">
        <v>7.0053000000000001</v>
      </c>
      <c r="E422" s="265">
        <v>-8.1907999999999994</v>
      </c>
      <c r="F422" s="122" t="b">
        <f>IF(ISBLANK(FarmUnit[[#This Row],[1. Identifiant interne d’exploitation agricole*]]),"",IF(ISERROR(MATCH(FarmUnit[[#This Row],[1. Identifiant interne d’exploitation agricole*]],GroupMember[1. Identifiant interne d’exploitation agricole*],0)),FALSE,TRUE))</f>
        <v>1</v>
      </c>
      <c r="G422" s="4">
        <f t="shared" si="13"/>
        <v>7.0053000000000001</v>
      </c>
      <c r="H422" s="4">
        <f t="shared" si="14"/>
        <v>-8.1907999999999994</v>
      </c>
      <c r="I422" s="20" t="str">
        <f t="array" ref="I422">IF(ISBLANK(C422),"",IF(C422=MAX(IF(FarmUnit[1. Identifiant interne d’exploitation agricole*]=A422,FarmUnit[3. Superficie de l’unité agricole (ha)*])),"!","-"))</f>
        <v>!</v>
      </c>
      <c r="J422" s="9" t="str">
        <f ca="1">IFERROR(CONCATENATE(VLOOKUP(A422,GM_Table,12,FALSE)," ",(VLOOKUP(A422,GM_Table,13,FALSE))),"")</f>
        <v/>
      </c>
    </row>
    <row r="423" spans="1:10" ht="15" x14ac:dyDescent="0.2">
      <c r="A423" s="150" t="s">
        <v>1945</v>
      </c>
      <c r="B423" s="150" t="s">
        <v>1945</v>
      </c>
      <c r="C423" s="264">
        <v>4.4800000000000004</v>
      </c>
      <c r="D423" s="265">
        <v>6.9058999999999999</v>
      </c>
      <c r="E423" s="265">
        <v>-7.9783999999999997</v>
      </c>
      <c r="F423" s="122" t="b">
        <f>IF(ISBLANK(FarmUnit[[#This Row],[1. Identifiant interne d’exploitation agricole*]]),"",IF(ISERROR(MATCH(FarmUnit[[#This Row],[1. Identifiant interne d’exploitation agricole*]],GroupMember[1. Identifiant interne d’exploitation agricole*],0)),FALSE,TRUE))</f>
        <v>1</v>
      </c>
      <c r="G423" s="4">
        <f t="shared" si="13"/>
        <v>6.9058999999999999</v>
      </c>
      <c r="H423" s="4">
        <f t="shared" si="14"/>
        <v>-7.9783999999999997</v>
      </c>
      <c r="I423" s="20" t="str">
        <f t="array" ref="I423">IF(ISBLANK(C423),"",IF(C423=MAX(IF(FarmUnit[1. Identifiant interne d’exploitation agricole*]=A423,FarmUnit[3. Superficie de l’unité agricole (ha)*])),"!","-"))</f>
        <v>!</v>
      </c>
      <c r="J423" s="9" t="str">
        <f ca="1">IFERROR(CONCATENATE(VLOOKUP(A423,GM_Table,12,FALSE)," ",(VLOOKUP(A423,GM_Table,13,FALSE))),"")</f>
        <v/>
      </c>
    </row>
    <row r="424" spans="1:10" ht="15" x14ac:dyDescent="0.2">
      <c r="A424" s="150" t="s">
        <v>1948</v>
      </c>
      <c r="B424" s="150" t="s">
        <v>1948</v>
      </c>
      <c r="C424" s="264">
        <v>1.05</v>
      </c>
      <c r="D424" s="267">
        <v>6.9025999999999996</v>
      </c>
      <c r="E424" s="267">
        <v>-8.0065000000000008</v>
      </c>
      <c r="F424" s="122" t="b">
        <f>IF(ISBLANK(FarmUnit[[#This Row],[1. Identifiant interne d’exploitation agricole*]]),"",IF(ISERROR(MATCH(FarmUnit[[#This Row],[1. Identifiant interne d’exploitation agricole*]],GroupMember[1. Identifiant interne d’exploitation agricole*],0)),FALSE,TRUE))</f>
        <v>1</v>
      </c>
      <c r="G424" s="4">
        <f t="shared" si="13"/>
        <v>6.9025999999999996</v>
      </c>
      <c r="H424" s="4">
        <f t="shared" si="14"/>
        <v>-8.0065000000000008</v>
      </c>
      <c r="I424" s="20" t="str">
        <f t="array" ref="I424">IF(ISBLANK(C424),"",IF(C424=MAX(IF(FarmUnit[1. Identifiant interne d’exploitation agricole*]=A424,FarmUnit[3. Superficie de l’unité agricole (ha)*])),"!","-"))</f>
        <v>!</v>
      </c>
      <c r="J424" s="9" t="str">
        <f ca="1">IFERROR(CONCATENATE(VLOOKUP(A424,GM_Table,12,FALSE)," ",(VLOOKUP(A424,GM_Table,13,FALSE))),"")</f>
        <v/>
      </c>
    </row>
    <row r="425" spans="1:10" ht="15" x14ac:dyDescent="0.2">
      <c r="A425" s="150" t="s">
        <v>1951</v>
      </c>
      <c r="B425" s="150" t="s">
        <v>1951</v>
      </c>
      <c r="C425" s="264">
        <v>2.27</v>
      </c>
      <c r="D425" s="265">
        <v>7.0130999999999997</v>
      </c>
      <c r="E425" s="265">
        <v>-8.0975000000000001</v>
      </c>
      <c r="F425" s="122" t="b">
        <f>IF(ISBLANK(FarmUnit[[#This Row],[1. Identifiant interne d’exploitation agricole*]]),"",IF(ISERROR(MATCH(FarmUnit[[#This Row],[1. Identifiant interne d’exploitation agricole*]],GroupMember[1. Identifiant interne d’exploitation agricole*],0)),FALSE,TRUE))</f>
        <v>1</v>
      </c>
      <c r="G425" s="4">
        <f t="shared" si="13"/>
        <v>7.0130999999999997</v>
      </c>
      <c r="H425" s="4">
        <f t="shared" si="14"/>
        <v>-8.0975000000000001</v>
      </c>
      <c r="I425" s="20" t="str">
        <f t="array" ref="I425">IF(ISBLANK(C425),"",IF(C425=MAX(IF(FarmUnit[1. Identifiant interne d’exploitation agricole*]=A425,FarmUnit[3. Superficie de l’unité agricole (ha)*])),"!","-"))</f>
        <v>!</v>
      </c>
      <c r="J425" s="9" t="str">
        <f ca="1">IFERROR(CONCATENATE(VLOOKUP(A425,GM_Table,12,FALSE)," ",(VLOOKUP(A425,GM_Table,13,FALSE))),"")</f>
        <v/>
      </c>
    </row>
    <row r="426" spans="1:10" ht="15" x14ac:dyDescent="0.2">
      <c r="A426" s="150" t="s">
        <v>1953</v>
      </c>
      <c r="B426" s="150" t="s">
        <v>1953</v>
      </c>
      <c r="C426" s="264">
        <v>3.36</v>
      </c>
      <c r="D426" s="265">
        <v>6.9076000000000004</v>
      </c>
      <c r="E426" s="265">
        <v>-7.9757999999999996</v>
      </c>
      <c r="F426" s="122" t="b">
        <f>IF(ISBLANK(FarmUnit[[#This Row],[1. Identifiant interne d’exploitation agricole*]]),"",IF(ISERROR(MATCH(FarmUnit[[#This Row],[1. Identifiant interne d’exploitation agricole*]],GroupMember[1. Identifiant interne d’exploitation agricole*],0)),FALSE,TRUE))</f>
        <v>1</v>
      </c>
      <c r="G426" s="4">
        <f t="shared" si="13"/>
        <v>6.9076000000000004</v>
      </c>
      <c r="H426" s="4">
        <f t="shared" si="14"/>
        <v>-7.9757999999999996</v>
      </c>
      <c r="I426" s="20" t="str">
        <f t="array" ref="I426">IF(ISBLANK(C426),"",IF(C426=MAX(IF(FarmUnit[1. Identifiant interne d’exploitation agricole*]=A426,FarmUnit[3. Superficie de l’unité agricole (ha)*])),"!","-"))</f>
        <v>!</v>
      </c>
      <c r="J426" s="9" t="str">
        <f ca="1">IFERROR(CONCATENATE(VLOOKUP(A426,GM_Table,12,FALSE)," ",(VLOOKUP(A426,GM_Table,13,FALSE))),"")</f>
        <v/>
      </c>
    </row>
    <row r="427" spans="1:10" ht="15" x14ac:dyDescent="0.2">
      <c r="A427" s="150" t="s">
        <v>1955</v>
      </c>
      <c r="B427" s="150" t="s">
        <v>1955</v>
      </c>
      <c r="C427" s="264">
        <v>1.4</v>
      </c>
      <c r="D427" s="265">
        <v>6.9101999999999997</v>
      </c>
      <c r="E427" s="265">
        <v>-8.0691000000000006</v>
      </c>
      <c r="F427" s="122" t="b">
        <f>IF(ISBLANK(FarmUnit[[#This Row],[1. Identifiant interne d’exploitation agricole*]]),"",IF(ISERROR(MATCH(FarmUnit[[#This Row],[1. Identifiant interne d’exploitation agricole*]],GroupMember[1. Identifiant interne d’exploitation agricole*],0)),FALSE,TRUE))</f>
        <v>1</v>
      </c>
      <c r="G427" s="4">
        <f t="shared" si="13"/>
        <v>6.9101999999999997</v>
      </c>
      <c r="H427" s="4">
        <f t="shared" si="14"/>
        <v>-8.0691000000000006</v>
      </c>
      <c r="I427" s="20" t="str">
        <f t="array" ref="I427">IF(ISBLANK(C427),"",IF(C427=MAX(IF(FarmUnit[1. Identifiant interne d’exploitation agricole*]=A427,FarmUnit[3. Superficie de l’unité agricole (ha)*])),"!","-"))</f>
        <v>!</v>
      </c>
      <c r="J427" s="9" t="str">
        <f ca="1">IFERROR(CONCATENATE(VLOOKUP(A427,GM_Table,12,FALSE)," ",(VLOOKUP(A427,GM_Table,13,FALSE))),"")</f>
        <v/>
      </c>
    </row>
    <row r="428" spans="1:10" ht="15" x14ac:dyDescent="0.2">
      <c r="A428" s="150" t="s">
        <v>1956</v>
      </c>
      <c r="B428" s="150" t="s">
        <v>1956</v>
      </c>
      <c r="C428" s="264">
        <v>1.34</v>
      </c>
      <c r="D428" s="265">
        <v>7.1378000000000004</v>
      </c>
      <c r="E428" s="265">
        <v>-7.9923000000000002</v>
      </c>
      <c r="F428" s="122" t="b">
        <f>IF(ISBLANK(FarmUnit[[#This Row],[1. Identifiant interne d’exploitation agricole*]]),"",IF(ISERROR(MATCH(FarmUnit[[#This Row],[1. Identifiant interne d’exploitation agricole*]],GroupMember[1. Identifiant interne d’exploitation agricole*],0)),FALSE,TRUE))</f>
        <v>1</v>
      </c>
      <c r="G428" s="4">
        <f t="shared" si="13"/>
        <v>7.1378000000000004</v>
      </c>
      <c r="H428" s="4">
        <f t="shared" si="14"/>
        <v>-7.9923000000000002</v>
      </c>
      <c r="I428" s="20" t="str">
        <f t="array" ref="I428">IF(ISBLANK(C428),"",IF(C428=MAX(IF(FarmUnit[1. Identifiant interne d’exploitation agricole*]=A428,FarmUnit[3. Superficie de l’unité agricole (ha)*])),"!","-"))</f>
        <v>!</v>
      </c>
      <c r="J428" s="9" t="str">
        <f ca="1">IFERROR(CONCATENATE(VLOOKUP(A428,GM_Table,12,FALSE)," ",(VLOOKUP(A428,GM_Table,13,FALSE))),"")</f>
        <v/>
      </c>
    </row>
    <row r="429" spans="1:10" ht="15" x14ac:dyDescent="0.2">
      <c r="A429" s="150" t="s">
        <v>1957</v>
      </c>
      <c r="B429" s="150" t="s">
        <v>1957</v>
      </c>
      <c r="C429" s="264">
        <v>1.68</v>
      </c>
      <c r="D429" s="265">
        <v>7.1401000000000003</v>
      </c>
      <c r="E429" s="265">
        <v>-8.0039999999999996</v>
      </c>
      <c r="F429" s="122" t="b">
        <f>IF(ISBLANK(FarmUnit[[#This Row],[1. Identifiant interne d’exploitation agricole*]]),"",IF(ISERROR(MATCH(FarmUnit[[#This Row],[1. Identifiant interne d’exploitation agricole*]],GroupMember[1. Identifiant interne d’exploitation agricole*],0)),FALSE,TRUE))</f>
        <v>1</v>
      </c>
      <c r="G429" s="4">
        <f t="shared" si="13"/>
        <v>7.1401000000000003</v>
      </c>
      <c r="H429" s="4">
        <f t="shared" si="14"/>
        <v>-8.0039999999999996</v>
      </c>
      <c r="I429" s="20" t="str">
        <f t="array" ref="I429">IF(ISBLANK(C429),"",IF(C429=MAX(IF(FarmUnit[1. Identifiant interne d’exploitation agricole*]=A429,FarmUnit[3. Superficie de l’unité agricole (ha)*])),"!","-"))</f>
        <v>!</v>
      </c>
      <c r="J429" s="9" t="str">
        <f ca="1">IFERROR(CONCATENATE(VLOOKUP(A429,GM_Table,12,FALSE)," ",(VLOOKUP(A429,GM_Table,13,FALSE))),"")</f>
        <v/>
      </c>
    </row>
    <row r="430" spans="1:10" ht="15" x14ac:dyDescent="0.2">
      <c r="A430" s="150" t="s">
        <v>1959</v>
      </c>
      <c r="B430" s="150" t="s">
        <v>1959</v>
      </c>
      <c r="C430" s="264">
        <v>2.1800000000000002</v>
      </c>
      <c r="D430" s="265">
        <v>7.1481000000000003</v>
      </c>
      <c r="E430" s="265">
        <v>-8.0274999999999999</v>
      </c>
      <c r="F430" s="122" t="b">
        <f>IF(ISBLANK(FarmUnit[[#This Row],[1. Identifiant interne d’exploitation agricole*]]),"",IF(ISERROR(MATCH(FarmUnit[[#This Row],[1. Identifiant interne d’exploitation agricole*]],GroupMember[1. Identifiant interne d’exploitation agricole*],0)),FALSE,TRUE))</f>
        <v>1</v>
      </c>
      <c r="G430" s="4">
        <f t="shared" si="13"/>
        <v>7.1481000000000003</v>
      </c>
      <c r="H430" s="4">
        <f t="shared" si="14"/>
        <v>-8.0274999999999999</v>
      </c>
      <c r="I430" s="20" t="str">
        <f t="array" ref="I430">IF(ISBLANK(C430),"",IF(C430=MAX(IF(FarmUnit[1. Identifiant interne d’exploitation agricole*]=A430,FarmUnit[3. Superficie de l’unité agricole (ha)*])),"!","-"))</f>
        <v>!</v>
      </c>
      <c r="J430" s="9" t="str">
        <f ca="1">IFERROR(CONCATENATE(VLOOKUP(A430,GM_Table,12,FALSE)," ",(VLOOKUP(A430,GM_Table,13,FALSE))),"")</f>
        <v/>
      </c>
    </row>
    <row r="431" spans="1:10" ht="15" x14ac:dyDescent="0.2">
      <c r="A431" s="150" t="s">
        <v>1960</v>
      </c>
      <c r="B431" s="150" t="s">
        <v>1960</v>
      </c>
      <c r="C431" s="264">
        <v>1.39</v>
      </c>
      <c r="D431" s="265">
        <v>7.1191000000000004</v>
      </c>
      <c r="E431" s="265">
        <v>-8.1396999999999995</v>
      </c>
      <c r="F431" s="122" t="b">
        <f>IF(ISBLANK(FarmUnit[[#This Row],[1. Identifiant interne d’exploitation agricole*]]),"",IF(ISERROR(MATCH(FarmUnit[[#This Row],[1. Identifiant interne d’exploitation agricole*]],GroupMember[1. Identifiant interne d’exploitation agricole*],0)),FALSE,TRUE))</f>
        <v>1</v>
      </c>
      <c r="G431" s="4">
        <f t="shared" si="13"/>
        <v>7.1191000000000004</v>
      </c>
      <c r="H431" s="4">
        <f t="shared" si="14"/>
        <v>-8.1396999999999995</v>
      </c>
      <c r="I431" s="20" t="str">
        <f t="array" ref="I431">IF(ISBLANK(C431),"",IF(C431=MAX(IF(FarmUnit[1. Identifiant interne d’exploitation agricole*]=A431,FarmUnit[3. Superficie de l’unité agricole (ha)*])),"!","-"))</f>
        <v>!</v>
      </c>
      <c r="J431" s="9" t="str">
        <f ca="1">IFERROR(CONCATENATE(VLOOKUP(A431,GM_Table,12,FALSE)," ",(VLOOKUP(A431,GM_Table,13,FALSE))),"")</f>
        <v/>
      </c>
    </row>
    <row r="432" spans="1:10" ht="15" x14ac:dyDescent="0.2">
      <c r="A432" s="150" t="s">
        <v>1962</v>
      </c>
      <c r="B432" s="150" t="s">
        <v>1962</v>
      </c>
      <c r="C432" s="264">
        <v>3.71</v>
      </c>
      <c r="D432" s="265">
        <v>7.0774999999999997</v>
      </c>
      <c r="E432" s="265">
        <v>-8.0736000000000008</v>
      </c>
      <c r="F432" s="122" t="b">
        <f>IF(ISBLANK(FarmUnit[[#This Row],[1. Identifiant interne d’exploitation agricole*]]),"",IF(ISERROR(MATCH(FarmUnit[[#This Row],[1. Identifiant interne d’exploitation agricole*]],GroupMember[1. Identifiant interne d’exploitation agricole*],0)),FALSE,TRUE))</f>
        <v>1</v>
      </c>
      <c r="G432" s="4">
        <f t="shared" si="13"/>
        <v>7.0774999999999997</v>
      </c>
      <c r="H432" s="4">
        <f t="shared" si="14"/>
        <v>-8.0736000000000008</v>
      </c>
      <c r="I432" s="20" t="str">
        <f t="array" ref="I432">IF(ISBLANK(C432),"",IF(C432=MAX(IF(FarmUnit[1. Identifiant interne d’exploitation agricole*]=A432,FarmUnit[3. Superficie de l’unité agricole (ha)*])),"!","-"))</f>
        <v>!</v>
      </c>
      <c r="J432" s="9" t="str">
        <f ca="1">IFERROR(CONCATENATE(VLOOKUP(A432,GM_Table,12,FALSE)," ",(VLOOKUP(A432,GM_Table,13,FALSE))),"")</f>
        <v/>
      </c>
    </row>
    <row r="433" spans="1:10" ht="15" x14ac:dyDescent="0.2">
      <c r="A433" s="150" t="s">
        <v>1964</v>
      </c>
      <c r="B433" s="150" t="s">
        <v>1964</v>
      </c>
      <c r="C433" s="264">
        <v>1</v>
      </c>
      <c r="D433" s="265">
        <v>6.9649999999999999</v>
      </c>
      <c r="E433" s="265">
        <v>-8.0602</v>
      </c>
      <c r="F433" s="122" t="b">
        <f>IF(ISBLANK(FarmUnit[[#This Row],[1. Identifiant interne d’exploitation agricole*]]),"",IF(ISERROR(MATCH(FarmUnit[[#This Row],[1. Identifiant interne d’exploitation agricole*]],GroupMember[1. Identifiant interne d’exploitation agricole*],0)),FALSE,TRUE))</f>
        <v>1</v>
      </c>
      <c r="G433" s="4">
        <f t="shared" si="13"/>
        <v>6.9649999999999999</v>
      </c>
      <c r="H433" s="4">
        <f t="shared" si="14"/>
        <v>-8.0602</v>
      </c>
      <c r="I433" s="20" t="str">
        <f t="array" ref="I433">IF(ISBLANK(C433),"",IF(C433=MAX(IF(FarmUnit[1. Identifiant interne d’exploitation agricole*]=A433,FarmUnit[3. Superficie de l’unité agricole (ha)*])),"!","-"))</f>
        <v>!</v>
      </c>
      <c r="J433" s="9" t="str">
        <f ca="1">IFERROR(CONCATENATE(VLOOKUP(A433,GM_Table,12,FALSE)," ",(VLOOKUP(A433,GM_Table,13,FALSE))),"")</f>
        <v/>
      </c>
    </row>
    <row r="434" spans="1:10" ht="15" x14ac:dyDescent="0.2">
      <c r="A434" s="150" t="s">
        <v>1965</v>
      </c>
      <c r="B434" s="150" t="s">
        <v>1965</v>
      </c>
      <c r="C434" s="264">
        <v>2.2599999999999998</v>
      </c>
      <c r="D434" s="265">
        <v>7.1510999999999996</v>
      </c>
      <c r="E434" s="265">
        <v>-8.1152999999999995</v>
      </c>
      <c r="F434" s="122" t="b">
        <f>IF(ISBLANK(FarmUnit[[#This Row],[1. Identifiant interne d’exploitation agricole*]]),"",IF(ISERROR(MATCH(FarmUnit[[#This Row],[1. Identifiant interne d’exploitation agricole*]],GroupMember[1. Identifiant interne d’exploitation agricole*],0)),FALSE,TRUE))</f>
        <v>1</v>
      </c>
      <c r="G434" s="4">
        <f t="shared" si="13"/>
        <v>7.1510999999999996</v>
      </c>
      <c r="H434" s="4">
        <f t="shared" si="14"/>
        <v>-8.1152999999999995</v>
      </c>
      <c r="I434" s="20" t="str">
        <f t="array" ref="I434">IF(ISBLANK(C434),"",IF(C434=MAX(IF(FarmUnit[1. Identifiant interne d’exploitation agricole*]=A434,FarmUnit[3. Superficie de l’unité agricole (ha)*])),"!","-"))</f>
        <v>!</v>
      </c>
      <c r="J434" s="9" t="str">
        <f ca="1">IFERROR(CONCATENATE(VLOOKUP(A434,GM_Table,12,FALSE)," ",(VLOOKUP(A434,GM_Table,13,FALSE))),"")</f>
        <v/>
      </c>
    </row>
    <row r="435" spans="1:10" ht="15" x14ac:dyDescent="0.2">
      <c r="A435" s="150" t="s">
        <v>1966</v>
      </c>
      <c r="B435" s="150" t="s">
        <v>1966</v>
      </c>
      <c r="C435" s="264">
        <v>2.5299999999999998</v>
      </c>
      <c r="D435" s="265">
        <v>6.9149000000000003</v>
      </c>
      <c r="E435" s="265">
        <v>-7.9901999999999997</v>
      </c>
      <c r="F435" s="122" t="b">
        <f>IF(ISBLANK(FarmUnit[[#This Row],[1. Identifiant interne d’exploitation agricole*]]),"",IF(ISERROR(MATCH(FarmUnit[[#This Row],[1. Identifiant interne d’exploitation agricole*]],GroupMember[1. Identifiant interne d’exploitation agricole*],0)),FALSE,TRUE))</f>
        <v>1</v>
      </c>
      <c r="G435" s="4">
        <f t="shared" ref="G435:G498" si="15">IF(D435=0,"",D435)</f>
        <v>6.9149000000000003</v>
      </c>
      <c r="H435" s="4">
        <f t="shared" ref="H435:H498" si="16">IF(E435=0,"",E435)</f>
        <v>-7.9901999999999997</v>
      </c>
      <c r="I435" s="20" t="str">
        <f t="array" ref="I435">IF(ISBLANK(C435),"",IF(C435=MAX(IF(FarmUnit[1. Identifiant interne d’exploitation agricole*]=A435,FarmUnit[3. Superficie de l’unité agricole (ha)*])),"!","-"))</f>
        <v>!</v>
      </c>
      <c r="J435" s="9" t="str">
        <f ca="1">IFERROR(CONCATENATE(VLOOKUP(A435,GM_Table,12,FALSE)," ",(VLOOKUP(A435,GM_Table,13,FALSE))),"")</f>
        <v/>
      </c>
    </row>
    <row r="436" spans="1:10" ht="15" x14ac:dyDescent="0.2">
      <c r="A436" s="193" t="s">
        <v>1969</v>
      </c>
      <c r="B436" s="193" t="s">
        <v>1969</v>
      </c>
      <c r="C436" s="264">
        <v>2</v>
      </c>
      <c r="D436" s="267">
        <v>6.9332130000000003</v>
      </c>
      <c r="E436" s="267">
        <v>-7.9389950000000002</v>
      </c>
      <c r="F436" s="122" t="b">
        <f>IF(ISBLANK(FarmUnit[[#This Row],[1. Identifiant interne d’exploitation agricole*]]),"",IF(ISERROR(MATCH(FarmUnit[[#This Row],[1. Identifiant interne d’exploitation agricole*]],GroupMember[1. Identifiant interne d’exploitation agricole*],0)),FALSE,TRUE))</f>
        <v>1</v>
      </c>
      <c r="G436" s="4">
        <f t="shared" si="15"/>
        <v>6.9332130000000003</v>
      </c>
      <c r="H436" s="4">
        <f t="shared" si="16"/>
        <v>-7.9389950000000002</v>
      </c>
      <c r="I436" s="20" t="str">
        <f t="array" ref="I436">IF(ISBLANK(C436),"",IF(C436=MAX(IF(FarmUnit[1. Identifiant interne d’exploitation agricole*]=A436,FarmUnit[3. Superficie de l’unité agricole (ha)*])),"!","-"))</f>
        <v>!</v>
      </c>
      <c r="J436" s="9" t="str">
        <f ca="1">IFERROR(CONCATENATE(VLOOKUP(A436,GM_Table,12,FALSE)," ",(VLOOKUP(A436,GM_Table,13,FALSE))),"")</f>
        <v/>
      </c>
    </row>
    <row r="437" spans="1:10" ht="15" x14ac:dyDescent="0.2">
      <c r="A437" s="193" t="s">
        <v>1973</v>
      </c>
      <c r="B437" s="193" t="s">
        <v>1973</v>
      </c>
      <c r="C437" s="264">
        <v>1.24</v>
      </c>
      <c r="D437" s="265">
        <v>6.9532999999999996</v>
      </c>
      <c r="E437" s="265">
        <v>-8.0229999999999997</v>
      </c>
      <c r="F437" s="122" t="b">
        <f>IF(ISBLANK(FarmUnit[[#This Row],[1. Identifiant interne d’exploitation agricole*]]),"",IF(ISERROR(MATCH(FarmUnit[[#This Row],[1. Identifiant interne d’exploitation agricole*]],GroupMember[1. Identifiant interne d’exploitation agricole*],0)),FALSE,TRUE))</f>
        <v>1</v>
      </c>
      <c r="G437" s="4">
        <f t="shared" si="15"/>
        <v>6.9532999999999996</v>
      </c>
      <c r="H437" s="4">
        <f t="shared" si="16"/>
        <v>-8.0229999999999997</v>
      </c>
      <c r="I437" s="20" t="str">
        <f t="array" ref="I437">IF(ISBLANK(C437),"",IF(C437=MAX(IF(FarmUnit[1. Identifiant interne d’exploitation agricole*]=A437,FarmUnit[3. Superficie de l’unité agricole (ha)*])),"!","-"))</f>
        <v>!</v>
      </c>
      <c r="J437" s="9" t="str">
        <f ca="1">IFERROR(CONCATENATE(VLOOKUP(A437,GM_Table,12,FALSE)," ",(VLOOKUP(A437,GM_Table,13,FALSE))),"")</f>
        <v/>
      </c>
    </row>
    <row r="438" spans="1:10" ht="15" x14ac:dyDescent="0.2">
      <c r="A438" s="193" t="s">
        <v>1976</v>
      </c>
      <c r="B438" s="193" t="s">
        <v>1976</v>
      </c>
      <c r="C438" s="264">
        <v>2.65</v>
      </c>
      <c r="D438" s="265">
        <v>7.0343999999999998</v>
      </c>
      <c r="E438" s="265">
        <v>-8.0364000000000004</v>
      </c>
      <c r="F438" s="122" t="b">
        <f>IF(ISBLANK(FarmUnit[[#This Row],[1. Identifiant interne d’exploitation agricole*]]),"",IF(ISERROR(MATCH(FarmUnit[[#This Row],[1. Identifiant interne d’exploitation agricole*]],GroupMember[1. Identifiant interne d’exploitation agricole*],0)),FALSE,TRUE))</f>
        <v>1</v>
      </c>
      <c r="G438" s="4">
        <f t="shared" si="15"/>
        <v>7.0343999999999998</v>
      </c>
      <c r="H438" s="4">
        <f t="shared" si="16"/>
        <v>-8.0364000000000004</v>
      </c>
      <c r="I438" s="20" t="str">
        <f t="array" ref="I438">IF(ISBLANK(C438),"",IF(C438=MAX(IF(FarmUnit[1. Identifiant interne d’exploitation agricole*]=A438,FarmUnit[3. Superficie de l’unité agricole (ha)*])),"!","-"))</f>
        <v>!</v>
      </c>
      <c r="J438" s="9" t="str">
        <f ca="1">IFERROR(CONCATENATE(VLOOKUP(A438,GM_Table,12,FALSE)," ",(VLOOKUP(A438,GM_Table,13,FALSE))),"")</f>
        <v/>
      </c>
    </row>
    <row r="439" spans="1:10" ht="15" x14ac:dyDescent="0.2">
      <c r="A439" s="193" t="s">
        <v>1979</v>
      </c>
      <c r="B439" s="193" t="s">
        <v>1979</v>
      </c>
      <c r="C439" s="264">
        <v>1.36</v>
      </c>
      <c r="D439" s="265">
        <v>6.9372999999999996</v>
      </c>
      <c r="E439" s="265">
        <v>-7.9377000000000004</v>
      </c>
      <c r="F439" s="122" t="b">
        <f>IF(ISBLANK(FarmUnit[[#This Row],[1. Identifiant interne d’exploitation agricole*]]),"",IF(ISERROR(MATCH(FarmUnit[[#This Row],[1. Identifiant interne d’exploitation agricole*]],GroupMember[1. Identifiant interne d’exploitation agricole*],0)),FALSE,TRUE))</f>
        <v>1</v>
      </c>
      <c r="G439" s="4">
        <f t="shared" si="15"/>
        <v>6.9372999999999996</v>
      </c>
      <c r="H439" s="4">
        <f t="shared" si="16"/>
        <v>-7.9377000000000004</v>
      </c>
      <c r="I439" s="20" t="str">
        <f t="array" ref="I439">IF(ISBLANK(C439),"",IF(C439=MAX(IF(FarmUnit[1. Identifiant interne d’exploitation agricole*]=A439,FarmUnit[3. Superficie de l’unité agricole (ha)*])),"!","-"))</f>
        <v>!</v>
      </c>
      <c r="J439" s="9" t="str">
        <f ca="1">IFERROR(CONCATENATE(VLOOKUP(A439,GM_Table,12,FALSE)," ",(VLOOKUP(A439,GM_Table,13,FALSE))),"")</f>
        <v/>
      </c>
    </row>
    <row r="440" spans="1:10" ht="15" x14ac:dyDescent="0.2">
      <c r="A440" s="193" t="s">
        <v>1981</v>
      </c>
      <c r="B440" s="193" t="s">
        <v>1981</v>
      </c>
      <c r="C440" s="264">
        <v>6.88</v>
      </c>
      <c r="D440" s="265">
        <v>6.9467999999999996</v>
      </c>
      <c r="E440" s="265">
        <v>-7.8989000000000003</v>
      </c>
      <c r="F440" s="122" t="b">
        <f>IF(ISBLANK(FarmUnit[[#This Row],[1. Identifiant interne d’exploitation agricole*]]),"",IF(ISERROR(MATCH(FarmUnit[[#This Row],[1. Identifiant interne d’exploitation agricole*]],GroupMember[1. Identifiant interne d’exploitation agricole*],0)),FALSE,TRUE))</f>
        <v>1</v>
      </c>
      <c r="G440" s="4">
        <f t="shared" si="15"/>
        <v>6.9467999999999996</v>
      </c>
      <c r="H440" s="4">
        <f t="shared" si="16"/>
        <v>-7.8989000000000003</v>
      </c>
      <c r="I440" s="20" t="str">
        <f t="array" ref="I440">IF(ISBLANK(C440),"",IF(C440=MAX(IF(FarmUnit[1. Identifiant interne d’exploitation agricole*]=A440,FarmUnit[3. Superficie de l’unité agricole (ha)*])),"!","-"))</f>
        <v>!</v>
      </c>
      <c r="J440" s="9" t="str">
        <f ca="1">IFERROR(CONCATENATE(VLOOKUP(A440,GM_Table,12,FALSE)," ",(VLOOKUP(A440,GM_Table,13,FALSE))),"")</f>
        <v/>
      </c>
    </row>
    <row r="441" spans="1:10" ht="15" x14ac:dyDescent="0.2">
      <c r="A441" s="193" t="s">
        <v>1984</v>
      </c>
      <c r="B441" s="193" t="s">
        <v>1984</v>
      </c>
      <c r="C441" s="264">
        <v>2.78</v>
      </c>
      <c r="D441" s="265">
        <v>6.9223999999999997</v>
      </c>
      <c r="E441" s="265">
        <v>-7.9313000000000002</v>
      </c>
      <c r="F441" s="122" t="b">
        <f>IF(ISBLANK(FarmUnit[[#This Row],[1. Identifiant interne d’exploitation agricole*]]),"",IF(ISERROR(MATCH(FarmUnit[[#This Row],[1. Identifiant interne d’exploitation agricole*]],GroupMember[1. Identifiant interne d’exploitation agricole*],0)),FALSE,TRUE))</f>
        <v>1</v>
      </c>
      <c r="G441" s="4">
        <f t="shared" si="15"/>
        <v>6.9223999999999997</v>
      </c>
      <c r="H441" s="4">
        <f t="shared" si="16"/>
        <v>-7.9313000000000002</v>
      </c>
      <c r="I441" s="20" t="str">
        <f t="array" ref="I441">IF(ISBLANK(C441),"",IF(C441=MAX(IF(FarmUnit[1. Identifiant interne d’exploitation agricole*]=A441,FarmUnit[3. Superficie de l’unité agricole (ha)*])),"!","-"))</f>
        <v>!</v>
      </c>
      <c r="J441" s="9" t="str">
        <f ca="1">IFERROR(CONCATENATE(VLOOKUP(A441,GM_Table,12,FALSE)," ",(VLOOKUP(A441,GM_Table,13,FALSE))),"")</f>
        <v/>
      </c>
    </row>
    <row r="442" spans="1:10" ht="15" x14ac:dyDescent="0.2">
      <c r="A442" s="193" t="s">
        <v>1987</v>
      </c>
      <c r="B442" s="193" t="s">
        <v>1987</v>
      </c>
      <c r="C442" s="264">
        <v>1.01</v>
      </c>
      <c r="D442" s="265">
        <v>6.9775</v>
      </c>
      <c r="E442" s="265">
        <v>-8.0146999999999995</v>
      </c>
      <c r="F442" s="122" t="b">
        <f>IF(ISBLANK(FarmUnit[[#This Row],[1. Identifiant interne d’exploitation agricole*]]),"",IF(ISERROR(MATCH(FarmUnit[[#This Row],[1. Identifiant interne d’exploitation agricole*]],GroupMember[1. Identifiant interne d’exploitation agricole*],0)),FALSE,TRUE))</f>
        <v>1</v>
      </c>
      <c r="G442" s="4">
        <f t="shared" si="15"/>
        <v>6.9775</v>
      </c>
      <c r="H442" s="4">
        <f t="shared" si="16"/>
        <v>-8.0146999999999995</v>
      </c>
      <c r="I442" s="20" t="str">
        <f t="array" ref="I442">IF(ISBLANK(C442),"",IF(C442=MAX(IF(FarmUnit[1. Identifiant interne d’exploitation agricole*]=A442,FarmUnit[3. Superficie de l’unité agricole (ha)*])),"!","-"))</f>
        <v>!</v>
      </c>
      <c r="J442" s="9" t="str">
        <f ca="1">IFERROR(CONCATENATE(VLOOKUP(A442,GM_Table,12,FALSE)," ",(VLOOKUP(A442,GM_Table,13,FALSE))),"")</f>
        <v/>
      </c>
    </row>
    <row r="443" spans="1:10" ht="15" x14ac:dyDescent="0.2">
      <c r="A443" s="193" t="s">
        <v>1991</v>
      </c>
      <c r="B443" s="193" t="s">
        <v>1991</v>
      </c>
      <c r="C443" s="264">
        <v>5</v>
      </c>
      <c r="D443" s="267">
        <v>6.9324000000000003</v>
      </c>
      <c r="E443" s="267">
        <v>-7.9321999999999999</v>
      </c>
      <c r="F443" s="122" t="b">
        <f>IF(ISBLANK(FarmUnit[[#This Row],[1. Identifiant interne d’exploitation agricole*]]),"",IF(ISERROR(MATCH(FarmUnit[[#This Row],[1. Identifiant interne d’exploitation agricole*]],GroupMember[1. Identifiant interne d’exploitation agricole*],0)),FALSE,TRUE))</f>
        <v>1</v>
      </c>
      <c r="G443" s="4">
        <f t="shared" si="15"/>
        <v>6.9324000000000003</v>
      </c>
      <c r="H443" s="4">
        <f t="shared" si="16"/>
        <v>-7.9321999999999999</v>
      </c>
      <c r="I443" s="20" t="str">
        <f t="array" ref="I443">IF(ISBLANK(C443),"",IF(C443=MAX(IF(FarmUnit[1. Identifiant interne d’exploitation agricole*]=A443,FarmUnit[3. Superficie de l’unité agricole (ha)*])),"!","-"))</f>
        <v>!</v>
      </c>
      <c r="J443" s="9" t="str">
        <f ca="1">IFERROR(CONCATENATE(VLOOKUP(A443,GM_Table,12,FALSE)," ",(VLOOKUP(A443,GM_Table,13,FALSE))),"")</f>
        <v/>
      </c>
    </row>
    <row r="444" spans="1:10" ht="15" x14ac:dyDescent="0.2">
      <c r="A444" s="193" t="s">
        <v>1993</v>
      </c>
      <c r="B444" s="193" t="s">
        <v>1993</v>
      </c>
      <c r="C444" s="264">
        <v>3.86</v>
      </c>
      <c r="D444" s="265">
        <v>6.9359000000000002</v>
      </c>
      <c r="E444" s="265">
        <v>-7.9311999999999996</v>
      </c>
      <c r="F444" s="122" t="b">
        <f>IF(ISBLANK(FarmUnit[[#This Row],[1. Identifiant interne d’exploitation agricole*]]),"",IF(ISERROR(MATCH(FarmUnit[[#This Row],[1. Identifiant interne d’exploitation agricole*]],GroupMember[1. Identifiant interne d’exploitation agricole*],0)),FALSE,TRUE))</f>
        <v>1</v>
      </c>
      <c r="G444" s="4">
        <f t="shared" si="15"/>
        <v>6.9359000000000002</v>
      </c>
      <c r="H444" s="4">
        <f t="shared" si="16"/>
        <v>-7.9311999999999996</v>
      </c>
      <c r="I444" s="20" t="str">
        <f t="array" ref="I444">IF(ISBLANK(C444),"",IF(C444=MAX(IF(FarmUnit[1. Identifiant interne d’exploitation agricole*]=A444,FarmUnit[3. Superficie de l’unité agricole (ha)*])),"!","-"))</f>
        <v>!</v>
      </c>
      <c r="J444" s="9" t="str">
        <f ca="1">IFERROR(CONCATENATE(VLOOKUP(A444,GM_Table,12,FALSE)," ",(VLOOKUP(A444,GM_Table,13,FALSE))),"")</f>
        <v/>
      </c>
    </row>
    <row r="445" spans="1:10" ht="15" x14ac:dyDescent="0.2">
      <c r="A445" s="193" t="s">
        <v>1997</v>
      </c>
      <c r="B445" s="193" t="s">
        <v>1997</v>
      </c>
      <c r="C445" s="264">
        <v>1.5</v>
      </c>
      <c r="D445" s="265">
        <v>6.9480000000000004</v>
      </c>
      <c r="E445" s="265">
        <v>-7.9348000000000001</v>
      </c>
      <c r="F445" s="122" t="b">
        <f>IF(ISBLANK(FarmUnit[[#This Row],[1. Identifiant interne d’exploitation agricole*]]),"",IF(ISERROR(MATCH(FarmUnit[[#This Row],[1. Identifiant interne d’exploitation agricole*]],GroupMember[1. Identifiant interne d’exploitation agricole*],0)),FALSE,TRUE))</f>
        <v>1</v>
      </c>
      <c r="G445" s="4">
        <f t="shared" si="15"/>
        <v>6.9480000000000004</v>
      </c>
      <c r="H445" s="4">
        <f t="shared" si="16"/>
        <v>-7.9348000000000001</v>
      </c>
      <c r="I445" s="20" t="str">
        <f t="array" ref="I445">IF(ISBLANK(C445),"",IF(C445=MAX(IF(FarmUnit[1. Identifiant interne d’exploitation agricole*]=A445,FarmUnit[3. Superficie de l’unité agricole (ha)*])),"!","-"))</f>
        <v>!</v>
      </c>
      <c r="J445" s="9" t="str">
        <f ca="1">IFERROR(CONCATENATE(VLOOKUP(A445,GM_Table,12,FALSE)," ",(VLOOKUP(A445,GM_Table,13,FALSE))),"")</f>
        <v/>
      </c>
    </row>
    <row r="446" spans="1:10" ht="15" x14ac:dyDescent="0.2">
      <c r="A446" s="193" t="s">
        <v>1999</v>
      </c>
      <c r="B446" s="193" t="s">
        <v>1999</v>
      </c>
      <c r="C446" s="264">
        <v>3</v>
      </c>
      <c r="D446" s="267">
        <v>6.9344000000000001</v>
      </c>
      <c r="E446" s="267">
        <v>-7.9385000000000003</v>
      </c>
      <c r="F446" s="122" t="b">
        <f>IF(ISBLANK(FarmUnit[[#This Row],[1. Identifiant interne d’exploitation agricole*]]),"",IF(ISERROR(MATCH(FarmUnit[[#This Row],[1. Identifiant interne d’exploitation agricole*]],GroupMember[1. Identifiant interne d’exploitation agricole*],0)),FALSE,TRUE))</f>
        <v>1</v>
      </c>
      <c r="G446" s="4">
        <f t="shared" si="15"/>
        <v>6.9344000000000001</v>
      </c>
      <c r="H446" s="4">
        <f t="shared" si="16"/>
        <v>-7.9385000000000003</v>
      </c>
      <c r="I446" s="20" t="str">
        <f t="array" ref="I446">IF(ISBLANK(C446),"",IF(C446=MAX(IF(FarmUnit[1. Identifiant interne d’exploitation agricole*]=A446,FarmUnit[3. Superficie de l’unité agricole (ha)*])),"!","-"))</f>
        <v>!</v>
      </c>
      <c r="J446" s="9" t="str">
        <f ca="1">IFERROR(CONCATENATE(VLOOKUP(A446,GM_Table,12,FALSE)," ",(VLOOKUP(A446,GM_Table,13,FALSE))),"")</f>
        <v/>
      </c>
    </row>
    <row r="447" spans="1:10" ht="15" x14ac:dyDescent="0.2">
      <c r="A447" s="193" t="s">
        <v>2001</v>
      </c>
      <c r="B447" s="193" t="s">
        <v>2001</v>
      </c>
      <c r="C447" s="264">
        <v>1.64</v>
      </c>
      <c r="D447" s="265">
        <v>6.9450000000000003</v>
      </c>
      <c r="E447" s="265">
        <v>-8.1233000000000004</v>
      </c>
      <c r="F447" s="122" t="b">
        <f>IF(ISBLANK(FarmUnit[[#This Row],[1. Identifiant interne d’exploitation agricole*]]),"",IF(ISERROR(MATCH(FarmUnit[[#This Row],[1. Identifiant interne d’exploitation agricole*]],GroupMember[1. Identifiant interne d’exploitation agricole*],0)),FALSE,TRUE))</f>
        <v>1</v>
      </c>
      <c r="G447" s="4">
        <f t="shared" si="15"/>
        <v>6.9450000000000003</v>
      </c>
      <c r="H447" s="4">
        <f t="shared" si="16"/>
        <v>-8.1233000000000004</v>
      </c>
      <c r="I447" s="20" t="str">
        <f t="array" ref="I447">IF(ISBLANK(C447),"",IF(C447=MAX(IF(FarmUnit[1. Identifiant interne d’exploitation agricole*]=A447,FarmUnit[3. Superficie de l’unité agricole (ha)*])),"!","-"))</f>
        <v>!</v>
      </c>
      <c r="J447" s="9" t="str">
        <f ca="1">IFERROR(CONCATENATE(VLOOKUP(A447,GM_Table,12,FALSE)," ",(VLOOKUP(A447,GM_Table,13,FALSE))),"")</f>
        <v/>
      </c>
    </row>
    <row r="448" spans="1:10" ht="15" x14ac:dyDescent="0.2">
      <c r="A448" s="193" t="s">
        <v>2003</v>
      </c>
      <c r="B448" s="193" t="s">
        <v>2003</v>
      </c>
      <c r="C448" s="264">
        <v>1.78</v>
      </c>
      <c r="D448" s="265">
        <v>7.0331000000000001</v>
      </c>
      <c r="E448" s="265">
        <v>-8.1968999999999994</v>
      </c>
      <c r="F448" s="122" t="b">
        <f>IF(ISBLANK(FarmUnit[[#This Row],[1. Identifiant interne d’exploitation agricole*]]),"",IF(ISERROR(MATCH(FarmUnit[[#This Row],[1. Identifiant interne d’exploitation agricole*]],GroupMember[1. Identifiant interne d’exploitation agricole*],0)),FALSE,TRUE))</f>
        <v>1</v>
      </c>
      <c r="G448" s="4">
        <f t="shared" si="15"/>
        <v>7.0331000000000001</v>
      </c>
      <c r="H448" s="4">
        <f t="shared" si="16"/>
        <v>-8.1968999999999994</v>
      </c>
      <c r="I448" s="20" t="str">
        <f t="array" ref="I448">IF(ISBLANK(C448),"",IF(C448=MAX(IF(FarmUnit[1. Identifiant interne d’exploitation agricole*]=A448,FarmUnit[3. Superficie de l’unité agricole (ha)*])),"!","-"))</f>
        <v>!</v>
      </c>
      <c r="J448" s="9" t="str">
        <f ca="1">IFERROR(CONCATENATE(VLOOKUP(A448,GM_Table,12,FALSE)," ",(VLOOKUP(A448,GM_Table,13,FALSE))),"")</f>
        <v/>
      </c>
    </row>
    <row r="449" spans="1:10" ht="15" x14ac:dyDescent="0.2">
      <c r="A449" s="193" t="s">
        <v>2006</v>
      </c>
      <c r="B449" s="193" t="s">
        <v>2006</v>
      </c>
      <c r="C449" s="264">
        <v>1.53</v>
      </c>
      <c r="D449" s="265">
        <v>6.9504000000000001</v>
      </c>
      <c r="E449" s="265">
        <v>-7.9363999999999999</v>
      </c>
      <c r="F449" s="122" t="b">
        <f>IF(ISBLANK(FarmUnit[[#This Row],[1. Identifiant interne d’exploitation agricole*]]),"",IF(ISERROR(MATCH(FarmUnit[[#This Row],[1. Identifiant interne d’exploitation agricole*]],GroupMember[1. Identifiant interne d’exploitation agricole*],0)),FALSE,TRUE))</f>
        <v>1</v>
      </c>
      <c r="G449" s="4">
        <f t="shared" si="15"/>
        <v>6.9504000000000001</v>
      </c>
      <c r="H449" s="4">
        <f t="shared" si="16"/>
        <v>-7.9363999999999999</v>
      </c>
      <c r="I449" s="20" t="str">
        <f t="array" ref="I449">IF(ISBLANK(C449),"",IF(C449=MAX(IF(FarmUnit[1. Identifiant interne d’exploitation agricole*]=A449,FarmUnit[3. Superficie de l’unité agricole (ha)*])),"!","-"))</f>
        <v>!</v>
      </c>
      <c r="J449" s="9" t="str">
        <f ca="1">IFERROR(CONCATENATE(VLOOKUP(A449,GM_Table,12,FALSE)," ",(VLOOKUP(A449,GM_Table,13,FALSE))),"")</f>
        <v/>
      </c>
    </row>
    <row r="450" spans="1:10" ht="15" x14ac:dyDescent="0.2">
      <c r="A450" s="193" t="s">
        <v>2009</v>
      </c>
      <c r="B450" s="193" t="s">
        <v>2009</v>
      </c>
      <c r="C450" s="264">
        <v>1.79</v>
      </c>
      <c r="D450" s="265">
        <v>7.0227000000000004</v>
      </c>
      <c r="E450" s="265">
        <v>-8.2624999999999993</v>
      </c>
      <c r="F450" s="122" t="b">
        <f>IF(ISBLANK(FarmUnit[[#This Row],[1. Identifiant interne d’exploitation agricole*]]),"",IF(ISERROR(MATCH(FarmUnit[[#This Row],[1. Identifiant interne d’exploitation agricole*]],GroupMember[1. Identifiant interne d’exploitation agricole*],0)),FALSE,TRUE))</f>
        <v>1</v>
      </c>
      <c r="G450" s="4">
        <f t="shared" si="15"/>
        <v>7.0227000000000004</v>
      </c>
      <c r="H450" s="4">
        <f t="shared" si="16"/>
        <v>-8.2624999999999993</v>
      </c>
      <c r="I450" s="20" t="str">
        <f t="array" ref="I450">IF(ISBLANK(C450),"",IF(C450=MAX(IF(FarmUnit[1. Identifiant interne d’exploitation agricole*]=A450,FarmUnit[3. Superficie de l’unité agricole (ha)*])),"!","-"))</f>
        <v>!</v>
      </c>
      <c r="J450" s="9" t="str">
        <f ca="1">IFERROR(CONCATENATE(VLOOKUP(A450,GM_Table,12,FALSE)," ",(VLOOKUP(A450,GM_Table,13,FALSE))),"")</f>
        <v/>
      </c>
    </row>
    <row r="451" spans="1:10" ht="15" x14ac:dyDescent="0.2">
      <c r="A451" s="193" t="s">
        <v>2013</v>
      </c>
      <c r="B451" s="193" t="s">
        <v>2013</v>
      </c>
      <c r="C451" s="264">
        <v>1.71</v>
      </c>
      <c r="D451" s="265">
        <v>7.1047000000000002</v>
      </c>
      <c r="E451" s="265">
        <v>-8.1483000000000008</v>
      </c>
      <c r="F451" s="122" t="b">
        <f>IF(ISBLANK(FarmUnit[[#This Row],[1. Identifiant interne d’exploitation agricole*]]),"",IF(ISERROR(MATCH(FarmUnit[[#This Row],[1. Identifiant interne d’exploitation agricole*]],GroupMember[1. Identifiant interne d’exploitation agricole*],0)),FALSE,TRUE))</f>
        <v>1</v>
      </c>
      <c r="G451" s="4">
        <f t="shared" si="15"/>
        <v>7.1047000000000002</v>
      </c>
      <c r="H451" s="4">
        <f t="shared" si="16"/>
        <v>-8.1483000000000008</v>
      </c>
      <c r="I451" s="20" t="str">
        <f t="array" ref="I451">IF(ISBLANK(C451),"",IF(C451=MAX(IF(FarmUnit[1. Identifiant interne d’exploitation agricole*]=A451,FarmUnit[3. Superficie de l’unité agricole (ha)*])),"!","-"))</f>
        <v>!</v>
      </c>
      <c r="J451" s="9" t="str">
        <f ca="1">IFERROR(CONCATENATE(VLOOKUP(A451,GM_Table,12,FALSE)," ",(VLOOKUP(A451,GM_Table,13,FALSE))),"")</f>
        <v/>
      </c>
    </row>
    <row r="452" spans="1:10" ht="15" x14ac:dyDescent="0.2">
      <c r="A452" s="193" t="s">
        <v>2016</v>
      </c>
      <c r="B452" s="193" t="s">
        <v>2016</v>
      </c>
      <c r="C452" s="264">
        <v>0.92</v>
      </c>
      <c r="D452" s="265">
        <v>7.0118999999999998</v>
      </c>
      <c r="E452" s="265">
        <v>-8.1244999999999994</v>
      </c>
      <c r="F452" s="122" t="b">
        <f>IF(ISBLANK(FarmUnit[[#This Row],[1. Identifiant interne d’exploitation agricole*]]),"",IF(ISERROR(MATCH(FarmUnit[[#This Row],[1. Identifiant interne d’exploitation agricole*]],GroupMember[1. Identifiant interne d’exploitation agricole*],0)),FALSE,TRUE))</f>
        <v>1</v>
      </c>
      <c r="G452" s="4">
        <f t="shared" si="15"/>
        <v>7.0118999999999998</v>
      </c>
      <c r="H452" s="4">
        <f t="shared" si="16"/>
        <v>-8.1244999999999994</v>
      </c>
      <c r="I452" s="20" t="str">
        <f t="array" ref="I452">IF(ISBLANK(C452),"",IF(C452=MAX(IF(FarmUnit[1. Identifiant interne d’exploitation agricole*]=A452,FarmUnit[3. Superficie de l’unité agricole (ha)*])),"!","-"))</f>
        <v>!</v>
      </c>
      <c r="J452" s="9" t="str">
        <f ca="1">IFERROR(CONCATENATE(VLOOKUP(A452,GM_Table,12,FALSE)," ",(VLOOKUP(A452,GM_Table,13,FALSE))),"")</f>
        <v/>
      </c>
    </row>
    <row r="453" spans="1:10" ht="15" x14ac:dyDescent="0.2">
      <c r="A453" s="193" t="s">
        <v>2019</v>
      </c>
      <c r="B453" s="193" t="s">
        <v>2019</v>
      </c>
      <c r="C453" s="264">
        <v>0.81</v>
      </c>
      <c r="D453" s="265">
        <v>6.9166999999999996</v>
      </c>
      <c r="E453" s="265">
        <v>-8.1592000000000002</v>
      </c>
      <c r="F453" s="122" t="b">
        <f>IF(ISBLANK(FarmUnit[[#This Row],[1. Identifiant interne d’exploitation agricole*]]),"",IF(ISERROR(MATCH(FarmUnit[[#This Row],[1. Identifiant interne d’exploitation agricole*]],GroupMember[1. Identifiant interne d’exploitation agricole*],0)),FALSE,TRUE))</f>
        <v>1</v>
      </c>
      <c r="G453" s="4">
        <f t="shared" si="15"/>
        <v>6.9166999999999996</v>
      </c>
      <c r="H453" s="4">
        <f t="shared" si="16"/>
        <v>-8.1592000000000002</v>
      </c>
      <c r="I453" s="20" t="str">
        <f t="array" ref="I453">IF(ISBLANK(C453),"",IF(C453=MAX(IF(FarmUnit[1. Identifiant interne d’exploitation agricole*]=A453,FarmUnit[3. Superficie de l’unité agricole (ha)*])),"!","-"))</f>
        <v>!</v>
      </c>
      <c r="J453" s="9" t="str">
        <f ca="1">IFERROR(CONCATENATE(VLOOKUP(A453,GM_Table,12,FALSE)," ",(VLOOKUP(A453,GM_Table,13,FALSE))),"")</f>
        <v/>
      </c>
    </row>
    <row r="454" spans="1:10" ht="15" x14ac:dyDescent="0.2">
      <c r="A454" s="193" t="s">
        <v>2022</v>
      </c>
      <c r="B454" s="193" t="s">
        <v>2022</v>
      </c>
      <c r="C454" s="264">
        <v>1.45</v>
      </c>
      <c r="D454" s="265">
        <v>6.9463999999999997</v>
      </c>
      <c r="E454" s="265">
        <v>-7.9307999999999996</v>
      </c>
      <c r="F454" s="122" t="b">
        <f>IF(ISBLANK(FarmUnit[[#This Row],[1. Identifiant interne d’exploitation agricole*]]),"",IF(ISERROR(MATCH(FarmUnit[[#This Row],[1. Identifiant interne d’exploitation agricole*]],GroupMember[1. Identifiant interne d’exploitation agricole*],0)),FALSE,TRUE))</f>
        <v>1</v>
      </c>
      <c r="G454" s="4">
        <f t="shared" si="15"/>
        <v>6.9463999999999997</v>
      </c>
      <c r="H454" s="4">
        <f t="shared" si="16"/>
        <v>-7.9307999999999996</v>
      </c>
      <c r="I454" s="20" t="str">
        <f t="array" ref="I454">IF(ISBLANK(C454),"",IF(C454=MAX(IF(FarmUnit[1. Identifiant interne d’exploitation agricole*]=A454,FarmUnit[3. Superficie de l’unité agricole (ha)*])),"!","-"))</f>
        <v>!</v>
      </c>
      <c r="J454" s="9" t="str">
        <f ca="1">IFERROR(CONCATENATE(VLOOKUP(A454,GM_Table,12,FALSE)," ",(VLOOKUP(A454,GM_Table,13,FALSE))),"")</f>
        <v/>
      </c>
    </row>
    <row r="455" spans="1:10" ht="15" x14ac:dyDescent="0.2">
      <c r="A455" s="193" t="s">
        <v>2023</v>
      </c>
      <c r="B455" s="193" t="s">
        <v>2023</v>
      </c>
      <c r="C455" s="264">
        <v>1.84</v>
      </c>
      <c r="D455" s="265">
        <v>6.9476000000000004</v>
      </c>
      <c r="E455" s="265">
        <v>-7.9337999999999997</v>
      </c>
      <c r="F455" s="122" t="b">
        <f>IF(ISBLANK(FarmUnit[[#This Row],[1. Identifiant interne d’exploitation agricole*]]),"",IF(ISERROR(MATCH(FarmUnit[[#This Row],[1. Identifiant interne d’exploitation agricole*]],GroupMember[1. Identifiant interne d’exploitation agricole*],0)),FALSE,TRUE))</f>
        <v>1</v>
      </c>
      <c r="G455" s="4">
        <f t="shared" si="15"/>
        <v>6.9476000000000004</v>
      </c>
      <c r="H455" s="4">
        <f t="shared" si="16"/>
        <v>-7.9337999999999997</v>
      </c>
      <c r="I455" s="20" t="str">
        <f t="array" ref="I455">IF(ISBLANK(C455),"",IF(C455=MAX(IF(FarmUnit[1. Identifiant interne d’exploitation agricole*]=A455,FarmUnit[3. Superficie de l’unité agricole (ha)*])),"!","-"))</f>
        <v>!</v>
      </c>
      <c r="J455" s="9" t="str">
        <f ca="1">IFERROR(CONCATENATE(VLOOKUP(A455,GM_Table,12,FALSE)," ",(VLOOKUP(A455,GM_Table,13,FALSE))),"")</f>
        <v/>
      </c>
    </row>
    <row r="456" spans="1:10" ht="15" x14ac:dyDescent="0.2">
      <c r="A456" s="193" t="s">
        <v>2025</v>
      </c>
      <c r="B456" s="193" t="s">
        <v>2025</v>
      </c>
      <c r="C456" s="264">
        <v>2.44</v>
      </c>
      <c r="D456" s="265">
        <v>7.1463999999999999</v>
      </c>
      <c r="E456" s="265">
        <v>-8.2243999999999993</v>
      </c>
      <c r="F456" s="122" t="b">
        <f>IF(ISBLANK(FarmUnit[[#This Row],[1. Identifiant interne d’exploitation agricole*]]),"",IF(ISERROR(MATCH(FarmUnit[[#This Row],[1. Identifiant interne d’exploitation agricole*]],GroupMember[1. Identifiant interne d’exploitation agricole*],0)),FALSE,TRUE))</f>
        <v>1</v>
      </c>
      <c r="G456" s="4">
        <f t="shared" si="15"/>
        <v>7.1463999999999999</v>
      </c>
      <c r="H456" s="4">
        <f t="shared" si="16"/>
        <v>-8.2243999999999993</v>
      </c>
      <c r="I456" s="20" t="str">
        <f t="array" ref="I456">IF(ISBLANK(C456),"",IF(C456=MAX(IF(FarmUnit[1. Identifiant interne d’exploitation agricole*]=A456,FarmUnit[3. Superficie de l’unité agricole (ha)*])),"!","-"))</f>
        <v>!</v>
      </c>
      <c r="J456" s="9" t="str">
        <f ca="1">IFERROR(CONCATENATE(VLOOKUP(A456,GM_Table,12,FALSE)," ",(VLOOKUP(A456,GM_Table,13,FALSE))),"")</f>
        <v/>
      </c>
    </row>
    <row r="457" spans="1:10" ht="15" x14ac:dyDescent="0.2">
      <c r="A457" s="193" t="s">
        <v>2027</v>
      </c>
      <c r="B457" s="193" t="s">
        <v>2027</v>
      </c>
      <c r="C457" s="264">
        <v>1.0900000000000001</v>
      </c>
      <c r="D457" s="265">
        <v>7.1108000000000002</v>
      </c>
      <c r="E457" s="265">
        <v>-8.0596999999999994</v>
      </c>
      <c r="F457" s="122" t="b">
        <f>IF(ISBLANK(FarmUnit[[#This Row],[1. Identifiant interne d’exploitation agricole*]]),"",IF(ISERROR(MATCH(FarmUnit[[#This Row],[1. Identifiant interne d’exploitation agricole*]],GroupMember[1. Identifiant interne d’exploitation agricole*],0)),FALSE,TRUE))</f>
        <v>1</v>
      </c>
      <c r="G457" s="4">
        <f t="shared" si="15"/>
        <v>7.1108000000000002</v>
      </c>
      <c r="H457" s="4">
        <f t="shared" si="16"/>
        <v>-8.0596999999999994</v>
      </c>
      <c r="I457" s="20" t="str">
        <f t="array" ref="I457">IF(ISBLANK(C457),"",IF(C457=MAX(IF(FarmUnit[1. Identifiant interne d’exploitation agricole*]=A457,FarmUnit[3. Superficie de l’unité agricole (ha)*])),"!","-"))</f>
        <v>!</v>
      </c>
      <c r="J457" s="9" t="str">
        <f ca="1">IFERROR(CONCATENATE(VLOOKUP(A457,GM_Table,12,FALSE)," ",(VLOOKUP(A457,GM_Table,13,FALSE))),"")</f>
        <v/>
      </c>
    </row>
    <row r="458" spans="1:10" ht="15" x14ac:dyDescent="0.2">
      <c r="A458" s="193" t="s">
        <v>2031</v>
      </c>
      <c r="B458" s="193" t="s">
        <v>2031</v>
      </c>
      <c r="C458" s="264">
        <v>2</v>
      </c>
      <c r="D458" s="267">
        <v>6.9269999999999996</v>
      </c>
      <c r="E458" s="267">
        <v>-7.9321999999999999</v>
      </c>
      <c r="F458" s="122" t="b">
        <f>IF(ISBLANK(FarmUnit[[#This Row],[1. Identifiant interne d’exploitation agricole*]]),"",IF(ISERROR(MATCH(FarmUnit[[#This Row],[1. Identifiant interne d’exploitation agricole*]],GroupMember[1. Identifiant interne d’exploitation agricole*],0)),FALSE,TRUE))</f>
        <v>1</v>
      </c>
      <c r="G458" s="4">
        <f t="shared" si="15"/>
        <v>6.9269999999999996</v>
      </c>
      <c r="H458" s="4">
        <f t="shared" si="16"/>
        <v>-7.9321999999999999</v>
      </c>
      <c r="I458" s="20" t="str">
        <f t="array" ref="I458">IF(ISBLANK(C458),"",IF(C458=MAX(IF(FarmUnit[1. Identifiant interne d’exploitation agricole*]=A458,FarmUnit[3. Superficie de l’unité agricole (ha)*])),"!","-"))</f>
        <v>!</v>
      </c>
      <c r="J458" s="9" t="str">
        <f ca="1">IFERROR(CONCATENATE(VLOOKUP(A458,GM_Table,12,FALSE)," ",(VLOOKUP(A458,GM_Table,13,FALSE))),"")</f>
        <v/>
      </c>
    </row>
    <row r="459" spans="1:10" ht="15" x14ac:dyDescent="0.2">
      <c r="A459" s="193" t="s">
        <v>2033</v>
      </c>
      <c r="B459" s="193" t="s">
        <v>2033</v>
      </c>
      <c r="C459" s="264">
        <v>1.34</v>
      </c>
      <c r="D459" s="265">
        <v>6.9360999999999997</v>
      </c>
      <c r="E459" s="265">
        <v>-7.9290000000000003</v>
      </c>
      <c r="F459" s="122" t="b">
        <f>IF(ISBLANK(FarmUnit[[#This Row],[1. Identifiant interne d’exploitation agricole*]]),"",IF(ISERROR(MATCH(FarmUnit[[#This Row],[1. Identifiant interne d’exploitation agricole*]],GroupMember[1. Identifiant interne d’exploitation agricole*],0)),FALSE,TRUE))</f>
        <v>1</v>
      </c>
      <c r="G459" s="4">
        <f t="shared" si="15"/>
        <v>6.9360999999999997</v>
      </c>
      <c r="H459" s="4">
        <f t="shared" si="16"/>
        <v>-7.9290000000000003</v>
      </c>
      <c r="I459" s="20" t="str">
        <f t="array" ref="I459">IF(ISBLANK(C459),"",IF(C459=MAX(IF(FarmUnit[1. Identifiant interne d’exploitation agricole*]=A459,FarmUnit[3. Superficie de l’unité agricole (ha)*])),"!","-"))</f>
        <v>!</v>
      </c>
      <c r="J459" s="9" t="str">
        <f ca="1">IFERROR(CONCATENATE(VLOOKUP(A459,GM_Table,12,FALSE)," ",(VLOOKUP(A459,GM_Table,13,FALSE))),"")</f>
        <v/>
      </c>
    </row>
    <row r="460" spans="1:10" ht="15" x14ac:dyDescent="0.2">
      <c r="A460" s="193" t="s">
        <v>2035</v>
      </c>
      <c r="B460" s="193" t="s">
        <v>2035</v>
      </c>
      <c r="C460" s="264">
        <v>1.79</v>
      </c>
      <c r="D460" s="265">
        <v>7.0724999999999998</v>
      </c>
      <c r="E460" s="265">
        <v>-8.2292000000000005</v>
      </c>
      <c r="F460" s="122" t="b">
        <f>IF(ISBLANK(FarmUnit[[#This Row],[1. Identifiant interne d’exploitation agricole*]]),"",IF(ISERROR(MATCH(FarmUnit[[#This Row],[1. Identifiant interne d’exploitation agricole*]],GroupMember[1. Identifiant interne d’exploitation agricole*],0)),FALSE,TRUE))</f>
        <v>1</v>
      </c>
      <c r="G460" s="4">
        <f t="shared" si="15"/>
        <v>7.0724999999999998</v>
      </c>
      <c r="H460" s="4">
        <f t="shared" si="16"/>
        <v>-8.2292000000000005</v>
      </c>
      <c r="I460" s="20" t="str">
        <f t="array" ref="I460">IF(ISBLANK(C460),"",IF(C460=MAX(IF(FarmUnit[1. Identifiant interne d’exploitation agricole*]=A460,FarmUnit[3. Superficie de l’unité agricole (ha)*])),"!","-"))</f>
        <v>!</v>
      </c>
      <c r="J460" s="9" t="str">
        <f ca="1">IFERROR(CONCATENATE(VLOOKUP(A460,GM_Table,12,FALSE)," ",(VLOOKUP(A460,GM_Table,13,FALSE))),"")</f>
        <v/>
      </c>
    </row>
    <row r="461" spans="1:10" ht="15" x14ac:dyDescent="0.2">
      <c r="A461" s="193" t="s">
        <v>2039</v>
      </c>
      <c r="B461" s="193" t="s">
        <v>2039</v>
      </c>
      <c r="C461" s="264">
        <v>1.66</v>
      </c>
      <c r="D461" s="265">
        <v>7.0896999999999997</v>
      </c>
      <c r="E461" s="265">
        <v>-8.2630999999999997</v>
      </c>
      <c r="F461" s="122" t="b">
        <f>IF(ISBLANK(FarmUnit[[#This Row],[1. Identifiant interne d’exploitation agricole*]]),"",IF(ISERROR(MATCH(FarmUnit[[#This Row],[1. Identifiant interne d’exploitation agricole*]],GroupMember[1. Identifiant interne d’exploitation agricole*],0)),FALSE,TRUE))</f>
        <v>1</v>
      </c>
      <c r="G461" s="4">
        <f t="shared" si="15"/>
        <v>7.0896999999999997</v>
      </c>
      <c r="H461" s="4">
        <f t="shared" si="16"/>
        <v>-8.2630999999999997</v>
      </c>
      <c r="I461" s="20" t="str">
        <f t="array" ref="I461">IF(ISBLANK(C461),"",IF(C461=MAX(IF(FarmUnit[1. Identifiant interne d’exploitation agricole*]=A461,FarmUnit[3. Superficie de l’unité agricole (ha)*])),"!","-"))</f>
        <v>!</v>
      </c>
      <c r="J461" s="9" t="str">
        <f ca="1">IFERROR(CONCATENATE(VLOOKUP(A461,GM_Table,12,FALSE)," ",(VLOOKUP(A461,GM_Table,13,FALSE))),"")</f>
        <v/>
      </c>
    </row>
    <row r="462" spans="1:10" ht="15" x14ac:dyDescent="0.2">
      <c r="A462" s="193" t="s">
        <v>2043</v>
      </c>
      <c r="B462" s="193" t="s">
        <v>2043</v>
      </c>
      <c r="C462" s="264">
        <v>1.33</v>
      </c>
      <c r="D462" s="265">
        <v>6.9256000000000002</v>
      </c>
      <c r="E462" s="265">
        <v>-7.9363999999999999</v>
      </c>
      <c r="F462" s="122" t="b">
        <f>IF(ISBLANK(FarmUnit[[#This Row],[1. Identifiant interne d’exploitation agricole*]]),"",IF(ISERROR(MATCH(FarmUnit[[#This Row],[1. Identifiant interne d’exploitation agricole*]],GroupMember[1. Identifiant interne d’exploitation agricole*],0)),FALSE,TRUE))</f>
        <v>1</v>
      </c>
      <c r="G462" s="4">
        <f t="shared" si="15"/>
        <v>6.9256000000000002</v>
      </c>
      <c r="H462" s="4">
        <f t="shared" si="16"/>
        <v>-7.9363999999999999</v>
      </c>
      <c r="I462" s="20" t="str">
        <f t="array" ref="I462">IF(ISBLANK(C462),"",IF(C462=MAX(IF(FarmUnit[1. Identifiant interne d’exploitation agricole*]=A462,FarmUnit[3. Superficie de l’unité agricole (ha)*])),"!","-"))</f>
        <v>!</v>
      </c>
      <c r="J462" s="9" t="str">
        <f ca="1">IFERROR(CONCATENATE(VLOOKUP(A462,GM_Table,12,FALSE)," ",(VLOOKUP(A462,GM_Table,13,FALSE))),"")</f>
        <v/>
      </c>
    </row>
    <row r="463" spans="1:10" ht="15" x14ac:dyDescent="0.2">
      <c r="A463" s="193" t="s">
        <v>2046</v>
      </c>
      <c r="B463" s="193" t="s">
        <v>2046</v>
      </c>
      <c r="C463" s="264">
        <v>1.97</v>
      </c>
      <c r="D463" s="265">
        <v>6.9196999999999997</v>
      </c>
      <c r="E463" s="265">
        <v>-7.9379</v>
      </c>
      <c r="F463" s="122" t="b">
        <f>IF(ISBLANK(FarmUnit[[#This Row],[1. Identifiant interne d’exploitation agricole*]]),"",IF(ISERROR(MATCH(FarmUnit[[#This Row],[1. Identifiant interne d’exploitation agricole*]],GroupMember[1. Identifiant interne d’exploitation agricole*],0)),FALSE,TRUE))</f>
        <v>1</v>
      </c>
      <c r="G463" s="4">
        <f t="shared" si="15"/>
        <v>6.9196999999999997</v>
      </c>
      <c r="H463" s="4">
        <f t="shared" si="16"/>
        <v>-7.9379</v>
      </c>
      <c r="I463" s="20" t="str">
        <f t="array" ref="I463">IF(ISBLANK(C463),"",IF(C463=MAX(IF(FarmUnit[1. Identifiant interne d’exploitation agricole*]=A463,FarmUnit[3. Superficie de l’unité agricole (ha)*])),"!","-"))</f>
        <v>!</v>
      </c>
      <c r="J463" s="9" t="str">
        <f ca="1">IFERROR(CONCATENATE(VLOOKUP(A463,GM_Table,12,FALSE)," ",(VLOOKUP(A463,GM_Table,13,FALSE))),"")</f>
        <v/>
      </c>
    </row>
    <row r="464" spans="1:10" ht="15" x14ac:dyDescent="0.2">
      <c r="A464" s="193" t="s">
        <v>2048</v>
      </c>
      <c r="B464" s="193" t="s">
        <v>2048</v>
      </c>
      <c r="C464" s="264">
        <v>3.27</v>
      </c>
      <c r="D464" s="265">
        <v>6.9813999999999998</v>
      </c>
      <c r="E464" s="265">
        <v>-8.1547000000000001</v>
      </c>
      <c r="F464" s="122" t="b">
        <f>IF(ISBLANK(FarmUnit[[#This Row],[1. Identifiant interne d’exploitation agricole*]]),"",IF(ISERROR(MATCH(FarmUnit[[#This Row],[1. Identifiant interne d’exploitation agricole*]],GroupMember[1. Identifiant interne d’exploitation agricole*],0)),FALSE,TRUE))</f>
        <v>1</v>
      </c>
      <c r="G464" s="4">
        <f t="shared" si="15"/>
        <v>6.9813999999999998</v>
      </c>
      <c r="H464" s="4">
        <f t="shared" si="16"/>
        <v>-8.1547000000000001</v>
      </c>
      <c r="I464" s="20" t="str">
        <f t="array" ref="I464">IF(ISBLANK(C464),"",IF(C464=MAX(IF(FarmUnit[1. Identifiant interne d’exploitation agricole*]=A464,FarmUnit[3. Superficie de l’unité agricole (ha)*])),"!","-"))</f>
        <v>!</v>
      </c>
      <c r="J464" s="9" t="str">
        <f ca="1">IFERROR(CONCATENATE(VLOOKUP(A464,GM_Table,12,FALSE)," ",(VLOOKUP(A464,GM_Table,13,FALSE))),"")</f>
        <v/>
      </c>
    </row>
    <row r="465" spans="1:10" ht="15" x14ac:dyDescent="0.2">
      <c r="A465" s="193" t="s">
        <v>2052</v>
      </c>
      <c r="B465" s="193" t="s">
        <v>2052</v>
      </c>
      <c r="C465" s="264">
        <v>5.31</v>
      </c>
      <c r="D465" s="265">
        <v>7.0506000000000002</v>
      </c>
      <c r="E465" s="265">
        <v>-8.1006</v>
      </c>
      <c r="F465" s="122" t="b">
        <f>IF(ISBLANK(FarmUnit[[#This Row],[1. Identifiant interne d’exploitation agricole*]]),"",IF(ISERROR(MATCH(FarmUnit[[#This Row],[1. Identifiant interne d’exploitation agricole*]],GroupMember[1. Identifiant interne d’exploitation agricole*],0)),FALSE,TRUE))</f>
        <v>1</v>
      </c>
      <c r="G465" s="4">
        <f t="shared" si="15"/>
        <v>7.0506000000000002</v>
      </c>
      <c r="H465" s="4">
        <f t="shared" si="16"/>
        <v>-8.1006</v>
      </c>
      <c r="I465" s="20" t="str">
        <f t="array" ref="I465">IF(ISBLANK(C465),"",IF(C465=MAX(IF(FarmUnit[1. Identifiant interne d’exploitation agricole*]=A465,FarmUnit[3. Superficie de l’unité agricole (ha)*])),"!","-"))</f>
        <v>!</v>
      </c>
      <c r="J465" s="9" t="str">
        <f ca="1">IFERROR(CONCATENATE(VLOOKUP(A465,GM_Table,12,FALSE)," ",(VLOOKUP(A465,GM_Table,13,FALSE))),"")</f>
        <v/>
      </c>
    </row>
    <row r="466" spans="1:10" ht="15" x14ac:dyDescent="0.2">
      <c r="A466" s="193" t="s">
        <v>2054</v>
      </c>
      <c r="B466" s="193" t="s">
        <v>2054</v>
      </c>
      <c r="C466" s="264">
        <v>4.1900000000000004</v>
      </c>
      <c r="D466" s="265">
        <v>7.0006000000000004</v>
      </c>
      <c r="E466" s="265">
        <v>-8.1641999999999992</v>
      </c>
      <c r="F466" s="122" t="b">
        <f>IF(ISBLANK(FarmUnit[[#This Row],[1. Identifiant interne d’exploitation agricole*]]),"",IF(ISERROR(MATCH(FarmUnit[[#This Row],[1. Identifiant interne d’exploitation agricole*]],GroupMember[1. Identifiant interne d’exploitation agricole*],0)),FALSE,TRUE))</f>
        <v>1</v>
      </c>
      <c r="G466" s="4">
        <f t="shared" si="15"/>
        <v>7.0006000000000004</v>
      </c>
      <c r="H466" s="4">
        <f t="shared" si="16"/>
        <v>-8.1641999999999992</v>
      </c>
      <c r="I466" s="20" t="str">
        <f t="array" ref="I466">IF(ISBLANK(C466),"",IF(C466=MAX(IF(FarmUnit[1. Identifiant interne d’exploitation agricole*]=A466,FarmUnit[3. Superficie de l’unité agricole (ha)*])),"!","-"))</f>
        <v>!</v>
      </c>
      <c r="J466" s="9" t="str">
        <f ca="1">IFERROR(CONCATENATE(VLOOKUP(A466,GM_Table,12,FALSE)," ",(VLOOKUP(A466,GM_Table,13,FALSE))),"")</f>
        <v/>
      </c>
    </row>
    <row r="467" spans="1:10" ht="15" x14ac:dyDescent="0.2">
      <c r="A467" s="193" t="s">
        <v>2056</v>
      </c>
      <c r="B467" s="193" t="s">
        <v>2056</v>
      </c>
      <c r="C467" s="264">
        <v>1.44</v>
      </c>
      <c r="D467" s="265">
        <v>7.1181000000000001</v>
      </c>
      <c r="E467" s="265">
        <v>-8.0580999999999996</v>
      </c>
      <c r="F467" s="122" t="b">
        <f>IF(ISBLANK(FarmUnit[[#This Row],[1. Identifiant interne d’exploitation agricole*]]),"",IF(ISERROR(MATCH(FarmUnit[[#This Row],[1. Identifiant interne d’exploitation agricole*]],GroupMember[1. Identifiant interne d’exploitation agricole*],0)),FALSE,TRUE))</f>
        <v>1</v>
      </c>
      <c r="G467" s="4">
        <f t="shared" si="15"/>
        <v>7.1181000000000001</v>
      </c>
      <c r="H467" s="4">
        <f t="shared" si="16"/>
        <v>-8.0580999999999996</v>
      </c>
      <c r="I467" s="20" t="str">
        <f t="array" ref="I467">IF(ISBLANK(C467),"",IF(C467=MAX(IF(FarmUnit[1. Identifiant interne d’exploitation agricole*]=A467,FarmUnit[3. Superficie de l’unité agricole (ha)*])),"!","-"))</f>
        <v>!</v>
      </c>
      <c r="J467" s="9" t="str">
        <f ca="1">IFERROR(CONCATENATE(VLOOKUP(A467,GM_Table,12,FALSE)," ",(VLOOKUP(A467,GM_Table,13,FALSE))),"")</f>
        <v/>
      </c>
    </row>
    <row r="468" spans="1:10" ht="15" x14ac:dyDescent="0.2">
      <c r="A468" s="193" t="s">
        <v>2058</v>
      </c>
      <c r="B468" s="193" t="s">
        <v>2058</v>
      </c>
      <c r="C468" s="264">
        <v>2.34</v>
      </c>
      <c r="D468" s="265">
        <v>7.1119000000000003</v>
      </c>
      <c r="E468" s="265">
        <v>-8.0594000000000001</v>
      </c>
      <c r="F468" s="122" t="b">
        <f>IF(ISBLANK(FarmUnit[[#This Row],[1. Identifiant interne d’exploitation agricole*]]),"",IF(ISERROR(MATCH(FarmUnit[[#This Row],[1. Identifiant interne d’exploitation agricole*]],GroupMember[1. Identifiant interne d’exploitation agricole*],0)),FALSE,TRUE))</f>
        <v>1</v>
      </c>
      <c r="G468" s="4">
        <f t="shared" si="15"/>
        <v>7.1119000000000003</v>
      </c>
      <c r="H468" s="4">
        <f t="shared" si="16"/>
        <v>-8.0594000000000001</v>
      </c>
      <c r="I468" s="20" t="str">
        <f t="array" ref="I468">IF(ISBLANK(C468),"",IF(C468=MAX(IF(FarmUnit[1. Identifiant interne d’exploitation agricole*]=A468,FarmUnit[3. Superficie de l’unité agricole (ha)*])),"!","-"))</f>
        <v>!</v>
      </c>
      <c r="J468" s="9" t="str">
        <f ca="1">IFERROR(CONCATENATE(VLOOKUP(A468,GM_Table,12,FALSE)," ",(VLOOKUP(A468,GM_Table,13,FALSE))),"")</f>
        <v/>
      </c>
    </row>
    <row r="469" spans="1:10" ht="15" x14ac:dyDescent="0.2">
      <c r="A469" s="193" t="s">
        <v>2059</v>
      </c>
      <c r="B469" s="193" t="s">
        <v>2059</v>
      </c>
      <c r="C469" s="264">
        <v>2.35</v>
      </c>
      <c r="D469" s="265">
        <v>7.0941999999999998</v>
      </c>
      <c r="E469" s="265">
        <v>-8.1889000000000003</v>
      </c>
      <c r="F469" s="122" t="b">
        <f>IF(ISBLANK(FarmUnit[[#This Row],[1. Identifiant interne d’exploitation agricole*]]),"",IF(ISERROR(MATCH(FarmUnit[[#This Row],[1. Identifiant interne d’exploitation agricole*]],GroupMember[1. Identifiant interne d’exploitation agricole*],0)),FALSE,TRUE))</f>
        <v>1</v>
      </c>
      <c r="G469" s="4">
        <f t="shared" si="15"/>
        <v>7.0941999999999998</v>
      </c>
      <c r="H469" s="4">
        <f t="shared" si="16"/>
        <v>-8.1889000000000003</v>
      </c>
      <c r="I469" s="20" t="str">
        <f t="array" ref="I469">IF(ISBLANK(C469),"",IF(C469=MAX(IF(FarmUnit[1. Identifiant interne d’exploitation agricole*]=A469,FarmUnit[3. Superficie de l’unité agricole (ha)*])),"!","-"))</f>
        <v>!</v>
      </c>
      <c r="J469" s="9" t="str">
        <f ca="1">IFERROR(CONCATENATE(VLOOKUP(A469,GM_Table,12,FALSE)," ",(VLOOKUP(A469,GM_Table,13,FALSE))),"")</f>
        <v/>
      </c>
    </row>
    <row r="470" spans="1:10" ht="15" x14ac:dyDescent="0.2">
      <c r="A470" s="193" t="s">
        <v>2061</v>
      </c>
      <c r="B470" s="193" t="s">
        <v>2061</v>
      </c>
      <c r="C470" s="264">
        <v>4.21</v>
      </c>
      <c r="D470" s="265">
        <v>7.0864000000000003</v>
      </c>
      <c r="E470" s="265">
        <v>-8.1410999999999998</v>
      </c>
      <c r="F470" s="122" t="b">
        <f>IF(ISBLANK(FarmUnit[[#This Row],[1. Identifiant interne d’exploitation agricole*]]),"",IF(ISERROR(MATCH(FarmUnit[[#This Row],[1. Identifiant interne d’exploitation agricole*]],GroupMember[1. Identifiant interne d’exploitation agricole*],0)),FALSE,TRUE))</f>
        <v>1</v>
      </c>
      <c r="G470" s="4">
        <f t="shared" si="15"/>
        <v>7.0864000000000003</v>
      </c>
      <c r="H470" s="4">
        <f t="shared" si="16"/>
        <v>-8.1410999999999998</v>
      </c>
      <c r="I470" s="20" t="str">
        <f t="array" ref="I470">IF(ISBLANK(C470),"",IF(C470=MAX(IF(FarmUnit[1. Identifiant interne d’exploitation agricole*]=A470,FarmUnit[3. Superficie de l’unité agricole (ha)*])),"!","-"))</f>
        <v>!</v>
      </c>
      <c r="J470" s="9" t="str">
        <f ca="1">IFERROR(CONCATENATE(VLOOKUP(A470,GM_Table,12,FALSE)," ",(VLOOKUP(A470,GM_Table,13,FALSE))),"")</f>
        <v/>
      </c>
    </row>
    <row r="471" spans="1:10" ht="15" x14ac:dyDescent="0.2">
      <c r="A471" s="193" t="s">
        <v>2063</v>
      </c>
      <c r="B471" s="193" t="s">
        <v>2063</v>
      </c>
      <c r="C471" s="264">
        <v>1.72</v>
      </c>
      <c r="D471" s="265">
        <v>7.1</v>
      </c>
      <c r="E471" s="265">
        <v>-8.1628000000000007</v>
      </c>
      <c r="F471" s="122" t="b">
        <f>IF(ISBLANK(FarmUnit[[#This Row],[1. Identifiant interne d’exploitation agricole*]]),"",IF(ISERROR(MATCH(FarmUnit[[#This Row],[1. Identifiant interne d’exploitation agricole*]],GroupMember[1. Identifiant interne d’exploitation agricole*],0)),FALSE,TRUE))</f>
        <v>1</v>
      </c>
      <c r="G471" s="4">
        <f t="shared" si="15"/>
        <v>7.1</v>
      </c>
      <c r="H471" s="4">
        <f t="shared" si="16"/>
        <v>-8.1628000000000007</v>
      </c>
      <c r="I471" s="20" t="str">
        <f t="array" ref="I471">IF(ISBLANK(C471),"",IF(C471=MAX(IF(FarmUnit[1. Identifiant interne d’exploitation agricole*]=A471,FarmUnit[3. Superficie de l’unité agricole (ha)*])),"!","-"))</f>
        <v>!</v>
      </c>
      <c r="J471" s="9" t="str">
        <f ca="1">IFERROR(CONCATENATE(VLOOKUP(A471,GM_Table,12,FALSE)," ",(VLOOKUP(A471,GM_Table,13,FALSE))),"")</f>
        <v/>
      </c>
    </row>
    <row r="472" spans="1:10" ht="15" x14ac:dyDescent="0.2">
      <c r="A472" s="193" t="s">
        <v>2066</v>
      </c>
      <c r="B472" s="193" t="s">
        <v>2066</v>
      </c>
      <c r="C472" s="264">
        <v>2.41</v>
      </c>
      <c r="D472" s="265">
        <v>6.9996999999999998</v>
      </c>
      <c r="E472" s="265">
        <v>-8.1420999999999992</v>
      </c>
      <c r="F472" s="122" t="b">
        <f>IF(ISBLANK(FarmUnit[[#This Row],[1. Identifiant interne d’exploitation agricole*]]),"",IF(ISERROR(MATCH(FarmUnit[[#This Row],[1. Identifiant interne d’exploitation agricole*]],GroupMember[1. Identifiant interne d’exploitation agricole*],0)),FALSE,TRUE))</f>
        <v>1</v>
      </c>
      <c r="G472" s="4">
        <f t="shared" si="15"/>
        <v>6.9996999999999998</v>
      </c>
      <c r="H472" s="4">
        <f t="shared" si="16"/>
        <v>-8.1420999999999992</v>
      </c>
      <c r="I472" s="20" t="str">
        <f t="array" ref="I472">IF(ISBLANK(C472),"",IF(C472=MAX(IF(FarmUnit[1. Identifiant interne d’exploitation agricole*]=A472,FarmUnit[3. Superficie de l’unité agricole (ha)*])),"!","-"))</f>
        <v>!</v>
      </c>
      <c r="J472" s="9" t="str">
        <f ca="1">IFERROR(CONCATENATE(VLOOKUP(A472,GM_Table,12,FALSE)," ",(VLOOKUP(A472,GM_Table,13,FALSE))),"")</f>
        <v/>
      </c>
    </row>
    <row r="473" spans="1:10" ht="15" x14ac:dyDescent="0.2">
      <c r="A473" s="193" t="s">
        <v>2069</v>
      </c>
      <c r="B473" s="193" t="s">
        <v>2069</v>
      </c>
      <c r="C473" s="264">
        <v>1.77</v>
      </c>
      <c r="D473" s="265">
        <v>7.0650000000000004</v>
      </c>
      <c r="E473" s="265">
        <v>-8.0335999999999999</v>
      </c>
      <c r="F473" s="122" t="b">
        <f>IF(ISBLANK(FarmUnit[[#This Row],[1. Identifiant interne d’exploitation agricole*]]),"",IF(ISERROR(MATCH(FarmUnit[[#This Row],[1. Identifiant interne d’exploitation agricole*]],GroupMember[1. Identifiant interne d’exploitation agricole*],0)),FALSE,TRUE))</f>
        <v>1</v>
      </c>
      <c r="G473" s="4">
        <f t="shared" si="15"/>
        <v>7.0650000000000004</v>
      </c>
      <c r="H473" s="4">
        <f t="shared" si="16"/>
        <v>-8.0335999999999999</v>
      </c>
      <c r="I473" s="20" t="str">
        <f t="array" ref="I473">IF(ISBLANK(C473),"",IF(C473=MAX(IF(FarmUnit[1. Identifiant interne d’exploitation agricole*]=A473,FarmUnit[3. Superficie de l’unité agricole (ha)*])),"!","-"))</f>
        <v>!</v>
      </c>
      <c r="J473" s="9" t="str">
        <f ca="1">IFERROR(CONCATENATE(VLOOKUP(A473,GM_Table,12,FALSE)," ",(VLOOKUP(A473,GM_Table,13,FALSE))),"")</f>
        <v/>
      </c>
    </row>
    <row r="474" spans="1:10" ht="15" x14ac:dyDescent="0.2">
      <c r="A474" s="193" t="s">
        <v>2072</v>
      </c>
      <c r="B474" s="193" t="s">
        <v>2072</v>
      </c>
      <c r="C474" s="264">
        <v>2.81</v>
      </c>
      <c r="D474" s="265">
        <v>7.0118999999999998</v>
      </c>
      <c r="E474" s="265">
        <v>-7.9771999999999998</v>
      </c>
      <c r="F474" s="122" t="b">
        <f>IF(ISBLANK(FarmUnit[[#This Row],[1. Identifiant interne d’exploitation agricole*]]),"",IF(ISERROR(MATCH(FarmUnit[[#This Row],[1. Identifiant interne d’exploitation agricole*]],GroupMember[1. Identifiant interne d’exploitation agricole*],0)),FALSE,TRUE))</f>
        <v>1</v>
      </c>
      <c r="G474" s="4">
        <f t="shared" si="15"/>
        <v>7.0118999999999998</v>
      </c>
      <c r="H474" s="4">
        <f t="shared" si="16"/>
        <v>-7.9771999999999998</v>
      </c>
      <c r="I474" s="20" t="str">
        <f t="array" ref="I474">IF(ISBLANK(C474),"",IF(C474=MAX(IF(FarmUnit[1. Identifiant interne d’exploitation agricole*]=A474,FarmUnit[3. Superficie de l’unité agricole (ha)*])),"!","-"))</f>
        <v>!</v>
      </c>
      <c r="J474" s="9" t="str">
        <f ca="1">IFERROR(CONCATENATE(VLOOKUP(A474,GM_Table,12,FALSE)," ",(VLOOKUP(A474,GM_Table,13,FALSE))),"")</f>
        <v/>
      </c>
    </row>
    <row r="475" spans="1:10" ht="15" x14ac:dyDescent="0.2">
      <c r="A475" s="193" t="s">
        <v>2075</v>
      </c>
      <c r="B475" s="193" t="s">
        <v>2075</v>
      </c>
      <c r="C475" s="264">
        <v>1.75</v>
      </c>
      <c r="D475" s="265">
        <v>7.0541999999999998</v>
      </c>
      <c r="E475" s="265">
        <v>-8.1864000000000008</v>
      </c>
      <c r="F475" s="122" t="b">
        <f>IF(ISBLANK(FarmUnit[[#This Row],[1. Identifiant interne d’exploitation agricole*]]),"",IF(ISERROR(MATCH(FarmUnit[[#This Row],[1. Identifiant interne d’exploitation agricole*]],GroupMember[1. Identifiant interne d’exploitation agricole*],0)),FALSE,TRUE))</f>
        <v>1</v>
      </c>
      <c r="G475" s="4">
        <f t="shared" si="15"/>
        <v>7.0541999999999998</v>
      </c>
      <c r="H475" s="4">
        <f t="shared" si="16"/>
        <v>-8.1864000000000008</v>
      </c>
      <c r="I475" s="20" t="str">
        <f t="array" ref="I475">IF(ISBLANK(C475),"",IF(C475=MAX(IF(FarmUnit[1. Identifiant interne d’exploitation agricole*]=A475,FarmUnit[3. Superficie de l’unité agricole (ha)*])),"!","-"))</f>
        <v>!</v>
      </c>
      <c r="J475" s="9" t="str">
        <f ca="1">IFERROR(CONCATENATE(VLOOKUP(A475,GM_Table,12,FALSE)," ",(VLOOKUP(A475,GM_Table,13,FALSE))),"")</f>
        <v/>
      </c>
    </row>
    <row r="476" spans="1:10" ht="15" x14ac:dyDescent="0.2">
      <c r="A476" s="193" t="s">
        <v>2078</v>
      </c>
      <c r="B476" s="193" t="s">
        <v>2078</v>
      </c>
      <c r="C476" s="264">
        <v>2.95</v>
      </c>
      <c r="D476" s="265">
        <v>7.0114000000000001</v>
      </c>
      <c r="E476" s="265">
        <v>-7.9763000000000002</v>
      </c>
      <c r="F476" s="122" t="b">
        <f>IF(ISBLANK(FarmUnit[[#This Row],[1. Identifiant interne d’exploitation agricole*]]),"",IF(ISERROR(MATCH(FarmUnit[[#This Row],[1. Identifiant interne d’exploitation agricole*]],GroupMember[1. Identifiant interne d’exploitation agricole*],0)),FALSE,TRUE))</f>
        <v>1</v>
      </c>
      <c r="G476" s="4">
        <f t="shared" si="15"/>
        <v>7.0114000000000001</v>
      </c>
      <c r="H476" s="4">
        <f t="shared" si="16"/>
        <v>-7.9763000000000002</v>
      </c>
      <c r="I476" s="20" t="str">
        <f t="array" ref="I476">IF(ISBLANK(C476),"",IF(C476=MAX(IF(FarmUnit[1. Identifiant interne d’exploitation agricole*]=A476,FarmUnit[3. Superficie de l’unité agricole (ha)*])),"!","-"))</f>
        <v>!</v>
      </c>
      <c r="J476" s="9" t="str">
        <f ca="1">IFERROR(CONCATENATE(VLOOKUP(A476,GM_Table,12,FALSE)," ",(VLOOKUP(A476,GM_Table,13,FALSE))),"")</f>
        <v/>
      </c>
    </row>
    <row r="477" spans="1:10" ht="15" x14ac:dyDescent="0.2">
      <c r="A477" s="193" t="s">
        <v>2081</v>
      </c>
      <c r="B477" s="193" t="s">
        <v>2081</v>
      </c>
      <c r="C477" s="264">
        <v>2.02</v>
      </c>
      <c r="D477" s="265">
        <v>7.0106000000000002</v>
      </c>
      <c r="E477" s="265">
        <v>-7.9768999999999997</v>
      </c>
      <c r="F477" s="122" t="b">
        <f>IF(ISBLANK(FarmUnit[[#This Row],[1. Identifiant interne d’exploitation agricole*]]),"",IF(ISERROR(MATCH(FarmUnit[[#This Row],[1. Identifiant interne d’exploitation agricole*]],GroupMember[1. Identifiant interne d’exploitation agricole*],0)),FALSE,TRUE))</f>
        <v>1</v>
      </c>
      <c r="G477" s="4">
        <f t="shared" si="15"/>
        <v>7.0106000000000002</v>
      </c>
      <c r="H477" s="4">
        <f t="shared" si="16"/>
        <v>-7.9768999999999997</v>
      </c>
      <c r="I477" s="20" t="str">
        <f t="array" ref="I477">IF(ISBLANK(C477),"",IF(C477=MAX(IF(FarmUnit[1. Identifiant interne d’exploitation agricole*]=A477,FarmUnit[3. Superficie de l’unité agricole (ha)*])),"!","-"))</f>
        <v>!</v>
      </c>
      <c r="J477" s="9" t="str">
        <f ca="1">IFERROR(CONCATENATE(VLOOKUP(A477,GM_Table,12,FALSE)," ",(VLOOKUP(A477,GM_Table,13,FALSE))),"")</f>
        <v/>
      </c>
    </row>
    <row r="478" spans="1:10" ht="15" x14ac:dyDescent="0.2">
      <c r="A478" s="193" t="s">
        <v>2083</v>
      </c>
      <c r="B478" s="193" t="s">
        <v>2083</v>
      </c>
      <c r="C478" s="264">
        <v>3.22</v>
      </c>
      <c r="D478" s="265">
        <v>7.0266999999999999</v>
      </c>
      <c r="E478" s="265">
        <v>-8.2202999999999999</v>
      </c>
      <c r="F478" s="122" t="b">
        <f>IF(ISBLANK(FarmUnit[[#This Row],[1. Identifiant interne d’exploitation agricole*]]),"",IF(ISERROR(MATCH(FarmUnit[[#This Row],[1. Identifiant interne d’exploitation agricole*]],GroupMember[1. Identifiant interne d’exploitation agricole*],0)),FALSE,TRUE))</f>
        <v>1</v>
      </c>
      <c r="G478" s="4">
        <f t="shared" si="15"/>
        <v>7.0266999999999999</v>
      </c>
      <c r="H478" s="4">
        <f t="shared" si="16"/>
        <v>-8.2202999999999999</v>
      </c>
      <c r="I478" s="20" t="str">
        <f t="array" ref="I478">IF(ISBLANK(C478),"",IF(C478=MAX(IF(FarmUnit[1. Identifiant interne d’exploitation agricole*]=A478,FarmUnit[3. Superficie de l’unité agricole (ha)*])),"!","-"))</f>
        <v>!</v>
      </c>
      <c r="J478" s="9" t="str">
        <f ca="1">IFERROR(CONCATENATE(VLOOKUP(A478,GM_Table,12,FALSE)," ",(VLOOKUP(A478,GM_Table,13,FALSE))),"")</f>
        <v/>
      </c>
    </row>
    <row r="479" spans="1:10" ht="15" x14ac:dyDescent="0.2">
      <c r="A479" s="193" t="s">
        <v>2086</v>
      </c>
      <c r="B479" s="193" t="s">
        <v>2086</v>
      </c>
      <c r="C479" s="264">
        <v>3.02</v>
      </c>
      <c r="D479" s="265">
        <v>7.0183</v>
      </c>
      <c r="E479" s="265">
        <v>-8.1006999999999998</v>
      </c>
      <c r="F479" s="122" t="b">
        <f>IF(ISBLANK(FarmUnit[[#This Row],[1. Identifiant interne d’exploitation agricole*]]),"",IF(ISERROR(MATCH(FarmUnit[[#This Row],[1. Identifiant interne d’exploitation agricole*]],GroupMember[1. Identifiant interne d’exploitation agricole*],0)),FALSE,TRUE))</f>
        <v>1</v>
      </c>
      <c r="G479" s="4">
        <f t="shared" si="15"/>
        <v>7.0183</v>
      </c>
      <c r="H479" s="4">
        <f t="shared" si="16"/>
        <v>-8.1006999999999998</v>
      </c>
      <c r="I479" s="20" t="str">
        <f t="array" ref="I479">IF(ISBLANK(C479),"",IF(C479=MAX(IF(FarmUnit[1. Identifiant interne d’exploitation agricole*]=A479,FarmUnit[3. Superficie de l’unité agricole (ha)*])),"!","-"))</f>
        <v>!</v>
      </c>
      <c r="J479" s="9" t="str">
        <f ca="1">IFERROR(CONCATENATE(VLOOKUP(A479,GM_Table,12,FALSE)," ",(VLOOKUP(A479,GM_Table,13,FALSE))),"")</f>
        <v/>
      </c>
    </row>
    <row r="480" spans="1:10" ht="15" x14ac:dyDescent="0.2">
      <c r="A480" s="193" t="s">
        <v>2088</v>
      </c>
      <c r="B480" s="193" t="s">
        <v>2088</v>
      </c>
      <c r="C480" s="264">
        <v>0.65</v>
      </c>
      <c r="D480" s="265">
        <v>6.9557000000000002</v>
      </c>
      <c r="E480" s="265">
        <v>-7.9390999999999998</v>
      </c>
      <c r="F480" s="122" t="b">
        <f>IF(ISBLANK(FarmUnit[[#This Row],[1. Identifiant interne d’exploitation agricole*]]),"",IF(ISERROR(MATCH(FarmUnit[[#This Row],[1. Identifiant interne d’exploitation agricole*]],GroupMember[1. Identifiant interne d’exploitation agricole*],0)),FALSE,TRUE))</f>
        <v>1</v>
      </c>
      <c r="G480" s="4">
        <f t="shared" si="15"/>
        <v>6.9557000000000002</v>
      </c>
      <c r="H480" s="4">
        <f t="shared" si="16"/>
        <v>-7.9390999999999998</v>
      </c>
      <c r="I480" s="20" t="str">
        <f t="array" ref="I480">IF(ISBLANK(C480),"",IF(C480=MAX(IF(FarmUnit[1. Identifiant interne d’exploitation agricole*]=A480,FarmUnit[3. Superficie de l’unité agricole (ha)*])),"!","-"))</f>
        <v>!</v>
      </c>
      <c r="J480" s="9" t="str">
        <f ca="1">IFERROR(CONCATENATE(VLOOKUP(A480,GM_Table,12,FALSE)," ",(VLOOKUP(A480,GM_Table,13,FALSE))),"")</f>
        <v/>
      </c>
    </row>
    <row r="481" spans="1:10" ht="15" x14ac:dyDescent="0.2">
      <c r="A481" s="193" t="s">
        <v>2091</v>
      </c>
      <c r="B481" s="193" t="s">
        <v>2091</v>
      </c>
      <c r="C481" s="264">
        <v>2.06</v>
      </c>
      <c r="D481" s="265">
        <v>6.9550999999999998</v>
      </c>
      <c r="E481" s="265">
        <v>-7.9382999999999999</v>
      </c>
      <c r="F481" s="122" t="b">
        <f>IF(ISBLANK(FarmUnit[[#This Row],[1. Identifiant interne d’exploitation agricole*]]),"",IF(ISERROR(MATCH(FarmUnit[[#This Row],[1. Identifiant interne d’exploitation agricole*]],GroupMember[1. Identifiant interne d’exploitation agricole*],0)),FALSE,TRUE))</f>
        <v>1</v>
      </c>
      <c r="G481" s="4">
        <f t="shared" si="15"/>
        <v>6.9550999999999998</v>
      </c>
      <c r="H481" s="4">
        <f t="shared" si="16"/>
        <v>-7.9382999999999999</v>
      </c>
      <c r="I481" s="20" t="str">
        <f t="array" ref="I481">IF(ISBLANK(C481),"",IF(C481=MAX(IF(FarmUnit[1. Identifiant interne d’exploitation agricole*]=A481,FarmUnit[3. Superficie de l’unité agricole (ha)*])),"!","-"))</f>
        <v>!</v>
      </c>
      <c r="J481" s="9" t="str">
        <f ca="1">IFERROR(CONCATENATE(VLOOKUP(A481,GM_Table,12,FALSE)," ",(VLOOKUP(A481,GM_Table,13,FALSE))),"")</f>
        <v/>
      </c>
    </row>
    <row r="482" spans="1:10" ht="15" x14ac:dyDescent="0.2">
      <c r="A482" s="193" t="s">
        <v>2094</v>
      </c>
      <c r="B482" s="193" t="s">
        <v>2094</v>
      </c>
      <c r="C482" s="264">
        <v>1.78</v>
      </c>
      <c r="D482" s="265">
        <v>6.9436</v>
      </c>
      <c r="E482" s="265">
        <v>-7.9935999999999998</v>
      </c>
      <c r="F482" s="122" t="b">
        <f>IF(ISBLANK(FarmUnit[[#This Row],[1. Identifiant interne d’exploitation agricole*]]),"",IF(ISERROR(MATCH(FarmUnit[[#This Row],[1. Identifiant interne d’exploitation agricole*]],GroupMember[1. Identifiant interne d’exploitation agricole*],0)),FALSE,TRUE))</f>
        <v>1</v>
      </c>
      <c r="G482" s="4">
        <f t="shared" si="15"/>
        <v>6.9436</v>
      </c>
      <c r="H482" s="4">
        <f t="shared" si="16"/>
        <v>-7.9935999999999998</v>
      </c>
      <c r="I482" s="20" t="str">
        <f t="array" ref="I482">IF(ISBLANK(C482),"",IF(C482=MAX(IF(FarmUnit[1. Identifiant interne d’exploitation agricole*]=A482,FarmUnit[3. Superficie de l’unité agricole (ha)*])),"!","-"))</f>
        <v>!</v>
      </c>
      <c r="J482" s="9" t="str">
        <f ca="1">IFERROR(CONCATENATE(VLOOKUP(A482,GM_Table,12,FALSE)," ",(VLOOKUP(A482,GM_Table,13,FALSE))),"")</f>
        <v/>
      </c>
    </row>
    <row r="483" spans="1:10" ht="15" x14ac:dyDescent="0.2">
      <c r="A483" s="193" t="s">
        <v>2098</v>
      </c>
      <c r="B483" s="193" t="s">
        <v>2098</v>
      </c>
      <c r="C483" s="264">
        <v>2.2799999999999998</v>
      </c>
      <c r="D483" s="265">
        <v>6.9367000000000001</v>
      </c>
      <c r="E483" s="265">
        <v>-7.9394999999999998</v>
      </c>
      <c r="F483" s="122" t="b">
        <f>IF(ISBLANK(FarmUnit[[#This Row],[1. Identifiant interne d’exploitation agricole*]]),"",IF(ISERROR(MATCH(FarmUnit[[#This Row],[1. Identifiant interne d’exploitation agricole*]],GroupMember[1. Identifiant interne d’exploitation agricole*],0)),FALSE,TRUE))</f>
        <v>1</v>
      </c>
      <c r="G483" s="4">
        <f t="shared" si="15"/>
        <v>6.9367000000000001</v>
      </c>
      <c r="H483" s="4">
        <f t="shared" si="16"/>
        <v>-7.9394999999999998</v>
      </c>
      <c r="I483" s="20" t="str">
        <f t="array" ref="I483">IF(ISBLANK(C483),"",IF(C483=MAX(IF(FarmUnit[1. Identifiant interne d’exploitation agricole*]=A483,FarmUnit[3. Superficie de l’unité agricole (ha)*])),"!","-"))</f>
        <v>!</v>
      </c>
      <c r="J483" s="9" t="str">
        <f ca="1">IFERROR(CONCATENATE(VLOOKUP(A483,GM_Table,12,FALSE)," ",(VLOOKUP(A483,GM_Table,13,FALSE))),"")</f>
        <v/>
      </c>
    </row>
    <row r="484" spans="1:10" ht="15" x14ac:dyDescent="0.2">
      <c r="A484" s="193" t="s">
        <v>2102</v>
      </c>
      <c r="B484" s="193" t="s">
        <v>2102</v>
      </c>
      <c r="C484" s="264">
        <v>1.44</v>
      </c>
      <c r="D484" s="265">
        <v>6.9566999999999997</v>
      </c>
      <c r="E484" s="265">
        <v>-7.9409999999999998</v>
      </c>
      <c r="F484" s="122" t="b">
        <f>IF(ISBLANK(FarmUnit[[#This Row],[1. Identifiant interne d’exploitation agricole*]]),"",IF(ISERROR(MATCH(FarmUnit[[#This Row],[1. Identifiant interne d’exploitation agricole*]],GroupMember[1. Identifiant interne d’exploitation agricole*],0)),FALSE,TRUE))</f>
        <v>1</v>
      </c>
      <c r="G484" s="4">
        <f t="shared" si="15"/>
        <v>6.9566999999999997</v>
      </c>
      <c r="H484" s="4">
        <f t="shared" si="16"/>
        <v>-7.9409999999999998</v>
      </c>
      <c r="I484" s="20" t="str">
        <f t="array" ref="I484">IF(ISBLANK(C484),"",IF(C484=MAX(IF(FarmUnit[1. Identifiant interne d’exploitation agricole*]=A484,FarmUnit[3. Superficie de l’unité agricole (ha)*])),"!","-"))</f>
        <v>!</v>
      </c>
      <c r="J484" s="9" t="str">
        <f ca="1">IFERROR(CONCATENATE(VLOOKUP(A484,GM_Table,12,FALSE)," ",(VLOOKUP(A484,GM_Table,13,FALSE))),"")</f>
        <v/>
      </c>
    </row>
    <row r="485" spans="1:10" ht="15" x14ac:dyDescent="0.2">
      <c r="A485" s="193" t="s">
        <v>2106</v>
      </c>
      <c r="B485" s="193" t="s">
        <v>2106</v>
      </c>
      <c r="C485" s="264">
        <v>2.34</v>
      </c>
      <c r="D485" s="265">
        <v>6.9008000000000003</v>
      </c>
      <c r="E485" s="265">
        <v>-8.0906000000000002</v>
      </c>
      <c r="F485" s="122" t="b">
        <f>IF(ISBLANK(FarmUnit[[#This Row],[1. Identifiant interne d’exploitation agricole*]]),"",IF(ISERROR(MATCH(FarmUnit[[#This Row],[1. Identifiant interne d’exploitation agricole*]],GroupMember[1. Identifiant interne d’exploitation agricole*],0)),FALSE,TRUE))</f>
        <v>1</v>
      </c>
      <c r="G485" s="4">
        <f t="shared" si="15"/>
        <v>6.9008000000000003</v>
      </c>
      <c r="H485" s="4">
        <f t="shared" si="16"/>
        <v>-8.0906000000000002</v>
      </c>
      <c r="I485" s="20" t="str">
        <f t="array" ref="I485">IF(ISBLANK(C485),"",IF(C485=MAX(IF(FarmUnit[1. Identifiant interne d’exploitation agricole*]=A485,FarmUnit[3. Superficie de l’unité agricole (ha)*])),"!","-"))</f>
        <v>!</v>
      </c>
      <c r="J485" s="9" t="str">
        <f ca="1">IFERROR(CONCATENATE(VLOOKUP(A485,GM_Table,12,FALSE)," ",(VLOOKUP(A485,GM_Table,13,FALSE))),"")</f>
        <v/>
      </c>
    </row>
    <row r="486" spans="1:10" ht="15" x14ac:dyDescent="0.2">
      <c r="A486" s="193" t="s">
        <v>2109</v>
      </c>
      <c r="B486" s="193" t="s">
        <v>2109</v>
      </c>
      <c r="C486" s="264">
        <v>1.69</v>
      </c>
      <c r="D486" s="265">
        <v>6.9481000000000002</v>
      </c>
      <c r="E486" s="265">
        <v>-7.93</v>
      </c>
      <c r="F486" s="122" t="b">
        <f>IF(ISBLANK(FarmUnit[[#This Row],[1. Identifiant interne d’exploitation agricole*]]),"",IF(ISERROR(MATCH(FarmUnit[[#This Row],[1. Identifiant interne d’exploitation agricole*]],GroupMember[1. Identifiant interne d’exploitation agricole*],0)),FALSE,TRUE))</f>
        <v>1</v>
      </c>
      <c r="G486" s="4">
        <f t="shared" si="15"/>
        <v>6.9481000000000002</v>
      </c>
      <c r="H486" s="4">
        <f t="shared" si="16"/>
        <v>-7.93</v>
      </c>
      <c r="I486" s="20" t="str">
        <f t="array" ref="I486">IF(ISBLANK(C486),"",IF(C486=MAX(IF(FarmUnit[1. Identifiant interne d’exploitation agricole*]=A486,FarmUnit[3. Superficie de l’unité agricole (ha)*])),"!","-"))</f>
        <v>!</v>
      </c>
      <c r="J486" s="9" t="str">
        <f ca="1">IFERROR(CONCATENATE(VLOOKUP(A486,GM_Table,12,FALSE)," ",(VLOOKUP(A486,GM_Table,13,FALSE))),"")</f>
        <v/>
      </c>
    </row>
    <row r="487" spans="1:10" ht="15" x14ac:dyDescent="0.2">
      <c r="A487" s="193" t="s">
        <v>2113</v>
      </c>
      <c r="B487" s="193" t="s">
        <v>2113</v>
      </c>
      <c r="C487" s="264">
        <v>1.32</v>
      </c>
      <c r="D487" s="265">
        <v>7.1013999999999999</v>
      </c>
      <c r="E487" s="265">
        <v>-8.1478000000000002</v>
      </c>
      <c r="F487" s="122" t="b">
        <f>IF(ISBLANK(FarmUnit[[#This Row],[1. Identifiant interne d’exploitation agricole*]]),"",IF(ISERROR(MATCH(FarmUnit[[#This Row],[1. Identifiant interne d’exploitation agricole*]],GroupMember[1. Identifiant interne d’exploitation agricole*],0)),FALSE,TRUE))</f>
        <v>1</v>
      </c>
      <c r="G487" s="4">
        <f t="shared" si="15"/>
        <v>7.1013999999999999</v>
      </c>
      <c r="H487" s="4">
        <f t="shared" si="16"/>
        <v>-8.1478000000000002</v>
      </c>
      <c r="I487" s="20" t="str">
        <f t="array" ref="I487">IF(ISBLANK(C487),"",IF(C487=MAX(IF(FarmUnit[1. Identifiant interne d’exploitation agricole*]=A487,FarmUnit[3. Superficie de l’unité agricole (ha)*])),"!","-"))</f>
        <v>!</v>
      </c>
      <c r="J487" s="9" t="str">
        <f ca="1">IFERROR(CONCATENATE(VLOOKUP(A487,GM_Table,12,FALSE)," ",(VLOOKUP(A487,GM_Table,13,FALSE))),"")</f>
        <v/>
      </c>
    </row>
    <row r="488" spans="1:10" ht="15" x14ac:dyDescent="0.2">
      <c r="A488" s="193" t="s">
        <v>2117</v>
      </c>
      <c r="B488" s="193" t="s">
        <v>2117</v>
      </c>
      <c r="C488" s="264">
        <v>1.36</v>
      </c>
      <c r="D488" s="265">
        <v>7.1017000000000001</v>
      </c>
      <c r="E488" s="265">
        <v>-8.1496999999999993</v>
      </c>
      <c r="F488" s="122" t="b">
        <f>IF(ISBLANK(FarmUnit[[#This Row],[1. Identifiant interne d’exploitation agricole*]]),"",IF(ISERROR(MATCH(FarmUnit[[#This Row],[1. Identifiant interne d’exploitation agricole*]],GroupMember[1. Identifiant interne d’exploitation agricole*],0)),FALSE,TRUE))</f>
        <v>1</v>
      </c>
      <c r="G488" s="4">
        <f t="shared" si="15"/>
        <v>7.1017000000000001</v>
      </c>
      <c r="H488" s="4">
        <f t="shared" si="16"/>
        <v>-8.1496999999999993</v>
      </c>
      <c r="I488" s="20" t="str">
        <f t="array" ref="I488">IF(ISBLANK(C488),"",IF(C488=MAX(IF(FarmUnit[1. Identifiant interne d’exploitation agricole*]=A488,FarmUnit[3. Superficie de l’unité agricole (ha)*])),"!","-"))</f>
        <v>!</v>
      </c>
      <c r="J488" s="9" t="str">
        <f ca="1">IFERROR(CONCATENATE(VLOOKUP(A488,GM_Table,12,FALSE)," ",(VLOOKUP(A488,GM_Table,13,FALSE))),"")</f>
        <v/>
      </c>
    </row>
    <row r="489" spans="1:10" ht="15" x14ac:dyDescent="0.2">
      <c r="A489" s="193" t="s">
        <v>2119</v>
      </c>
      <c r="B489" s="193" t="s">
        <v>2119</v>
      </c>
      <c r="C489" s="264">
        <v>1.62</v>
      </c>
      <c r="D489" s="265">
        <v>7.0175000000000001</v>
      </c>
      <c r="E489" s="265">
        <v>-8.2205999999999992</v>
      </c>
      <c r="F489" s="122" t="b">
        <f>IF(ISBLANK(FarmUnit[[#This Row],[1. Identifiant interne d’exploitation agricole*]]),"",IF(ISERROR(MATCH(FarmUnit[[#This Row],[1. Identifiant interne d’exploitation agricole*]],GroupMember[1. Identifiant interne d’exploitation agricole*],0)),FALSE,TRUE))</f>
        <v>1</v>
      </c>
      <c r="G489" s="4">
        <f t="shared" si="15"/>
        <v>7.0175000000000001</v>
      </c>
      <c r="H489" s="4">
        <f t="shared" si="16"/>
        <v>-8.2205999999999992</v>
      </c>
      <c r="I489" s="20" t="str">
        <f t="array" ref="I489">IF(ISBLANK(C489),"",IF(C489=MAX(IF(FarmUnit[1. Identifiant interne d’exploitation agricole*]=A489,FarmUnit[3. Superficie de l’unité agricole (ha)*])),"!","-"))</f>
        <v>!</v>
      </c>
      <c r="J489" s="9" t="str">
        <f ca="1">IFERROR(CONCATENATE(VLOOKUP(A489,GM_Table,12,FALSE)," ",(VLOOKUP(A489,GM_Table,13,FALSE))),"")</f>
        <v/>
      </c>
    </row>
    <row r="490" spans="1:10" ht="15" x14ac:dyDescent="0.2">
      <c r="A490" s="193" t="s">
        <v>2121</v>
      </c>
      <c r="B490" s="193" t="s">
        <v>2121</v>
      </c>
      <c r="C490" s="264">
        <v>1.83</v>
      </c>
      <c r="D490" s="265">
        <v>6.9476000000000004</v>
      </c>
      <c r="E490" s="265">
        <v>-7.9305000000000003</v>
      </c>
      <c r="F490" s="122" t="b">
        <f>IF(ISBLANK(FarmUnit[[#This Row],[1. Identifiant interne d’exploitation agricole*]]),"",IF(ISERROR(MATCH(FarmUnit[[#This Row],[1. Identifiant interne d’exploitation agricole*]],GroupMember[1. Identifiant interne d’exploitation agricole*],0)),FALSE,TRUE))</f>
        <v>1</v>
      </c>
      <c r="G490" s="4">
        <f t="shared" si="15"/>
        <v>6.9476000000000004</v>
      </c>
      <c r="H490" s="4">
        <f t="shared" si="16"/>
        <v>-7.9305000000000003</v>
      </c>
      <c r="I490" s="20" t="str">
        <f t="array" ref="I490">IF(ISBLANK(C490),"",IF(C490=MAX(IF(FarmUnit[1. Identifiant interne d’exploitation agricole*]=A490,FarmUnit[3. Superficie de l’unité agricole (ha)*])),"!","-"))</f>
        <v>!</v>
      </c>
      <c r="J490" s="9" t="str">
        <f ca="1">IFERROR(CONCATENATE(VLOOKUP(A490,GM_Table,12,FALSE)," ",(VLOOKUP(A490,GM_Table,13,FALSE))),"")</f>
        <v/>
      </c>
    </row>
    <row r="491" spans="1:10" ht="15" x14ac:dyDescent="0.2">
      <c r="A491" s="193" t="s">
        <v>2124</v>
      </c>
      <c r="B491" s="193" t="s">
        <v>2124</v>
      </c>
      <c r="C491" s="264">
        <v>0.96</v>
      </c>
      <c r="D491" s="265">
        <v>6.9570999999999996</v>
      </c>
      <c r="E491" s="265">
        <v>-7.9443999999999999</v>
      </c>
      <c r="F491" s="122" t="b">
        <f>IF(ISBLANK(FarmUnit[[#This Row],[1. Identifiant interne d’exploitation agricole*]]),"",IF(ISERROR(MATCH(FarmUnit[[#This Row],[1. Identifiant interne d’exploitation agricole*]],GroupMember[1. Identifiant interne d’exploitation agricole*],0)),FALSE,TRUE))</f>
        <v>1</v>
      </c>
      <c r="G491" s="4">
        <f t="shared" si="15"/>
        <v>6.9570999999999996</v>
      </c>
      <c r="H491" s="4">
        <f t="shared" si="16"/>
        <v>-7.9443999999999999</v>
      </c>
      <c r="I491" s="20" t="str">
        <f t="array" ref="I491">IF(ISBLANK(C491),"",IF(C491=MAX(IF(FarmUnit[1. Identifiant interne d’exploitation agricole*]=A491,FarmUnit[3. Superficie de l’unité agricole (ha)*])),"!","-"))</f>
        <v>!</v>
      </c>
      <c r="J491" s="9" t="str">
        <f ca="1">IFERROR(CONCATENATE(VLOOKUP(A491,GM_Table,12,FALSE)," ",(VLOOKUP(A491,GM_Table,13,FALSE))),"")</f>
        <v/>
      </c>
    </row>
    <row r="492" spans="1:10" ht="15" x14ac:dyDescent="0.2">
      <c r="A492" s="193" t="s">
        <v>2127</v>
      </c>
      <c r="B492" s="193" t="s">
        <v>2127</v>
      </c>
      <c r="C492" s="264">
        <v>6.07</v>
      </c>
      <c r="D492" s="265">
        <v>7.0856000000000003</v>
      </c>
      <c r="E492" s="265">
        <v>-8.2339000000000002</v>
      </c>
      <c r="F492" s="122" t="b">
        <f>IF(ISBLANK(FarmUnit[[#This Row],[1. Identifiant interne d’exploitation agricole*]]),"",IF(ISERROR(MATCH(FarmUnit[[#This Row],[1. Identifiant interne d’exploitation agricole*]],GroupMember[1. Identifiant interne d’exploitation agricole*],0)),FALSE,TRUE))</f>
        <v>1</v>
      </c>
      <c r="G492" s="4">
        <f t="shared" si="15"/>
        <v>7.0856000000000003</v>
      </c>
      <c r="H492" s="4">
        <f t="shared" si="16"/>
        <v>-8.2339000000000002</v>
      </c>
      <c r="I492" s="20" t="str">
        <f t="array" ref="I492">IF(ISBLANK(C492),"",IF(C492=MAX(IF(FarmUnit[1. Identifiant interne d’exploitation agricole*]=A492,FarmUnit[3. Superficie de l’unité agricole (ha)*])),"!","-"))</f>
        <v>!</v>
      </c>
      <c r="J492" s="9" t="str">
        <f ca="1">IFERROR(CONCATENATE(VLOOKUP(A492,GM_Table,12,FALSE)," ",(VLOOKUP(A492,GM_Table,13,FALSE))),"")</f>
        <v/>
      </c>
    </row>
    <row r="493" spans="1:10" ht="15" x14ac:dyDescent="0.2">
      <c r="A493" s="193" t="s">
        <v>2131</v>
      </c>
      <c r="B493" s="193" t="s">
        <v>2131</v>
      </c>
      <c r="C493" s="264">
        <v>0.93</v>
      </c>
      <c r="D493" s="265">
        <v>7.0507999999999997</v>
      </c>
      <c r="E493" s="265">
        <v>-8.2514000000000003</v>
      </c>
      <c r="F493" s="122" t="b">
        <f>IF(ISBLANK(FarmUnit[[#This Row],[1. Identifiant interne d’exploitation agricole*]]),"",IF(ISERROR(MATCH(FarmUnit[[#This Row],[1. Identifiant interne d’exploitation agricole*]],GroupMember[1. Identifiant interne d’exploitation agricole*],0)),FALSE,TRUE))</f>
        <v>1</v>
      </c>
      <c r="G493" s="4">
        <f t="shared" si="15"/>
        <v>7.0507999999999997</v>
      </c>
      <c r="H493" s="4">
        <f t="shared" si="16"/>
        <v>-8.2514000000000003</v>
      </c>
      <c r="I493" s="20" t="str">
        <f t="array" ref="I493">IF(ISBLANK(C493),"",IF(C493=MAX(IF(FarmUnit[1. Identifiant interne d’exploitation agricole*]=A493,FarmUnit[3. Superficie de l’unité agricole (ha)*])),"!","-"))</f>
        <v>!</v>
      </c>
      <c r="J493" s="9" t="str">
        <f ca="1">IFERROR(CONCATENATE(VLOOKUP(A493,GM_Table,12,FALSE)," ",(VLOOKUP(A493,GM_Table,13,FALSE))),"")</f>
        <v/>
      </c>
    </row>
    <row r="494" spans="1:10" ht="15" x14ac:dyDescent="0.2">
      <c r="A494" s="193" t="s">
        <v>2135</v>
      </c>
      <c r="B494" s="193" t="s">
        <v>2135</v>
      </c>
      <c r="C494" s="264">
        <v>1.42</v>
      </c>
      <c r="D494" s="265">
        <v>7.0956000000000001</v>
      </c>
      <c r="E494" s="265">
        <v>-8.2202999999999999</v>
      </c>
      <c r="F494" s="122" t="b">
        <f>IF(ISBLANK(FarmUnit[[#This Row],[1. Identifiant interne d’exploitation agricole*]]),"",IF(ISERROR(MATCH(FarmUnit[[#This Row],[1. Identifiant interne d’exploitation agricole*]],GroupMember[1. Identifiant interne d’exploitation agricole*],0)),FALSE,TRUE))</f>
        <v>1</v>
      </c>
      <c r="G494" s="4">
        <f t="shared" si="15"/>
        <v>7.0956000000000001</v>
      </c>
      <c r="H494" s="4">
        <f t="shared" si="16"/>
        <v>-8.2202999999999999</v>
      </c>
      <c r="I494" s="20" t="str">
        <f t="array" ref="I494">IF(ISBLANK(C494),"",IF(C494=MAX(IF(FarmUnit[1. Identifiant interne d’exploitation agricole*]=A494,FarmUnit[3. Superficie de l’unité agricole (ha)*])),"!","-"))</f>
        <v>!</v>
      </c>
      <c r="J494" s="9" t="str">
        <f ca="1">IFERROR(CONCATENATE(VLOOKUP(A494,GM_Table,12,FALSE)," ",(VLOOKUP(A494,GM_Table,13,FALSE))),"")</f>
        <v/>
      </c>
    </row>
    <row r="495" spans="1:10" ht="15" x14ac:dyDescent="0.2">
      <c r="A495" s="193" t="s">
        <v>2137</v>
      </c>
      <c r="B495" s="193" t="s">
        <v>2137</v>
      </c>
      <c r="C495" s="264">
        <v>2.3199999999999998</v>
      </c>
      <c r="D495" s="265">
        <v>7.0861000000000001</v>
      </c>
      <c r="E495" s="265">
        <v>-8.1575000000000006</v>
      </c>
      <c r="F495" s="122" t="b">
        <f>IF(ISBLANK(FarmUnit[[#This Row],[1. Identifiant interne d’exploitation agricole*]]),"",IF(ISERROR(MATCH(FarmUnit[[#This Row],[1. Identifiant interne d’exploitation agricole*]],GroupMember[1. Identifiant interne d’exploitation agricole*],0)),FALSE,TRUE))</f>
        <v>1</v>
      </c>
      <c r="G495" s="4">
        <f t="shared" si="15"/>
        <v>7.0861000000000001</v>
      </c>
      <c r="H495" s="4">
        <f t="shared" si="16"/>
        <v>-8.1575000000000006</v>
      </c>
      <c r="I495" s="20" t="str">
        <f t="array" ref="I495">IF(ISBLANK(C495),"",IF(C495=MAX(IF(FarmUnit[1. Identifiant interne d’exploitation agricole*]=A495,FarmUnit[3. Superficie de l’unité agricole (ha)*])),"!","-"))</f>
        <v>!</v>
      </c>
      <c r="J495" s="9" t="str">
        <f ca="1">IFERROR(CONCATENATE(VLOOKUP(A495,GM_Table,12,FALSE)," ",(VLOOKUP(A495,GM_Table,13,FALSE))),"")</f>
        <v/>
      </c>
    </row>
    <row r="496" spans="1:10" ht="15" x14ac:dyDescent="0.2">
      <c r="A496" s="193" t="s">
        <v>2139</v>
      </c>
      <c r="B496" s="193" t="s">
        <v>2139</v>
      </c>
      <c r="C496" s="264">
        <v>1.1200000000000001</v>
      </c>
      <c r="D496" s="265">
        <v>7.0911</v>
      </c>
      <c r="E496" s="265">
        <v>-8.1074999999999999</v>
      </c>
      <c r="F496" s="122" t="b">
        <f>IF(ISBLANK(FarmUnit[[#This Row],[1. Identifiant interne d’exploitation agricole*]]),"",IF(ISERROR(MATCH(FarmUnit[[#This Row],[1. Identifiant interne d’exploitation agricole*]],GroupMember[1. Identifiant interne d’exploitation agricole*],0)),FALSE,TRUE))</f>
        <v>1</v>
      </c>
      <c r="G496" s="4">
        <f t="shared" si="15"/>
        <v>7.0911</v>
      </c>
      <c r="H496" s="4">
        <f t="shared" si="16"/>
        <v>-8.1074999999999999</v>
      </c>
      <c r="I496" s="20" t="str">
        <f t="array" ref="I496">IF(ISBLANK(C496),"",IF(C496=MAX(IF(FarmUnit[1. Identifiant interne d’exploitation agricole*]=A496,FarmUnit[3. Superficie de l’unité agricole (ha)*])),"!","-"))</f>
        <v>!</v>
      </c>
      <c r="J496" s="9" t="str">
        <f ca="1">IFERROR(CONCATENATE(VLOOKUP(A496,GM_Table,12,FALSE)," ",(VLOOKUP(A496,GM_Table,13,FALSE))),"")</f>
        <v/>
      </c>
    </row>
    <row r="497" spans="1:10" ht="15" x14ac:dyDescent="0.2">
      <c r="A497" s="193" t="s">
        <v>2142</v>
      </c>
      <c r="B497" s="193" t="s">
        <v>2142</v>
      </c>
      <c r="C497" s="264">
        <v>1.22</v>
      </c>
      <c r="D497" s="265">
        <v>6.9324000000000003</v>
      </c>
      <c r="E497" s="265">
        <v>-7.9307999999999996</v>
      </c>
      <c r="F497" s="122" t="b">
        <f>IF(ISBLANK(FarmUnit[[#This Row],[1. Identifiant interne d’exploitation agricole*]]),"",IF(ISERROR(MATCH(FarmUnit[[#This Row],[1. Identifiant interne d’exploitation agricole*]],GroupMember[1. Identifiant interne d’exploitation agricole*],0)),FALSE,TRUE))</f>
        <v>1</v>
      </c>
      <c r="G497" s="4">
        <f t="shared" si="15"/>
        <v>6.9324000000000003</v>
      </c>
      <c r="H497" s="4">
        <f t="shared" si="16"/>
        <v>-7.9307999999999996</v>
      </c>
      <c r="I497" s="20" t="str">
        <f t="array" ref="I497">IF(ISBLANK(C497),"",IF(C497=MAX(IF(FarmUnit[1. Identifiant interne d’exploitation agricole*]=A497,FarmUnit[3. Superficie de l’unité agricole (ha)*])),"!","-"))</f>
        <v>!</v>
      </c>
      <c r="J497" s="9" t="str">
        <f ca="1">IFERROR(CONCATENATE(VLOOKUP(A497,GM_Table,12,FALSE)," ",(VLOOKUP(A497,GM_Table,13,FALSE))),"")</f>
        <v/>
      </c>
    </row>
    <row r="498" spans="1:10" ht="15" x14ac:dyDescent="0.2">
      <c r="A498" s="193" t="s">
        <v>2145</v>
      </c>
      <c r="B498" s="193" t="s">
        <v>2145</v>
      </c>
      <c r="C498" s="264">
        <v>1.7</v>
      </c>
      <c r="D498" s="267">
        <v>6.9321999999999999</v>
      </c>
      <c r="E498" s="267">
        <v>-7.9180000000000001</v>
      </c>
      <c r="F498" s="122" t="b">
        <f>IF(ISBLANK(FarmUnit[[#This Row],[1. Identifiant interne d’exploitation agricole*]]),"",IF(ISERROR(MATCH(FarmUnit[[#This Row],[1. Identifiant interne d’exploitation agricole*]],GroupMember[1. Identifiant interne d’exploitation agricole*],0)),FALSE,TRUE))</f>
        <v>1</v>
      </c>
      <c r="G498" s="4">
        <f t="shared" si="15"/>
        <v>6.9321999999999999</v>
      </c>
      <c r="H498" s="4">
        <f t="shared" si="16"/>
        <v>-7.9180000000000001</v>
      </c>
      <c r="I498" s="20" t="str">
        <f t="array" ref="I498">IF(ISBLANK(C498),"",IF(C498=MAX(IF(FarmUnit[1. Identifiant interne d’exploitation agricole*]=A498,FarmUnit[3. Superficie de l’unité agricole (ha)*])),"!","-"))</f>
        <v>!</v>
      </c>
      <c r="J498" s="9" t="str">
        <f ca="1">IFERROR(CONCATENATE(VLOOKUP(A498,GM_Table,12,FALSE)," ",(VLOOKUP(A498,GM_Table,13,FALSE))),"")</f>
        <v/>
      </c>
    </row>
    <row r="499" spans="1:10" ht="15" x14ac:dyDescent="0.2">
      <c r="A499" s="193" t="s">
        <v>2149</v>
      </c>
      <c r="B499" s="193" t="s">
        <v>2149</v>
      </c>
      <c r="C499" s="264">
        <v>4.1399999999999997</v>
      </c>
      <c r="D499" s="265">
        <v>6.8833000000000002</v>
      </c>
      <c r="E499" s="265">
        <v>-8.0716999999999999</v>
      </c>
      <c r="F499" s="122" t="b">
        <f>IF(ISBLANK(FarmUnit[[#This Row],[1. Identifiant interne d’exploitation agricole*]]),"",IF(ISERROR(MATCH(FarmUnit[[#This Row],[1. Identifiant interne d’exploitation agricole*]],GroupMember[1. Identifiant interne d’exploitation agricole*],0)),FALSE,TRUE))</f>
        <v>1</v>
      </c>
      <c r="G499" s="4">
        <f t="shared" ref="G499:G562" si="17">IF(D499=0,"",D499)</f>
        <v>6.8833000000000002</v>
      </c>
      <c r="H499" s="4">
        <f t="shared" ref="H499:H562" si="18">IF(E499=0,"",E499)</f>
        <v>-8.0716999999999999</v>
      </c>
      <c r="I499" s="20" t="str">
        <f t="array" ref="I499">IF(ISBLANK(C499),"",IF(C499=MAX(IF(FarmUnit[1. Identifiant interne d’exploitation agricole*]=A499,FarmUnit[3. Superficie de l’unité agricole (ha)*])),"!","-"))</f>
        <v>!</v>
      </c>
      <c r="J499" s="9" t="str">
        <f ca="1">IFERROR(CONCATENATE(VLOOKUP(A499,GM_Table,12,FALSE)," ",(VLOOKUP(A499,GM_Table,13,FALSE))),"")</f>
        <v/>
      </c>
    </row>
    <row r="500" spans="1:10" ht="15" x14ac:dyDescent="0.2">
      <c r="A500" s="193" t="s">
        <v>2152</v>
      </c>
      <c r="B500" s="193" t="s">
        <v>2152</v>
      </c>
      <c r="C500" s="264">
        <v>4.0999999999999996</v>
      </c>
      <c r="D500" s="265">
        <v>6.91</v>
      </c>
      <c r="E500" s="265">
        <v>-8.2957999999999998</v>
      </c>
      <c r="F500" s="122" t="b">
        <f>IF(ISBLANK(FarmUnit[[#This Row],[1. Identifiant interne d’exploitation agricole*]]),"",IF(ISERROR(MATCH(FarmUnit[[#This Row],[1. Identifiant interne d’exploitation agricole*]],GroupMember[1. Identifiant interne d’exploitation agricole*],0)),FALSE,TRUE))</f>
        <v>1</v>
      </c>
      <c r="G500" s="4">
        <f t="shared" si="17"/>
        <v>6.91</v>
      </c>
      <c r="H500" s="4">
        <f t="shared" si="18"/>
        <v>-8.2957999999999998</v>
      </c>
      <c r="I500" s="20" t="str">
        <f t="array" ref="I500">IF(ISBLANK(C500),"",IF(C500=MAX(IF(FarmUnit[1. Identifiant interne d’exploitation agricole*]=A500,FarmUnit[3. Superficie de l’unité agricole (ha)*])),"!","-"))</f>
        <v>!</v>
      </c>
      <c r="J500" s="9" t="str">
        <f ca="1">IFERROR(CONCATENATE(VLOOKUP(A500,GM_Table,12,FALSE)," ",(VLOOKUP(A500,GM_Table,13,FALSE))),"")</f>
        <v/>
      </c>
    </row>
    <row r="501" spans="1:10" ht="15" x14ac:dyDescent="0.2">
      <c r="A501" s="193" t="s">
        <v>2155</v>
      </c>
      <c r="B501" s="193" t="s">
        <v>2155</v>
      </c>
      <c r="C501" s="264">
        <v>4.93</v>
      </c>
      <c r="D501" s="265">
        <v>6.9450000000000003</v>
      </c>
      <c r="E501" s="265">
        <v>-8.3045000000000009</v>
      </c>
      <c r="F501" s="122" t="b">
        <f>IF(ISBLANK(FarmUnit[[#This Row],[1. Identifiant interne d’exploitation agricole*]]),"",IF(ISERROR(MATCH(FarmUnit[[#This Row],[1. Identifiant interne d’exploitation agricole*]],GroupMember[1. Identifiant interne d’exploitation agricole*],0)),FALSE,TRUE))</f>
        <v>1</v>
      </c>
      <c r="G501" s="4">
        <f t="shared" si="17"/>
        <v>6.9450000000000003</v>
      </c>
      <c r="H501" s="4">
        <f t="shared" si="18"/>
        <v>-8.3045000000000009</v>
      </c>
      <c r="I501" s="20" t="str">
        <f t="array" ref="I501">IF(ISBLANK(C501),"",IF(C501=MAX(IF(FarmUnit[1. Identifiant interne d’exploitation agricole*]=A501,FarmUnit[3. Superficie de l’unité agricole (ha)*])),"!","-"))</f>
        <v>!</v>
      </c>
      <c r="J501" s="9" t="str">
        <f ca="1">IFERROR(CONCATENATE(VLOOKUP(A501,GM_Table,12,FALSE)," ",(VLOOKUP(A501,GM_Table,13,FALSE))),"")</f>
        <v/>
      </c>
    </row>
    <row r="502" spans="1:10" ht="15" x14ac:dyDescent="0.2">
      <c r="A502" s="205" t="s">
        <v>2156</v>
      </c>
      <c r="B502" s="205" t="s">
        <v>2156</v>
      </c>
      <c r="C502" s="264">
        <v>2.2200000000000002</v>
      </c>
      <c r="D502" s="265">
        <v>6.9420999999999999</v>
      </c>
      <c r="E502" s="265">
        <v>-8.1471999999999998</v>
      </c>
      <c r="F502" s="122" t="b">
        <f>IF(ISBLANK(FarmUnit[[#This Row],[1. Identifiant interne d’exploitation agricole*]]),"",IF(ISERROR(MATCH(FarmUnit[[#This Row],[1. Identifiant interne d’exploitation agricole*]],GroupMember[1. Identifiant interne d’exploitation agricole*],0)),FALSE,TRUE))</f>
        <v>1</v>
      </c>
      <c r="G502" s="4">
        <f t="shared" si="17"/>
        <v>6.9420999999999999</v>
      </c>
      <c r="H502" s="4">
        <f t="shared" si="18"/>
        <v>-8.1471999999999998</v>
      </c>
      <c r="I502" s="20" t="str">
        <f t="array" ref="I502">IF(ISBLANK(C502),"",IF(C502=MAX(IF(FarmUnit[1. Identifiant interne d’exploitation agricole*]=A502,FarmUnit[3. Superficie de l’unité agricole (ha)*])),"!","-"))</f>
        <v>!</v>
      </c>
      <c r="J502" s="9" t="str">
        <f ca="1">IFERROR(CONCATENATE(VLOOKUP(A502,GM_Table,12,FALSE)," ",(VLOOKUP(A502,GM_Table,13,FALSE))),"")</f>
        <v/>
      </c>
    </row>
    <row r="503" spans="1:10" ht="15" x14ac:dyDescent="0.2">
      <c r="A503" s="193" t="s">
        <v>2158</v>
      </c>
      <c r="B503" s="193" t="s">
        <v>2158</v>
      </c>
      <c r="C503" s="264">
        <v>3.46</v>
      </c>
      <c r="D503" s="265">
        <v>6.9452999999999996</v>
      </c>
      <c r="E503" s="265">
        <v>-8.2367000000000008</v>
      </c>
      <c r="F503" s="122" t="b">
        <f>IF(ISBLANK(FarmUnit[[#This Row],[1. Identifiant interne d’exploitation agricole*]]),"",IF(ISERROR(MATCH(FarmUnit[[#This Row],[1. Identifiant interne d’exploitation agricole*]],GroupMember[1. Identifiant interne d’exploitation agricole*],0)),FALSE,TRUE))</f>
        <v>1</v>
      </c>
      <c r="G503" s="4">
        <f t="shared" si="17"/>
        <v>6.9452999999999996</v>
      </c>
      <c r="H503" s="4">
        <f t="shared" si="18"/>
        <v>-8.2367000000000008</v>
      </c>
      <c r="I503" s="20" t="str">
        <f t="array" ref="I503">IF(ISBLANK(C503),"",IF(C503=MAX(IF(FarmUnit[1. Identifiant interne d’exploitation agricole*]=A503,FarmUnit[3. Superficie de l’unité agricole (ha)*])),"!","-"))</f>
        <v>!</v>
      </c>
      <c r="J503" s="9" t="str">
        <f ca="1">IFERROR(CONCATENATE(VLOOKUP(A503,GM_Table,12,FALSE)," ",(VLOOKUP(A503,GM_Table,13,FALSE))),"")</f>
        <v/>
      </c>
    </row>
    <row r="504" spans="1:10" ht="15" x14ac:dyDescent="0.2">
      <c r="A504" s="193" t="s">
        <v>2161</v>
      </c>
      <c r="B504" s="193" t="s">
        <v>2161</v>
      </c>
      <c r="C504" s="264">
        <v>3.41</v>
      </c>
      <c r="D504" s="265">
        <v>6.7302999999999997</v>
      </c>
      <c r="E504" s="265">
        <v>-8.0448000000000004</v>
      </c>
      <c r="F504" s="122" t="b">
        <f>IF(ISBLANK(FarmUnit[[#This Row],[1. Identifiant interne d’exploitation agricole*]]),"",IF(ISERROR(MATCH(FarmUnit[[#This Row],[1. Identifiant interne d’exploitation agricole*]],GroupMember[1. Identifiant interne d’exploitation agricole*],0)),FALSE,TRUE))</f>
        <v>1</v>
      </c>
      <c r="G504" s="4">
        <f t="shared" si="17"/>
        <v>6.7302999999999997</v>
      </c>
      <c r="H504" s="4">
        <f t="shared" si="18"/>
        <v>-8.0448000000000004</v>
      </c>
      <c r="I504" s="20" t="str">
        <f t="array" ref="I504">IF(ISBLANK(C504),"",IF(C504=MAX(IF(FarmUnit[1. Identifiant interne d’exploitation agricole*]=A504,FarmUnit[3. Superficie de l’unité agricole (ha)*])),"!","-"))</f>
        <v>!</v>
      </c>
      <c r="J504" s="9" t="str">
        <f ca="1">IFERROR(CONCATENATE(VLOOKUP(A504,GM_Table,12,FALSE)," ",(VLOOKUP(A504,GM_Table,13,FALSE))),"")</f>
        <v/>
      </c>
    </row>
    <row r="505" spans="1:10" ht="15" x14ac:dyDescent="0.2">
      <c r="A505" s="193" t="s">
        <v>2163</v>
      </c>
      <c r="B505" s="193" t="s">
        <v>2163</v>
      </c>
      <c r="C505" s="264">
        <v>2.81</v>
      </c>
      <c r="D505" s="265">
        <v>6.8285999999999998</v>
      </c>
      <c r="E505" s="265">
        <v>-8.2072000000000003</v>
      </c>
      <c r="F505" s="122" t="b">
        <f>IF(ISBLANK(FarmUnit[[#This Row],[1. Identifiant interne d’exploitation agricole*]]),"",IF(ISERROR(MATCH(FarmUnit[[#This Row],[1. Identifiant interne d’exploitation agricole*]],GroupMember[1. Identifiant interne d’exploitation agricole*],0)),FALSE,TRUE))</f>
        <v>1</v>
      </c>
      <c r="G505" s="4">
        <f t="shared" si="17"/>
        <v>6.8285999999999998</v>
      </c>
      <c r="H505" s="4">
        <f t="shared" si="18"/>
        <v>-8.2072000000000003</v>
      </c>
      <c r="I505" s="20" t="str">
        <f t="array" ref="I505">IF(ISBLANK(C505),"",IF(C505=MAX(IF(FarmUnit[1. Identifiant interne d’exploitation agricole*]=A505,FarmUnit[3. Superficie de l’unité agricole (ha)*])),"!","-"))</f>
        <v>!</v>
      </c>
      <c r="J505" s="9" t="str">
        <f ca="1">IFERROR(CONCATENATE(VLOOKUP(A505,GM_Table,12,FALSE)," ",(VLOOKUP(A505,GM_Table,13,FALSE))),"")</f>
        <v/>
      </c>
    </row>
    <row r="506" spans="1:10" ht="15" x14ac:dyDescent="0.2">
      <c r="A506" s="193" t="s">
        <v>2165</v>
      </c>
      <c r="B506" s="193" t="s">
        <v>2165</v>
      </c>
      <c r="C506" s="264">
        <v>4.2300000000000004</v>
      </c>
      <c r="D506" s="265">
        <v>6.6890000000000001</v>
      </c>
      <c r="E506" s="265">
        <v>-8.0338999999999992</v>
      </c>
      <c r="F506" s="122" t="b">
        <f>IF(ISBLANK(FarmUnit[[#This Row],[1. Identifiant interne d’exploitation agricole*]]),"",IF(ISERROR(MATCH(FarmUnit[[#This Row],[1. Identifiant interne d’exploitation agricole*]],GroupMember[1. Identifiant interne d’exploitation agricole*],0)),FALSE,TRUE))</f>
        <v>1</v>
      </c>
      <c r="G506" s="4">
        <f t="shared" si="17"/>
        <v>6.6890000000000001</v>
      </c>
      <c r="H506" s="4">
        <f t="shared" si="18"/>
        <v>-8.0338999999999992</v>
      </c>
      <c r="I506" s="20" t="str">
        <f t="array" ref="I506">IF(ISBLANK(C506),"",IF(C506=MAX(IF(FarmUnit[1. Identifiant interne d’exploitation agricole*]=A506,FarmUnit[3. Superficie de l’unité agricole (ha)*])),"!","-"))</f>
        <v>!</v>
      </c>
      <c r="J506" s="9" t="str">
        <f ca="1">IFERROR(CONCATENATE(VLOOKUP(A506,GM_Table,12,FALSE)," ",(VLOOKUP(A506,GM_Table,13,FALSE))),"")</f>
        <v/>
      </c>
    </row>
    <row r="507" spans="1:10" ht="15" x14ac:dyDescent="0.2">
      <c r="A507" s="193" t="s">
        <v>2167</v>
      </c>
      <c r="B507" s="193" t="s">
        <v>2167</v>
      </c>
      <c r="C507" s="264">
        <v>3.82</v>
      </c>
      <c r="D507" s="265">
        <v>6.6816000000000004</v>
      </c>
      <c r="E507" s="265">
        <v>-8.0516000000000005</v>
      </c>
      <c r="F507" s="122" t="b">
        <f>IF(ISBLANK(FarmUnit[[#This Row],[1. Identifiant interne d’exploitation agricole*]]),"",IF(ISERROR(MATCH(FarmUnit[[#This Row],[1. Identifiant interne d’exploitation agricole*]],GroupMember[1. Identifiant interne d’exploitation agricole*],0)),FALSE,TRUE))</f>
        <v>1</v>
      </c>
      <c r="G507" s="4">
        <f t="shared" si="17"/>
        <v>6.6816000000000004</v>
      </c>
      <c r="H507" s="4">
        <f t="shared" si="18"/>
        <v>-8.0516000000000005</v>
      </c>
      <c r="I507" s="20" t="str">
        <f t="array" ref="I507">IF(ISBLANK(C507),"",IF(C507=MAX(IF(FarmUnit[1. Identifiant interne d’exploitation agricole*]=A507,FarmUnit[3. Superficie de l’unité agricole (ha)*])),"!","-"))</f>
        <v>!</v>
      </c>
      <c r="J507" s="9" t="str">
        <f ca="1">IFERROR(CONCATENATE(VLOOKUP(A507,GM_Table,12,FALSE)," ",(VLOOKUP(A507,GM_Table,13,FALSE))),"")</f>
        <v/>
      </c>
    </row>
    <row r="508" spans="1:10" ht="15" x14ac:dyDescent="0.2">
      <c r="A508" s="193" t="s">
        <v>2169</v>
      </c>
      <c r="B508" s="193" t="s">
        <v>2169</v>
      </c>
      <c r="C508" s="264">
        <v>2.56</v>
      </c>
      <c r="D508" s="265">
        <v>6.86</v>
      </c>
      <c r="E508" s="265">
        <v>-8.2593999999999994</v>
      </c>
      <c r="F508" s="122" t="b">
        <f>IF(ISBLANK(FarmUnit[[#This Row],[1. Identifiant interne d’exploitation agricole*]]),"",IF(ISERROR(MATCH(FarmUnit[[#This Row],[1. Identifiant interne d’exploitation agricole*]],GroupMember[1. Identifiant interne d’exploitation agricole*],0)),FALSE,TRUE))</f>
        <v>1</v>
      </c>
      <c r="G508" s="4">
        <f t="shared" si="17"/>
        <v>6.86</v>
      </c>
      <c r="H508" s="4">
        <f t="shared" si="18"/>
        <v>-8.2593999999999994</v>
      </c>
      <c r="I508" s="20" t="str">
        <f t="array" ref="I508">IF(ISBLANK(C508),"",IF(C508=MAX(IF(FarmUnit[1. Identifiant interne d’exploitation agricole*]=A508,FarmUnit[3. Superficie de l’unité agricole (ha)*])),"!","-"))</f>
        <v>!</v>
      </c>
      <c r="J508" s="9" t="str">
        <f ca="1">IFERROR(CONCATENATE(VLOOKUP(A508,GM_Table,12,FALSE)," ",(VLOOKUP(A508,GM_Table,13,FALSE))),"")</f>
        <v/>
      </c>
    </row>
    <row r="509" spans="1:10" ht="15" x14ac:dyDescent="0.2">
      <c r="A509" s="193" t="s">
        <v>2173</v>
      </c>
      <c r="B509" s="193" t="s">
        <v>2173</v>
      </c>
      <c r="C509" s="264">
        <v>2.54</v>
      </c>
      <c r="D509" s="265">
        <v>6.8803000000000001</v>
      </c>
      <c r="E509" s="265">
        <v>-8.3183000000000007</v>
      </c>
      <c r="F509" s="122" t="b">
        <f>IF(ISBLANK(FarmUnit[[#This Row],[1. Identifiant interne d’exploitation agricole*]]),"",IF(ISERROR(MATCH(FarmUnit[[#This Row],[1. Identifiant interne d’exploitation agricole*]],GroupMember[1. Identifiant interne d’exploitation agricole*],0)),FALSE,TRUE))</f>
        <v>1</v>
      </c>
      <c r="G509" s="4">
        <f t="shared" si="17"/>
        <v>6.8803000000000001</v>
      </c>
      <c r="H509" s="4">
        <f t="shared" si="18"/>
        <v>-8.3183000000000007</v>
      </c>
      <c r="I509" s="20" t="str">
        <f t="array" ref="I509">IF(ISBLANK(C509),"",IF(C509=MAX(IF(FarmUnit[1. Identifiant interne d’exploitation agricole*]=A509,FarmUnit[3. Superficie de l’unité agricole (ha)*])),"!","-"))</f>
        <v>!</v>
      </c>
      <c r="J509" s="9" t="str">
        <f ca="1">IFERROR(CONCATENATE(VLOOKUP(A509,GM_Table,12,FALSE)," ",(VLOOKUP(A509,GM_Table,13,FALSE))),"")</f>
        <v/>
      </c>
    </row>
    <row r="510" spans="1:10" ht="15" x14ac:dyDescent="0.2">
      <c r="A510" s="193" t="s">
        <v>2174</v>
      </c>
      <c r="B510" s="193" t="s">
        <v>2174</v>
      </c>
      <c r="C510" s="264">
        <v>2.77</v>
      </c>
      <c r="D510" s="265">
        <v>6.8616999999999999</v>
      </c>
      <c r="E510" s="265">
        <v>-8.2143999999999995</v>
      </c>
      <c r="F510" s="122" t="b">
        <f>IF(ISBLANK(FarmUnit[[#This Row],[1. Identifiant interne d’exploitation agricole*]]),"",IF(ISERROR(MATCH(FarmUnit[[#This Row],[1. Identifiant interne d’exploitation agricole*]],GroupMember[1. Identifiant interne d’exploitation agricole*],0)),FALSE,TRUE))</f>
        <v>1</v>
      </c>
      <c r="G510" s="4">
        <f t="shared" si="17"/>
        <v>6.8616999999999999</v>
      </c>
      <c r="H510" s="4">
        <f t="shared" si="18"/>
        <v>-8.2143999999999995</v>
      </c>
      <c r="I510" s="20" t="str">
        <f t="array" ref="I510">IF(ISBLANK(C510),"",IF(C510=MAX(IF(FarmUnit[1. Identifiant interne d’exploitation agricole*]=A510,FarmUnit[3. Superficie de l’unité agricole (ha)*])),"!","-"))</f>
        <v>!</v>
      </c>
      <c r="J510" s="9" t="str">
        <f ca="1">IFERROR(CONCATENATE(VLOOKUP(A510,GM_Table,12,FALSE)," ",(VLOOKUP(A510,GM_Table,13,FALSE))),"")</f>
        <v/>
      </c>
    </row>
    <row r="511" spans="1:10" ht="15" x14ac:dyDescent="0.2">
      <c r="A511" s="193" t="s">
        <v>2177</v>
      </c>
      <c r="B511" s="193" t="s">
        <v>2177</v>
      </c>
      <c r="C511" s="264">
        <v>1.44</v>
      </c>
      <c r="D511" s="265">
        <v>6.75</v>
      </c>
      <c r="E511" s="265">
        <v>-8.1219000000000001</v>
      </c>
      <c r="F511" s="122" t="b">
        <f>IF(ISBLANK(FarmUnit[[#This Row],[1. Identifiant interne d’exploitation agricole*]]),"",IF(ISERROR(MATCH(FarmUnit[[#This Row],[1. Identifiant interne d’exploitation agricole*]],GroupMember[1. Identifiant interne d’exploitation agricole*],0)),FALSE,TRUE))</f>
        <v>1</v>
      </c>
      <c r="G511" s="4">
        <f t="shared" si="17"/>
        <v>6.75</v>
      </c>
      <c r="H511" s="4">
        <f t="shared" si="18"/>
        <v>-8.1219000000000001</v>
      </c>
      <c r="I511" s="20" t="str">
        <f t="array" ref="I511">IF(ISBLANK(C511),"",IF(C511=MAX(IF(FarmUnit[1. Identifiant interne d’exploitation agricole*]=A511,FarmUnit[3. Superficie de l’unité agricole (ha)*])),"!","-"))</f>
        <v>!</v>
      </c>
      <c r="J511" s="9" t="str">
        <f ca="1">IFERROR(CONCATENATE(VLOOKUP(A511,GM_Table,12,FALSE)," ",(VLOOKUP(A511,GM_Table,13,FALSE))),"")</f>
        <v/>
      </c>
    </row>
    <row r="512" spans="1:10" ht="15" x14ac:dyDescent="0.2">
      <c r="A512" s="193" t="s">
        <v>2178</v>
      </c>
      <c r="B512" s="193" t="s">
        <v>2178</v>
      </c>
      <c r="C512" s="264">
        <v>1.24</v>
      </c>
      <c r="D512" s="265">
        <v>6.6925999999999997</v>
      </c>
      <c r="E512" s="265">
        <v>-8.0306999999999995</v>
      </c>
      <c r="F512" s="122" t="b">
        <f>IF(ISBLANK(FarmUnit[[#This Row],[1. Identifiant interne d’exploitation agricole*]]),"",IF(ISERROR(MATCH(FarmUnit[[#This Row],[1. Identifiant interne d’exploitation agricole*]],GroupMember[1. Identifiant interne d’exploitation agricole*],0)),FALSE,TRUE))</f>
        <v>1</v>
      </c>
      <c r="G512" s="4">
        <f t="shared" si="17"/>
        <v>6.6925999999999997</v>
      </c>
      <c r="H512" s="4">
        <f t="shared" si="18"/>
        <v>-8.0306999999999995</v>
      </c>
      <c r="I512" s="20" t="str">
        <f t="array" ref="I512">IF(ISBLANK(C512),"",IF(C512=MAX(IF(FarmUnit[1. Identifiant interne d’exploitation agricole*]=A512,FarmUnit[3. Superficie de l’unité agricole (ha)*])),"!","-"))</f>
        <v>!</v>
      </c>
      <c r="J512" s="9" t="str">
        <f ca="1">IFERROR(CONCATENATE(VLOOKUP(A512,GM_Table,12,FALSE)," ",(VLOOKUP(A512,GM_Table,13,FALSE))),"")</f>
        <v/>
      </c>
    </row>
    <row r="513" spans="1:10" ht="15" x14ac:dyDescent="0.2">
      <c r="A513" s="193" t="s">
        <v>2181</v>
      </c>
      <c r="B513" s="193" t="s">
        <v>2181</v>
      </c>
      <c r="C513" s="264">
        <v>3.9</v>
      </c>
      <c r="D513" s="265">
        <v>6.7206000000000001</v>
      </c>
      <c r="E513" s="265">
        <v>-8.0719999999999992</v>
      </c>
      <c r="F513" s="122" t="b">
        <f>IF(ISBLANK(FarmUnit[[#This Row],[1. Identifiant interne d’exploitation agricole*]]),"",IF(ISERROR(MATCH(FarmUnit[[#This Row],[1. Identifiant interne d’exploitation agricole*]],GroupMember[1. Identifiant interne d’exploitation agricole*],0)),FALSE,TRUE))</f>
        <v>1</v>
      </c>
      <c r="G513" s="4">
        <f t="shared" si="17"/>
        <v>6.7206000000000001</v>
      </c>
      <c r="H513" s="4">
        <f t="shared" si="18"/>
        <v>-8.0719999999999992</v>
      </c>
      <c r="I513" s="20" t="str">
        <f t="array" ref="I513">IF(ISBLANK(C513),"",IF(C513=MAX(IF(FarmUnit[1. Identifiant interne d’exploitation agricole*]=A513,FarmUnit[3. Superficie de l’unité agricole (ha)*])),"!","-"))</f>
        <v>!</v>
      </c>
      <c r="J513" s="9" t="str">
        <f ca="1">IFERROR(CONCATENATE(VLOOKUP(A513,GM_Table,12,FALSE)," ",(VLOOKUP(A513,GM_Table,13,FALSE))),"")</f>
        <v/>
      </c>
    </row>
    <row r="514" spans="1:10" ht="15" x14ac:dyDescent="0.2">
      <c r="A514" s="193" t="s">
        <v>2182</v>
      </c>
      <c r="B514" s="193" t="s">
        <v>2182</v>
      </c>
      <c r="C514" s="264">
        <v>4.0599999999999996</v>
      </c>
      <c r="D514" s="265">
        <v>6.8875000000000002</v>
      </c>
      <c r="E514" s="265">
        <v>-8.3155999999999999</v>
      </c>
      <c r="F514" s="122" t="b">
        <f>IF(ISBLANK(FarmUnit[[#This Row],[1. Identifiant interne d’exploitation agricole*]]),"",IF(ISERROR(MATCH(FarmUnit[[#This Row],[1. Identifiant interne d’exploitation agricole*]],GroupMember[1. Identifiant interne d’exploitation agricole*],0)),FALSE,TRUE))</f>
        <v>1</v>
      </c>
      <c r="G514" s="4">
        <f t="shared" si="17"/>
        <v>6.8875000000000002</v>
      </c>
      <c r="H514" s="4">
        <f t="shared" si="18"/>
        <v>-8.3155999999999999</v>
      </c>
      <c r="I514" s="20" t="str">
        <f t="array" ref="I514">IF(ISBLANK(C514),"",IF(C514=MAX(IF(FarmUnit[1. Identifiant interne d’exploitation agricole*]=A514,FarmUnit[3. Superficie de l’unité agricole (ha)*])),"!","-"))</f>
        <v>!</v>
      </c>
      <c r="J514" s="9" t="str">
        <f ca="1">IFERROR(CONCATENATE(VLOOKUP(A514,GM_Table,12,FALSE)," ",(VLOOKUP(A514,GM_Table,13,FALSE))),"")</f>
        <v/>
      </c>
    </row>
    <row r="515" spans="1:10" ht="15" x14ac:dyDescent="0.2">
      <c r="A515" s="193" t="s">
        <v>2184</v>
      </c>
      <c r="B515" s="193" t="s">
        <v>2184</v>
      </c>
      <c r="C515" s="264">
        <v>5.22</v>
      </c>
      <c r="D515" s="265">
        <v>6.6790000000000003</v>
      </c>
      <c r="E515" s="265">
        <v>-8.0496999999999996</v>
      </c>
      <c r="F515" s="122" t="b">
        <f>IF(ISBLANK(FarmUnit[[#This Row],[1. Identifiant interne d’exploitation agricole*]]),"",IF(ISERROR(MATCH(FarmUnit[[#This Row],[1. Identifiant interne d’exploitation agricole*]],GroupMember[1. Identifiant interne d’exploitation agricole*],0)),FALSE,TRUE))</f>
        <v>1</v>
      </c>
      <c r="G515" s="4">
        <f t="shared" si="17"/>
        <v>6.6790000000000003</v>
      </c>
      <c r="H515" s="4">
        <f t="shared" si="18"/>
        <v>-8.0496999999999996</v>
      </c>
      <c r="I515" s="20" t="str">
        <f t="array" ref="I515">IF(ISBLANK(C515),"",IF(C515=MAX(IF(FarmUnit[1. Identifiant interne d’exploitation agricole*]=A515,FarmUnit[3. Superficie de l’unité agricole (ha)*])),"!","-"))</f>
        <v>!</v>
      </c>
      <c r="J515" s="9" t="str">
        <f ca="1">IFERROR(CONCATENATE(VLOOKUP(A515,GM_Table,12,FALSE)," ",(VLOOKUP(A515,GM_Table,13,FALSE))),"")</f>
        <v/>
      </c>
    </row>
    <row r="516" spans="1:10" ht="15" x14ac:dyDescent="0.2">
      <c r="A516" s="193" t="s">
        <v>2186</v>
      </c>
      <c r="B516" s="193" t="s">
        <v>2186</v>
      </c>
      <c r="C516" s="264">
        <v>1.33</v>
      </c>
      <c r="D516" s="265">
        <v>6.8716999999999997</v>
      </c>
      <c r="E516" s="265">
        <v>-8.0860000000000003</v>
      </c>
      <c r="F516" s="122" t="b">
        <f>IF(ISBLANK(FarmUnit[[#This Row],[1. Identifiant interne d’exploitation agricole*]]),"",IF(ISERROR(MATCH(FarmUnit[[#This Row],[1. Identifiant interne d’exploitation agricole*]],GroupMember[1. Identifiant interne d’exploitation agricole*],0)),FALSE,TRUE))</f>
        <v>1</v>
      </c>
      <c r="G516" s="4">
        <f t="shared" si="17"/>
        <v>6.8716999999999997</v>
      </c>
      <c r="H516" s="4">
        <f t="shared" si="18"/>
        <v>-8.0860000000000003</v>
      </c>
      <c r="I516" s="20" t="str">
        <f t="array" ref="I516">IF(ISBLANK(C516),"",IF(C516=MAX(IF(FarmUnit[1. Identifiant interne d’exploitation agricole*]=A516,FarmUnit[3. Superficie de l’unité agricole (ha)*])),"!","-"))</f>
        <v>!</v>
      </c>
      <c r="J516" s="9" t="str">
        <f ca="1">IFERROR(CONCATENATE(VLOOKUP(A516,GM_Table,12,FALSE)," ",(VLOOKUP(A516,GM_Table,13,FALSE))),"")</f>
        <v/>
      </c>
    </row>
    <row r="517" spans="1:10" ht="15" x14ac:dyDescent="0.2">
      <c r="A517" s="193" t="s">
        <v>2189</v>
      </c>
      <c r="B517" s="193" t="s">
        <v>2189</v>
      </c>
      <c r="C517" s="264">
        <v>2.42</v>
      </c>
      <c r="D517" s="265">
        <v>6.8963999999999999</v>
      </c>
      <c r="E517" s="265">
        <v>-8.2966999999999995</v>
      </c>
      <c r="F517" s="122" t="b">
        <f>IF(ISBLANK(FarmUnit[[#This Row],[1. Identifiant interne d’exploitation agricole*]]),"",IF(ISERROR(MATCH(FarmUnit[[#This Row],[1. Identifiant interne d’exploitation agricole*]],GroupMember[1. Identifiant interne d’exploitation agricole*],0)),FALSE,TRUE))</f>
        <v>1</v>
      </c>
      <c r="G517" s="4">
        <f t="shared" si="17"/>
        <v>6.8963999999999999</v>
      </c>
      <c r="H517" s="4">
        <f t="shared" si="18"/>
        <v>-8.2966999999999995</v>
      </c>
      <c r="I517" s="20" t="str">
        <f t="array" ref="I517">IF(ISBLANK(C517),"",IF(C517=MAX(IF(FarmUnit[1. Identifiant interne d’exploitation agricole*]=A517,FarmUnit[3. Superficie de l’unité agricole (ha)*])),"!","-"))</f>
        <v>!</v>
      </c>
      <c r="J517" s="9" t="str">
        <f ca="1">IFERROR(CONCATENATE(VLOOKUP(A517,GM_Table,12,FALSE)," ",(VLOOKUP(A517,GM_Table,13,FALSE))),"")</f>
        <v/>
      </c>
    </row>
    <row r="518" spans="1:10" ht="15" x14ac:dyDescent="0.2">
      <c r="A518" s="193" t="s">
        <v>2192</v>
      </c>
      <c r="B518" s="193" t="s">
        <v>2192</v>
      </c>
      <c r="C518" s="6">
        <v>3.9</v>
      </c>
      <c r="D518" s="265">
        <v>6.7138999999999998</v>
      </c>
      <c r="E518" s="265">
        <v>-8.0801999999999996</v>
      </c>
      <c r="F518" s="122" t="b">
        <f>IF(ISBLANK(FarmUnit[[#This Row],[1. Identifiant interne d’exploitation agricole*]]),"",IF(ISERROR(MATCH(FarmUnit[[#This Row],[1. Identifiant interne d’exploitation agricole*]],GroupMember[1. Identifiant interne d’exploitation agricole*],0)),FALSE,TRUE))</f>
        <v>1</v>
      </c>
      <c r="G518" s="4">
        <f t="shared" si="17"/>
        <v>6.7138999999999998</v>
      </c>
      <c r="H518" s="4">
        <f t="shared" si="18"/>
        <v>-8.0801999999999996</v>
      </c>
      <c r="I518" s="20" t="str">
        <f t="array" ref="I518">IF(ISBLANK(C518),"",IF(C518=MAX(IF(FarmUnit[1. Identifiant interne d’exploitation agricole*]=A518,FarmUnit[3. Superficie de l’unité agricole (ha)*])),"!","-"))</f>
        <v>!</v>
      </c>
      <c r="J518" s="9" t="str">
        <f ca="1">IFERROR(CONCATENATE(VLOOKUP(A518,GM_Table,12,FALSE)," ",(VLOOKUP(A518,GM_Table,13,FALSE))),"")</f>
        <v/>
      </c>
    </row>
    <row r="519" spans="1:10" ht="15" x14ac:dyDescent="0.2">
      <c r="A519" s="193" t="s">
        <v>2194</v>
      </c>
      <c r="B519" s="193" t="s">
        <v>2194</v>
      </c>
      <c r="C519" s="6">
        <v>3</v>
      </c>
      <c r="D519" s="265">
        <v>6.7187999999999999</v>
      </c>
      <c r="E519" s="265">
        <v>-8.0749999999999993</v>
      </c>
      <c r="F519" s="122" t="b">
        <f>IF(ISBLANK(FarmUnit[[#This Row],[1. Identifiant interne d’exploitation agricole*]]),"",IF(ISERROR(MATCH(FarmUnit[[#This Row],[1. Identifiant interne d’exploitation agricole*]],GroupMember[1. Identifiant interne d’exploitation agricole*],0)),FALSE,TRUE))</f>
        <v>1</v>
      </c>
      <c r="G519" s="4">
        <f t="shared" si="17"/>
        <v>6.7187999999999999</v>
      </c>
      <c r="H519" s="4">
        <f t="shared" si="18"/>
        <v>-8.0749999999999993</v>
      </c>
      <c r="I519" s="20" t="str">
        <f t="array" ref="I519">IF(ISBLANK(C519),"",IF(C519=MAX(IF(FarmUnit[1. Identifiant interne d’exploitation agricole*]=A519,FarmUnit[3. Superficie de l’unité agricole (ha)*])),"!","-"))</f>
        <v>!</v>
      </c>
      <c r="J519" s="9" t="str">
        <f ca="1">IFERROR(CONCATENATE(VLOOKUP(A519,GM_Table,12,FALSE)," ",(VLOOKUP(A519,GM_Table,13,FALSE))),"")</f>
        <v/>
      </c>
    </row>
    <row r="520" spans="1:10" ht="15" x14ac:dyDescent="0.2">
      <c r="A520" s="193" t="s">
        <v>2196</v>
      </c>
      <c r="B520" s="193" t="s">
        <v>2196</v>
      </c>
      <c r="C520" s="6">
        <v>3.19</v>
      </c>
      <c r="D520" s="265">
        <v>6.9617000000000004</v>
      </c>
      <c r="E520" s="265">
        <v>-8.2921999999999993</v>
      </c>
      <c r="F520" s="122" t="b">
        <f>IF(ISBLANK(FarmUnit[[#This Row],[1. Identifiant interne d’exploitation agricole*]]),"",IF(ISERROR(MATCH(FarmUnit[[#This Row],[1. Identifiant interne d’exploitation agricole*]],GroupMember[1. Identifiant interne d’exploitation agricole*],0)),FALSE,TRUE))</f>
        <v>1</v>
      </c>
      <c r="G520" s="4">
        <f t="shared" si="17"/>
        <v>6.9617000000000004</v>
      </c>
      <c r="H520" s="4">
        <f t="shared" si="18"/>
        <v>-8.2921999999999993</v>
      </c>
      <c r="I520" s="20" t="str">
        <f t="array" ref="I520">IF(ISBLANK(C520),"",IF(C520=MAX(IF(FarmUnit[1. Identifiant interne d’exploitation agricole*]=A520,FarmUnit[3. Superficie de l’unité agricole (ha)*])),"!","-"))</f>
        <v>!</v>
      </c>
      <c r="J520" s="9" t="str">
        <f ca="1">IFERROR(CONCATENATE(VLOOKUP(A520,GM_Table,12,FALSE)," ",(VLOOKUP(A520,GM_Table,13,FALSE))),"")</f>
        <v/>
      </c>
    </row>
    <row r="521" spans="1:10" ht="15" x14ac:dyDescent="0.2">
      <c r="A521" s="193" t="s">
        <v>2198</v>
      </c>
      <c r="B521" s="193" t="s">
        <v>2198</v>
      </c>
      <c r="C521" s="264">
        <v>3.38</v>
      </c>
      <c r="D521" s="265">
        <v>6.8864000000000001</v>
      </c>
      <c r="E521" s="265">
        <v>-8.1793999999999993</v>
      </c>
      <c r="F521" s="122" t="b">
        <f>IF(ISBLANK(FarmUnit[[#This Row],[1. Identifiant interne d’exploitation agricole*]]),"",IF(ISERROR(MATCH(FarmUnit[[#This Row],[1. Identifiant interne d’exploitation agricole*]],GroupMember[1. Identifiant interne d’exploitation agricole*],0)),FALSE,TRUE))</f>
        <v>1</v>
      </c>
      <c r="G521" s="4">
        <f t="shared" si="17"/>
        <v>6.8864000000000001</v>
      </c>
      <c r="H521" s="4">
        <f t="shared" si="18"/>
        <v>-8.1793999999999993</v>
      </c>
      <c r="I521" s="20" t="str">
        <f t="array" ref="I521">IF(ISBLANK(C521),"",IF(C521=MAX(IF(FarmUnit[1. Identifiant interne d’exploitation agricole*]=A521,FarmUnit[3. Superficie de l’unité agricole (ha)*])),"!","-"))</f>
        <v>!</v>
      </c>
      <c r="J521" s="9" t="str">
        <f ca="1">IFERROR(CONCATENATE(VLOOKUP(A521,GM_Table,12,FALSE)," ",(VLOOKUP(A521,GM_Table,13,FALSE))),"")</f>
        <v/>
      </c>
    </row>
    <row r="522" spans="1:10" ht="15" x14ac:dyDescent="0.2">
      <c r="A522" s="193" t="s">
        <v>2200</v>
      </c>
      <c r="B522" s="193" t="s">
        <v>2200</v>
      </c>
      <c r="C522" s="264">
        <v>5.54</v>
      </c>
      <c r="D522" s="265">
        <v>6.9503000000000004</v>
      </c>
      <c r="E522" s="265">
        <v>-8.1356000000000002</v>
      </c>
      <c r="F522" s="122" t="b">
        <f>IF(ISBLANK(FarmUnit[[#This Row],[1. Identifiant interne d’exploitation agricole*]]),"",IF(ISERROR(MATCH(FarmUnit[[#This Row],[1. Identifiant interne d’exploitation agricole*]],GroupMember[1. Identifiant interne d’exploitation agricole*],0)),FALSE,TRUE))</f>
        <v>1</v>
      </c>
      <c r="G522" s="4">
        <f t="shared" si="17"/>
        <v>6.9503000000000004</v>
      </c>
      <c r="H522" s="4">
        <f t="shared" si="18"/>
        <v>-8.1356000000000002</v>
      </c>
      <c r="I522" s="20" t="str">
        <f t="array" ref="I522">IF(ISBLANK(C522),"",IF(C522=MAX(IF(FarmUnit[1. Identifiant interne d’exploitation agricole*]=A522,FarmUnit[3. Superficie de l’unité agricole (ha)*])),"!","-"))</f>
        <v>!</v>
      </c>
      <c r="J522" s="9" t="str">
        <f ca="1">IFERROR(CONCATENATE(VLOOKUP(A522,GM_Table,12,FALSE)," ",(VLOOKUP(A522,GM_Table,13,FALSE))),"")</f>
        <v/>
      </c>
    </row>
    <row r="523" spans="1:10" ht="15" x14ac:dyDescent="0.2">
      <c r="A523" s="193" t="s">
        <v>2201</v>
      </c>
      <c r="B523" s="193" t="s">
        <v>2201</v>
      </c>
      <c r="C523" s="264">
        <v>4.82</v>
      </c>
      <c r="D523" s="265">
        <v>6.9039000000000001</v>
      </c>
      <c r="E523" s="265">
        <v>-8.2721999999999998</v>
      </c>
      <c r="F523" s="122" t="b">
        <f>IF(ISBLANK(FarmUnit[[#This Row],[1. Identifiant interne d’exploitation agricole*]]),"",IF(ISERROR(MATCH(FarmUnit[[#This Row],[1. Identifiant interne d’exploitation agricole*]],GroupMember[1. Identifiant interne d’exploitation agricole*],0)),FALSE,TRUE))</f>
        <v>1</v>
      </c>
      <c r="G523" s="4">
        <f t="shared" si="17"/>
        <v>6.9039000000000001</v>
      </c>
      <c r="H523" s="4">
        <f t="shared" si="18"/>
        <v>-8.2721999999999998</v>
      </c>
      <c r="I523" s="20" t="str">
        <f t="array" ref="I523">IF(ISBLANK(C523),"",IF(C523=MAX(IF(FarmUnit[1. Identifiant interne d’exploitation agricole*]=A523,FarmUnit[3. Superficie de l’unité agricole (ha)*])),"!","-"))</f>
        <v>!</v>
      </c>
      <c r="J523" s="9" t="str">
        <f ca="1">IFERROR(CONCATENATE(VLOOKUP(A523,GM_Table,12,FALSE)," ",(VLOOKUP(A523,GM_Table,13,FALSE))),"")</f>
        <v/>
      </c>
    </row>
    <row r="524" spans="1:10" ht="15" x14ac:dyDescent="0.2">
      <c r="A524" s="193" t="s">
        <v>2203</v>
      </c>
      <c r="B524" s="193" t="s">
        <v>2203</v>
      </c>
      <c r="C524" s="264">
        <v>1.23</v>
      </c>
      <c r="D524" s="265">
        <v>6.6932</v>
      </c>
      <c r="E524" s="265">
        <v>-8.0263000000000009</v>
      </c>
      <c r="F524" s="122" t="b">
        <f>IF(ISBLANK(FarmUnit[[#This Row],[1. Identifiant interne d’exploitation agricole*]]),"",IF(ISERROR(MATCH(FarmUnit[[#This Row],[1. Identifiant interne d’exploitation agricole*]],GroupMember[1. Identifiant interne d’exploitation agricole*],0)),FALSE,TRUE))</f>
        <v>1</v>
      </c>
      <c r="G524" s="4">
        <f t="shared" si="17"/>
        <v>6.6932</v>
      </c>
      <c r="H524" s="4">
        <f t="shared" si="18"/>
        <v>-8.0263000000000009</v>
      </c>
      <c r="I524" s="20" t="str">
        <f t="array" ref="I524">IF(ISBLANK(C524),"",IF(C524=MAX(IF(FarmUnit[1. Identifiant interne d’exploitation agricole*]=A524,FarmUnit[3. Superficie de l’unité agricole (ha)*])),"!","-"))</f>
        <v>!</v>
      </c>
      <c r="J524" s="9" t="str">
        <f ca="1">IFERROR(CONCATENATE(VLOOKUP(A524,GM_Table,12,FALSE)," ",(VLOOKUP(A524,GM_Table,13,FALSE))),"")</f>
        <v/>
      </c>
    </row>
    <row r="525" spans="1:10" ht="15" x14ac:dyDescent="0.2">
      <c r="A525" s="193" t="s">
        <v>2205</v>
      </c>
      <c r="B525" s="193" t="s">
        <v>2205</v>
      </c>
      <c r="C525" s="264">
        <v>8.6999999999999993</v>
      </c>
      <c r="D525" s="265">
        <v>6.8502999999999998</v>
      </c>
      <c r="E525" s="265">
        <v>-8.2139000000000006</v>
      </c>
      <c r="F525" s="122" t="b">
        <f>IF(ISBLANK(FarmUnit[[#This Row],[1. Identifiant interne d’exploitation agricole*]]),"",IF(ISERROR(MATCH(FarmUnit[[#This Row],[1. Identifiant interne d’exploitation agricole*]],GroupMember[1. Identifiant interne d’exploitation agricole*],0)),FALSE,TRUE))</f>
        <v>1</v>
      </c>
      <c r="G525" s="4">
        <f t="shared" si="17"/>
        <v>6.8502999999999998</v>
      </c>
      <c r="H525" s="4">
        <f t="shared" si="18"/>
        <v>-8.2139000000000006</v>
      </c>
      <c r="I525" s="20" t="str">
        <f t="array" ref="I525">IF(ISBLANK(C525),"",IF(C525=MAX(IF(FarmUnit[1. Identifiant interne d’exploitation agricole*]=A525,FarmUnit[3. Superficie de l’unité agricole (ha)*])),"!","-"))</f>
        <v>!</v>
      </c>
      <c r="J525" s="9" t="str">
        <f ca="1">IFERROR(CONCATENATE(VLOOKUP(A525,GM_Table,12,FALSE)," ",(VLOOKUP(A525,GM_Table,13,FALSE))),"")</f>
        <v/>
      </c>
    </row>
    <row r="526" spans="1:10" ht="15" x14ac:dyDescent="0.2">
      <c r="A526" s="193" t="s">
        <v>2207</v>
      </c>
      <c r="B526" s="193" t="s">
        <v>2207</v>
      </c>
      <c r="C526" s="264">
        <v>7.59</v>
      </c>
      <c r="D526" s="265">
        <v>6.7496999999999998</v>
      </c>
      <c r="E526" s="265">
        <v>-8.0500000000000007</v>
      </c>
      <c r="F526" s="122" t="b">
        <f>IF(ISBLANK(FarmUnit[[#This Row],[1. Identifiant interne d’exploitation agricole*]]),"",IF(ISERROR(MATCH(FarmUnit[[#This Row],[1. Identifiant interne d’exploitation agricole*]],GroupMember[1. Identifiant interne d’exploitation agricole*],0)),FALSE,TRUE))</f>
        <v>1</v>
      </c>
      <c r="G526" s="4">
        <f t="shared" si="17"/>
        <v>6.7496999999999998</v>
      </c>
      <c r="H526" s="4">
        <f t="shared" si="18"/>
        <v>-8.0500000000000007</v>
      </c>
      <c r="I526" s="20" t="str">
        <f t="array" ref="I526">IF(ISBLANK(C526),"",IF(C526=MAX(IF(FarmUnit[1. Identifiant interne d’exploitation agricole*]=A526,FarmUnit[3. Superficie de l’unité agricole (ha)*])),"!","-"))</f>
        <v>!</v>
      </c>
      <c r="J526" s="9" t="str">
        <f ca="1">IFERROR(CONCATENATE(VLOOKUP(A526,GM_Table,12,FALSE)," ",(VLOOKUP(A526,GM_Table,13,FALSE))),"")</f>
        <v/>
      </c>
    </row>
    <row r="527" spans="1:10" ht="15" x14ac:dyDescent="0.2">
      <c r="A527" s="193" t="s">
        <v>2209</v>
      </c>
      <c r="B527" s="193" t="s">
        <v>2209</v>
      </c>
      <c r="C527" s="264">
        <v>1.8</v>
      </c>
      <c r="D527" s="265">
        <v>6.6887999999999996</v>
      </c>
      <c r="E527" s="265">
        <v>-8.0101999999999993</v>
      </c>
      <c r="F527" s="122" t="b">
        <f>IF(ISBLANK(FarmUnit[[#This Row],[1. Identifiant interne d’exploitation agricole*]]),"",IF(ISERROR(MATCH(FarmUnit[[#This Row],[1. Identifiant interne d’exploitation agricole*]],GroupMember[1. Identifiant interne d’exploitation agricole*],0)),FALSE,TRUE))</f>
        <v>1</v>
      </c>
      <c r="G527" s="4">
        <f t="shared" si="17"/>
        <v>6.6887999999999996</v>
      </c>
      <c r="H527" s="4">
        <f t="shared" si="18"/>
        <v>-8.0101999999999993</v>
      </c>
      <c r="I527" s="20" t="str">
        <f t="array" ref="I527">IF(ISBLANK(C527),"",IF(C527=MAX(IF(FarmUnit[1. Identifiant interne d’exploitation agricole*]=A527,FarmUnit[3. Superficie de l’unité agricole (ha)*])),"!","-"))</f>
        <v>!</v>
      </c>
      <c r="J527" s="9" t="str">
        <f ca="1">IFERROR(CONCATENATE(VLOOKUP(A527,GM_Table,12,FALSE)," ",(VLOOKUP(A527,GM_Table,13,FALSE))),"")</f>
        <v/>
      </c>
    </row>
    <row r="528" spans="1:10" ht="15" x14ac:dyDescent="0.2">
      <c r="A528" s="193" t="s">
        <v>2211</v>
      </c>
      <c r="B528" s="193" t="s">
        <v>2211</v>
      </c>
      <c r="C528" s="264">
        <v>2.5299999999999998</v>
      </c>
      <c r="D528" s="265">
        <v>6.7191999999999998</v>
      </c>
      <c r="E528" s="265">
        <v>-8.0191999999999997</v>
      </c>
      <c r="F528" s="122" t="b">
        <f>IF(ISBLANK(FarmUnit[[#This Row],[1. Identifiant interne d’exploitation agricole*]]),"",IF(ISERROR(MATCH(FarmUnit[[#This Row],[1. Identifiant interne d’exploitation agricole*]],GroupMember[1. Identifiant interne d’exploitation agricole*],0)),FALSE,TRUE))</f>
        <v>1</v>
      </c>
      <c r="G528" s="4">
        <f t="shared" si="17"/>
        <v>6.7191999999999998</v>
      </c>
      <c r="H528" s="4">
        <f t="shared" si="18"/>
        <v>-8.0191999999999997</v>
      </c>
      <c r="I528" s="20" t="str">
        <f t="array" ref="I528">IF(ISBLANK(C528),"",IF(C528=MAX(IF(FarmUnit[1. Identifiant interne d’exploitation agricole*]=A528,FarmUnit[3. Superficie de l’unité agricole (ha)*])),"!","-"))</f>
        <v>!</v>
      </c>
      <c r="J528" s="9" t="str">
        <f ca="1">IFERROR(CONCATENATE(VLOOKUP(A528,GM_Table,12,FALSE)," ",(VLOOKUP(A528,GM_Table,13,FALSE))),"")</f>
        <v/>
      </c>
    </row>
    <row r="529" spans="1:10" ht="15" x14ac:dyDescent="0.2">
      <c r="A529" s="193" t="s">
        <v>2213</v>
      </c>
      <c r="B529" s="193" t="s">
        <v>2213</v>
      </c>
      <c r="C529" s="264">
        <v>3.86</v>
      </c>
      <c r="D529" s="266">
        <v>6.9381000000000004</v>
      </c>
      <c r="E529" s="266">
        <v>-8.2544000000000004</v>
      </c>
      <c r="F529" s="122" t="b">
        <f>IF(ISBLANK(FarmUnit[[#This Row],[1. Identifiant interne d’exploitation agricole*]]),"",IF(ISERROR(MATCH(FarmUnit[[#This Row],[1. Identifiant interne d’exploitation agricole*]],GroupMember[1. Identifiant interne d’exploitation agricole*],0)),FALSE,TRUE))</f>
        <v>1</v>
      </c>
      <c r="G529" s="4">
        <f t="shared" si="17"/>
        <v>6.9381000000000004</v>
      </c>
      <c r="H529" s="4">
        <f t="shared" si="18"/>
        <v>-8.2544000000000004</v>
      </c>
      <c r="I529" s="20" t="str">
        <f t="array" ref="I529">IF(ISBLANK(C529),"",IF(C529=MAX(IF(FarmUnit[1. Identifiant interne d’exploitation agricole*]=A529,FarmUnit[3. Superficie de l’unité agricole (ha)*])),"!","-"))</f>
        <v>!</v>
      </c>
      <c r="J529" s="9" t="str">
        <f ca="1">IFERROR(CONCATENATE(VLOOKUP(A529,GM_Table,12,FALSE)," ",(VLOOKUP(A529,GM_Table,13,FALSE))),"")</f>
        <v/>
      </c>
    </row>
    <row r="530" spans="1:10" ht="15" x14ac:dyDescent="0.2">
      <c r="A530" s="193" t="s">
        <v>2215</v>
      </c>
      <c r="B530" s="193" t="s">
        <v>2215</v>
      </c>
      <c r="C530" s="264">
        <v>5.74</v>
      </c>
      <c r="D530" s="265">
        <v>6.9424999999999999</v>
      </c>
      <c r="E530" s="265">
        <v>-8.2992000000000008</v>
      </c>
      <c r="F530" s="122" t="b">
        <f>IF(ISBLANK(FarmUnit[[#This Row],[1. Identifiant interne d’exploitation agricole*]]),"",IF(ISERROR(MATCH(FarmUnit[[#This Row],[1. Identifiant interne d’exploitation agricole*]],GroupMember[1. Identifiant interne d’exploitation agricole*],0)),FALSE,TRUE))</f>
        <v>1</v>
      </c>
      <c r="G530" s="4">
        <f t="shared" si="17"/>
        <v>6.9424999999999999</v>
      </c>
      <c r="H530" s="4">
        <f t="shared" si="18"/>
        <v>-8.2992000000000008</v>
      </c>
      <c r="I530" s="20" t="str">
        <f t="array" ref="I530">IF(ISBLANK(C530),"",IF(C530=MAX(IF(FarmUnit[1. Identifiant interne d’exploitation agricole*]=A530,FarmUnit[3. Superficie de l’unité agricole (ha)*])),"!","-"))</f>
        <v>!</v>
      </c>
      <c r="J530" s="9" t="str">
        <f ca="1">IFERROR(CONCATENATE(VLOOKUP(A530,GM_Table,12,FALSE)," ",(VLOOKUP(A530,GM_Table,13,FALSE))),"")</f>
        <v/>
      </c>
    </row>
    <row r="531" spans="1:10" ht="15" x14ac:dyDescent="0.2">
      <c r="A531" s="193" t="s">
        <v>2216</v>
      </c>
      <c r="B531" s="193" t="s">
        <v>2216</v>
      </c>
      <c r="C531" s="264">
        <v>1.96</v>
      </c>
      <c r="D531" s="265">
        <v>6.6959</v>
      </c>
      <c r="E531" s="265">
        <v>-8.0256000000000007</v>
      </c>
      <c r="F531" s="122" t="b">
        <f>IF(ISBLANK(FarmUnit[[#This Row],[1. Identifiant interne d’exploitation agricole*]]),"",IF(ISERROR(MATCH(FarmUnit[[#This Row],[1. Identifiant interne d’exploitation agricole*]],GroupMember[1. Identifiant interne d’exploitation agricole*],0)),FALSE,TRUE))</f>
        <v>1</v>
      </c>
      <c r="G531" s="4">
        <f t="shared" si="17"/>
        <v>6.6959</v>
      </c>
      <c r="H531" s="4">
        <f t="shared" si="18"/>
        <v>-8.0256000000000007</v>
      </c>
      <c r="I531" s="20" t="str">
        <f t="array" ref="I531">IF(ISBLANK(C531),"",IF(C531=MAX(IF(FarmUnit[1. Identifiant interne d’exploitation agricole*]=A531,FarmUnit[3. Superficie de l’unité agricole (ha)*])),"!","-"))</f>
        <v>!</v>
      </c>
      <c r="J531" s="9" t="str">
        <f ca="1">IFERROR(CONCATENATE(VLOOKUP(A531,GM_Table,12,FALSE)," ",(VLOOKUP(A531,GM_Table,13,FALSE))),"")</f>
        <v/>
      </c>
    </row>
    <row r="532" spans="1:10" ht="15" x14ac:dyDescent="0.2">
      <c r="A532" s="193" t="s">
        <v>2218</v>
      </c>
      <c r="B532" s="193" t="s">
        <v>2218</v>
      </c>
      <c r="C532" s="264">
        <v>10.37</v>
      </c>
      <c r="D532" s="266">
        <v>6.7488999999999999</v>
      </c>
      <c r="E532" s="266">
        <v>-8.3289000000000009</v>
      </c>
      <c r="F532" s="122" t="b">
        <f>IF(ISBLANK(FarmUnit[[#This Row],[1. Identifiant interne d’exploitation agricole*]]),"",IF(ISERROR(MATCH(FarmUnit[[#This Row],[1. Identifiant interne d’exploitation agricole*]],GroupMember[1. Identifiant interne d’exploitation agricole*],0)),FALSE,TRUE))</f>
        <v>1</v>
      </c>
      <c r="G532" s="4">
        <f t="shared" si="17"/>
        <v>6.7488999999999999</v>
      </c>
      <c r="H532" s="4">
        <f t="shared" si="18"/>
        <v>-8.3289000000000009</v>
      </c>
      <c r="I532" s="20" t="str">
        <f t="array" ref="I532">IF(ISBLANK(C532),"",IF(C532=MAX(IF(FarmUnit[1. Identifiant interne d’exploitation agricole*]=A532,FarmUnit[3. Superficie de l’unité agricole (ha)*])),"!","-"))</f>
        <v>!</v>
      </c>
      <c r="J532" s="9" t="str">
        <f ca="1">IFERROR(CONCATENATE(VLOOKUP(A532,GM_Table,12,FALSE)," ",(VLOOKUP(A532,GM_Table,13,FALSE))),"")</f>
        <v/>
      </c>
    </row>
    <row r="533" spans="1:10" ht="15" x14ac:dyDescent="0.2">
      <c r="A533" s="193" t="s">
        <v>2220</v>
      </c>
      <c r="B533" s="193" t="s">
        <v>2220</v>
      </c>
      <c r="C533" s="264">
        <v>1.87</v>
      </c>
      <c r="D533" s="265">
        <v>6.71</v>
      </c>
      <c r="E533" s="265">
        <v>-8.0381</v>
      </c>
      <c r="F533" s="122" t="b">
        <f>IF(ISBLANK(FarmUnit[[#This Row],[1. Identifiant interne d’exploitation agricole*]]),"",IF(ISERROR(MATCH(FarmUnit[[#This Row],[1. Identifiant interne d’exploitation agricole*]],GroupMember[1. Identifiant interne d’exploitation agricole*],0)),FALSE,TRUE))</f>
        <v>1</v>
      </c>
      <c r="G533" s="4">
        <f t="shared" si="17"/>
        <v>6.71</v>
      </c>
      <c r="H533" s="4">
        <f t="shared" si="18"/>
        <v>-8.0381</v>
      </c>
      <c r="I533" s="20" t="str">
        <f t="array" ref="I533">IF(ISBLANK(C533),"",IF(C533=MAX(IF(FarmUnit[1. Identifiant interne d’exploitation agricole*]=A533,FarmUnit[3. Superficie de l’unité agricole (ha)*])),"!","-"))</f>
        <v>!</v>
      </c>
      <c r="J533" s="9" t="str">
        <f ca="1">IFERROR(CONCATENATE(VLOOKUP(A533,GM_Table,12,FALSE)," ",(VLOOKUP(A533,GM_Table,13,FALSE))),"")</f>
        <v/>
      </c>
    </row>
    <row r="534" spans="1:10" ht="15" x14ac:dyDescent="0.2">
      <c r="A534" s="193" t="s">
        <v>2222</v>
      </c>
      <c r="B534" s="193" t="s">
        <v>2222</v>
      </c>
      <c r="C534" s="264">
        <v>0.72</v>
      </c>
      <c r="D534" s="265">
        <v>6.6929999999999996</v>
      </c>
      <c r="E534" s="265">
        <v>-8.0360999999999994</v>
      </c>
      <c r="F534" s="122" t="b">
        <f>IF(ISBLANK(FarmUnit[[#This Row],[1. Identifiant interne d’exploitation agricole*]]),"",IF(ISERROR(MATCH(FarmUnit[[#This Row],[1. Identifiant interne d’exploitation agricole*]],GroupMember[1. Identifiant interne d’exploitation agricole*],0)),FALSE,TRUE))</f>
        <v>1</v>
      </c>
      <c r="G534" s="4">
        <f t="shared" si="17"/>
        <v>6.6929999999999996</v>
      </c>
      <c r="H534" s="4">
        <f t="shared" si="18"/>
        <v>-8.0360999999999994</v>
      </c>
      <c r="I534" s="20" t="str">
        <f t="array" ref="I534">IF(ISBLANK(C534),"",IF(C534=MAX(IF(FarmUnit[1. Identifiant interne d’exploitation agricole*]=A534,FarmUnit[3. Superficie de l’unité agricole (ha)*])),"!","-"))</f>
        <v>!</v>
      </c>
      <c r="J534" s="9" t="str">
        <f ca="1">IFERROR(CONCATENATE(VLOOKUP(A534,GM_Table,12,FALSE)," ",(VLOOKUP(A534,GM_Table,13,FALSE))),"")</f>
        <v/>
      </c>
    </row>
    <row r="535" spans="1:10" ht="15" x14ac:dyDescent="0.2">
      <c r="A535" s="193" t="s">
        <v>2223</v>
      </c>
      <c r="B535" s="193" t="s">
        <v>2223</v>
      </c>
      <c r="C535" s="264">
        <v>1.36</v>
      </c>
      <c r="D535" s="265">
        <v>6.7317</v>
      </c>
      <c r="E535" s="265">
        <v>-8.1321999999999992</v>
      </c>
      <c r="F535" s="122" t="b">
        <f>IF(ISBLANK(FarmUnit[[#This Row],[1. Identifiant interne d’exploitation agricole*]]),"",IF(ISERROR(MATCH(FarmUnit[[#This Row],[1. Identifiant interne d’exploitation agricole*]],GroupMember[1. Identifiant interne d’exploitation agricole*],0)),FALSE,TRUE))</f>
        <v>1</v>
      </c>
      <c r="G535" s="4">
        <f t="shared" si="17"/>
        <v>6.7317</v>
      </c>
      <c r="H535" s="4">
        <f t="shared" si="18"/>
        <v>-8.1321999999999992</v>
      </c>
      <c r="I535" s="20" t="str">
        <f t="array" ref="I535">IF(ISBLANK(C535),"",IF(C535=MAX(IF(FarmUnit[1. Identifiant interne d’exploitation agricole*]=A535,FarmUnit[3. Superficie de l’unité agricole (ha)*])),"!","-"))</f>
        <v>!</v>
      </c>
      <c r="J535" s="9" t="str">
        <f ca="1">IFERROR(CONCATENATE(VLOOKUP(A535,GM_Table,12,FALSE)," ",(VLOOKUP(A535,GM_Table,13,FALSE))),"")</f>
        <v/>
      </c>
    </row>
    <row r="536" spans="1:10" ht="15" x14ac:dyDescent="0.2">
      <c r="A536" s="193" t="s">
        <v>2225</v>
      </c>
      <c r="B536" s="193" t="s">
        <v>2225</v>
      </c>
      <c r="C536" s="264">
        <v>1.86</v>
      </c>
      <c r="D536" s="265">
        <v>6.7371999999999996</v>
      </c>
      <c r="E536" s="265">
        <v>-8.2707999999999995</v>
      </c>
      <c r="F536" s="122" t="b">
        <f>IF(ISBLANK(FarmUnit[[#This Row],[1. Identifiant interne d’exploitation agricole*]]),"",IF(ISERROR(MATCH(FarmUnit[[#This Row],[1. Identifiant interne d’exploitation agricole*]],GroupMember[1. Identifiant interne d’exploitation agricole*],0)),FALSE,TRUE))</f>
        <v>1</v>
      </c>
      <c r="G536" s="4">
        <f t="shared" si="17"/>
        <v>6.7371999999999996</v>
      </c>
      <c r="H536" s="4">
        <f t="shared" si="18"/>
        <v>-8.2707999999999995</v>
      </c>
      <c r="I536" s="20" t="str">
        <f t="array" ref="I536">IF(ISBLANK(C536),"",IF(C536=MAX(IF(FarmUnit[1. Identifiant interne d’exploitation agricole*]=A536,FarmUnit[3. Superficie de l’unité agricole (ha)*])),"!","-"))</f>
        <v>!</v>
      </c>
      <c r="J536" s="9" t="str">
        <f ca="1">IFERROR(CONCATENATE(VLOOKUP(A536,GM_Table,12,FALSE)," ",(VLOOKUP(A536,GM_Table,13,FALSE))),"")</f>
        <v/>
      </c>
    </row>
    <row r="537" spans="1:10" ht="15" x14ac:dyDescent="0.2">
      <c r="A537" s="193" t="s">
        <v>2228</v>
      </c>
      <c r="B537" s="193" t="s">
        <v>2228</v>
      </c>
      <c r="C537" s="264">
        <v>8.4499999999999993</v>
      </c>
      <c r="D537" s="265">
        <v>6.7076000000000002</v>
      </c>
      <c r="E537" s="265">
        <v>-8.0418000000000003</v>
      </c>
      <c r="F537" s="122" t="b">
        <f>IF(ISBLANK(FarmUnit[[#This Row],[1. Identifiant interne d’exploitation agricole*]]),"",IF(ISERROR(MATCH(FarmUnit[[#This Row],[1. Identifiant interne d’exploitation agricole*]],GroupMember[1. Identifiant interne d’exploitation agricole*],0)),FALSE,TRUE))</f>
        <v>1</v>
      </c>
      <c r="G537" s="4">
        <f t="shared" si="17"/>
        <v>6.7076000000000002</v>
      </c>
      <c r="H537" s="4">
        <f t="shared" si="18"/>
        <v>-8.0418000000000003</v>
      </c>
      <c r="I537" s="20" t="str">
        <f t="array" ref="I537">IF(ISBLANK(C537),"",IF(C537=MAX(IF(FarmUnit[1. Identifiant interne d’exploitation agricole*]=A537,FarmUnit[3. Superficie de l’unité agricole (ha)*])),"!","-"))</f>
        <v>!</v>
      </c>
      <c r="J537" s="9" t="str">
        <f ca="1">IFERROR(CONCATENATE(VLOOKUP(A537,GM_Table,12,FALSE)," ",(VLOOKUP(A537,GM_Table,13,FALSE))),"")</f>
        <v/>
      </c>
    </row>
    <row r="538" spans="1:10" ht="15" x14ac:dyDescent="0.2">
      <c r="A538" s="193" t="s">
        <v>2230</v>
      </c>
      <c r="B538" s="193" t="s">
        <v>2230</v>
      </c>
      <c r="C538" s="264">
        <v>3.86</v>
      </c>
      <c r="D538" s="265">
        <v>6.6879</v>
      </c>
      <c r="E538" s="265">
        <v>-8.0533000000000001</v>
      </c>
      <c r="F538" s="122" t="b">
        <f>IF(ISBLANK(FarmUnit[[#This Row],[1. Identifiant interne d’exploitation agricole*]]),"",IF(ISERROR(MATCH(FarmUnit[[#This Row],[1. Identifiant interne d’exploitation agricole*]],GroupMember[1. Identifiant interne d’exploitation agricole*],0)),FALSE,TRUE))</f>
        <v>1</v>
      </c>
      <c r="G538" s="4">
        <f t="shared" si="17"/>
        <v>6.6879</v>
      </c>
      <c r="H538" s="4">
        <f t="shared" si="18"/>
        <v>-8.0533000000000001</v>
      </c>
      <c r="I538" s="20" t="str">
        <f t="array" ref="I538">IF(ISBLANK(C538),"",IF(C538=MAX(IF(FarmUnit[1. Identifiant interne d’exploitation agricole*]=A538,FarmUnit[3. Superficie de l’unité agricole (ha)*])),"!","-"))</f>
        <v>!</v>
      </c>
      <c r="J538" s="9" t="str">
        <f ca="1">IFERROR(CONCATENATE(VLOOKUP(A538,GM_Table,12,FALSE)," ",(VLOOKUP(A538,GM_Table,13,FALSE))),"")</f>
        <v/>
      </c>
    </row>
    <row r="539" spans="1:10" ht="15" x14ac:dyDescent="0.2">
      <c r="A539" s="193" t="s">
        <v>2231</v>
      </c>
      <c r="B539" s="193" t="s">
        <v>2231</v>
      </c>
      <c r="C539" s="264">
        <v>4.1399999999999997</v>
      </c>
      <c r="D539" s="265">
        <v>6.9093999999999998</v>
      </c>
      <c r="E539" s="265">
        <v>-8.0503</v>
      </c>
      <c r="F539" s="122" t="b">
        <f>IF(ISBLANK(FarmUnit[[#This Row],[1. Identifiant interne d’exploitation agricole*]]),"",IF(ISERROR(MATCH(FarmUnit[[#This Row],[1. Identifiant interne d’exploitation agricole*]],GroupMember[1. Identifiant interne d’exploitation agricole*],0)),FALSE,TRUE))</f>
        <v>1</v>
      </c>
      <c r="G539" s="4">
        <f t="shared" si="17"/>
        <v>6.9093999999999998</v>
      </c>
      <c r="H539" s="4">
        <f t="shared" si="18"/>
        <v>-8.0503</v>
      </c>
      <c r="I539" s="20" t="str">
        <f t="array" ref="I539">IF(ISBLANK(C539),"",IF(C539=MAX(IF(FarmUnit[1. Identifiant interne d’exploitation agricole*]=A539,FarmUnit[3. Superficie de l’unité agricole (ha)*])),"!","-"))</f>
        <v>!</v>
      </c>
      <c r="J539" s="9" t="str">
        <f ca="1">IFERROR(CONCATENATE(VLOOKUP(A539,GM_Table,12,FALSE)," ",(VLOOKUP(A539,GM_Table,13,FALSE))),"")</f>
        <v/>
      </c>
    </row>
    <row r="540" spans="1:10" ht="15" x14ac:dyDescent="0.2">
      <c r="A540" s="193" t="s">
        <v>2232</v>
      </c>
      <c r="B540" s="193" t="s">
        <v>2232</v>
      </c>
      <c r="C540" s="264">
        <v>2.69</v>
      </c>
      <c r="D540" s="266">
        <v>6.9341999999999997</v>
      </c>
      <c r="E540" s="266">
        <v>-8.1723999999999997</v>
      </c>
      <c r="F540" s="122" t="b">
        <f>IF(ISBLANK(FarmUnit[[#This Row],[1. Identifiant interne d’exploitation agricole*]]),"",IF(ISERROR(MATCH(FarmUnit[[#This Row],[1. Identifiant interne d’exploitation agricole*]],GroupMember[1. Identifiant interne d’exploitation agricole*],0)),FALSE,TRUE))</f>
        <v>1</v>
      </c>
      <c r="G540" s="4">
        <f t="shared" si="17"/>
        <v>6.9341999999999997</v>
      </c>
      <c r="H540" s="4">
        <f t="shared" si="18"/>
        <v>-8.1723999999999997</v>
      </c>
      <c r="I540" s="20" t="str">
        <f t="array" ref="I540">IF(ISBLANK(C540),"",IF(C540=MAX(IF(FarmUnit[1. Identifiant interne d’exploitation agricole*]=A540,FarmUnit[3. Superficie de l’unité agricole (ha)*])),"!","-"))</f>
        <v>!</v>
      </c>
      <c r="J540" s="9" t="str">
        <f ca="1">IFERROR(CONCATENATE(VLOOKUP(A540,GM_Table,12,FALSE)," ",(VLOOKUP(A540,GM_Table,13,FALSE))),"")</f>
        <v/>
      </c>
    </row>
    <row r="541" spans="1:10" ht="15" x14ac:dyDescent="0.2">
      <c r="A541" s="193" t="s">
        <v>2234</v>
      </c>
      <c r="B541" s="193" t="s">
        <v>2234</v>
      </c>
      <c r="C541" s="264">
        <v>5.82</v>
      </c>
      <c r="D541" s="265">
        <v>6.9336000000000002</v>
      </c>
      <c r="E541" s="265">
        <v>-8.1724999999999994</v>
      </c>
      <c r="F541" s="122" t="b">
        <f>IF(ISBLANK(FarmUnit[[#This Row],[1. Identifiant interne d’exploitation agricole*]]),"",IF(ISERROR(MATCH(FarmUnit[[#This Row],[1. Identifiant interne d’exploitation agricole*]],GroupMember[1. Identifiant interne d’exploitation agricole*],0)),FALSE,TRUE))</f>
        <v>1</v>
      </c>
      <c r="G541" s="4">
        <f t="shared" si="17"/>
        <v>6.9336000000000002</v>
      </c>
      <c r="H541" s="4">
        <f t="shared" si="18"/>
        <v>-8.1724999999999994</v>
      </c>
      <c r="I541" s="20" t="str">
        <f t="array" ref="I541">IF(ISBLANK(C541),"",IF(C541=MAX(IF(FarmUnit[1. Identifiant interne d’exploitation agricole*]=A541,FarmUnit[3. Superficie de l’unité agricole (ha)*])),"!","-"))</f>
        <v>!</v>
      </c>
      <c r="J541" s="9" t="str">
        <f ca="1">IFERROR(CONCATENATE(VLOOKUP(A541,GM_Table,12,FALSE)," ",(VLOOKUP(A541,GM_Table,13,FALSE))),"")</f>
        <v/>
      </c>
    </row>
    <row r="542" spans="1:10" ht="15" x14ac:dyDescent="0.2">
      <c r="A542" s="193" t="s">
        <v>2237</v>
      </c>
      <c r="B542" s="193" t="s">
        <v>2237</v>
      </c>
      <c r="C542" s="264">
        <v>3.13</v>
      </c>
      <c r="D542" s="265">
        <v>6.9297000000000004</v>
      </c>
      <c r="E542" s="265">
        <v>-8.1356000000000002</v>
      </c>
      <c r="F542" s="122" t="b">
        <f>IF(ISBLANK(FarmUnit[[#This Row],[1. Identifiant interne d’exploitation agricole*]]),"",IF(ISERROR(MATCH(FarmUnit[[#This Row],[1. Identifiant interne d’exploitation agricole*]],GroupMember[1. Identifiant interne d’exploitation agricole*],0)),FALSE,TRUE))</f>
        <v>1</v>
      </c>
      <c r="G542" s="4">
        <f t="shared" si="17"/>
        <v>6.9297000000000004</v>
      </c>
      <c r="H542" s="4">
        <f t="shared" si="18"/>
        <v>-8.1356000000000002</v>
      </c>
      <c r="I542" s="20" t="str">
        <f t="array" ref="I542">IF(ISBLANK(C542),"",IF(C542=MAX(IF(FarmUnit[1. Identifiant interne d’exploitation agricole*]=A542,FarmUnit[3. Superficie de l’unité agricole (ha)*])),"!","-"))</f>
        <v>!</v>
      </c>
      <c r="J542" s="9" t="str">
        <f ca="1">IFERROR(CONCATENATE(VLOOKUP(A542,GM_Table,12,FALSE)," ",(VLOOKUP(A542,GM_Table,13,FALSE))),"")</f>
        <v/>
      </c>
    </row>
    <row r="543" spans="1:10" ht="15" x14ac:dyDescent="0.2">
      <c r="A543" s="193" t="s">
        <v>2239</v>
      </c>
      <c r="B543" s="193" t="s">
        <v>2239</v>
      </c>
      <c r="C543" s="264">
        <v>4.76</v>
      </c>
      <c r="D543" s="265">
        <v>6.7656000000000001</v>
      </c>
      <c r="E543" s="265">
        <v>-8.0967000000000002</v>
      </c>
      <c r="F543" s="122" t="b">
        <f>IF(ISBLANK(FarmUnit[[#This Row],[1. Identifiant interne d’exploitation agricole*]]),"",IF(ISERROR(MATCH(FarmUnit[[#This Row],[1. Identifiant interne d’exploitation agricole*]],GroupMember[1. Identifiant interne d’exploitation agricole*],0)),FALSE,TRUE))</f>
        <v>1</v>
      </c>
      <c r="G543" s="4">
        <f t="shared" si="17"/>
        <v>6.7656000000000001</v>
      </c>
      <c r="H543" s="4">
        <f t="shared" si="18"/>
        <v>-8.0967000000000002</v>
      </c>
      <c r="I543" s="20" t="str">
        <f t="array" ref="I543">IF(ISBLANK(C543),"",IF(C543=MAX(IF(FarmUnit[1. Identifiant interne d’exploitation agricole*]=A543,FarmUnit[3. Superficie de l’unité agricole (ha)*])),"!","-"))</f>
        <v>!</v>
      </c>
      <c r="J543" s="9" t="str">
        <f ca="1">IFERROR(CONCATENATE(VLOOKUP(A543,GM_Table,12,FALSE)," ",(VLOOKUP(A543,GM_Table,13,FALSE))),"")</f>
        <v/>
      </c>
    </row>
    <row r="544" spans="1:10" ht="15" x14ac:dyDescent="0.2">
      <c r="A544" s="193" t="s">
        <v>2240</v>
      </c>
      <c r="B544" s="193" t="s">
        <v>2240</v>
      </c>
      <c r="C544" s="264">
        <v>3.04</v>
      </c>
      <c r="D544" s="266">
        <v>6.7271999999999998</v>
      </c>
      <c r="E544" s="266">
        <v>-8.2689000000000004</v>
      </c>
      <c r="F544" s="122" t="b">
        <f>IF(ISBLANK(FarmUnit[[#This Row],[1. Identifiant interne d’exploitation agricole*]]),"",IF(ISERROR(MATCH(FarmUnit[[#This Row],[1. Identifiant interne d’exploitation agricole*]],GroupMember[1. Identifiant interne d’exploitation agricole*],0)),FALSE,TRUE))</f>
        <v>1</v>
      </c>
      <c r="G544" s="4">
        <f t="shared" si="17"/>
        <v>6.7271999999999998</v>
      </c>
      <c r="H544" s="4">
        <f t="shared" si="18"/>
        <v>-8.2689000000000004</v>
      </c>
      <c r="I544" s="20" t="str">
        <f t="array" ref="I544">IF(ISBLANK(C544),"",IF(C544=MAX(IF(FarmUnit[1. Identifiant interne d’exploitation agricole*]=A544,FarmUnit[3. Superficie de l’unité agricole (ha)*])),"!","-"))</f>
        <v>!</v>
      </c>
      <c r="J544" s="9" t="str">
        <f ca="1">IFERROR(CONCATENATE(VLOOKUP(A544,GM_Table,12,FALSE)," ",(VLOOKUP(A544,GM_Table,13,FALSE))),"")</f>
        <v/>
      </c>
    </row>
    <row r="545" spans="1:10" ht="15" x14ac:dyDescent="0.2">
      <c r="A545" s="193" t="s">
        <v>2242</v>
      </c>
      <c r="B545" s="193" t="s">
        <v>2242</v>
      </c>
      <c r="C545" s="264">
        <v>4.46</v>
      </c>
      <c r="D545" s="265">
        <v>6.9114000000000004</v>
      </c>
      <c r="E545" s="265">
        <v>-8.1524999999999999</v>
      </c>
      <c r="F545" s="122" t="b">
        <f>IF(ISBLANK(FarmUnit[[#This Row],[1. Identifiant interne d’exploitation agricole*]]),"",IF(ISERROR(MATCH(FarmUnit[[#This Row],[1. Identifiant interne d’exploitation agricole*]],GroupMember[1. Identifiant interne d’exploitation agricole*],0)),FALSE,TRUE))</f>
        <v>1</v>
      </c>
      <c r="G545" s="4">
        <f t="shared" si="17"/>
        <v>6.9114000000000004</v>
      </c>
      <c r="H545" s="4">
        <f t="shared" si="18"/>
        <v>-8.1524999999999999</v>
      </c>
      <c r="I545" s="20" t="str">
        <f t="array" ref="I545">IF(ISBLANK(C545),"",IF(C545=MAX(IF(FarmUnit[1. Identifiant interne d’exploitation agricole*]=A545,FarmUnit[3. Superficie de l’unité agricole (ha)*])),"!","-"))</f>
        <v>!</v>
      </c>
      <c r="J545" s="9" t="str">
        <f ca="1">IFERROR(CONCATENATE(VLOOKUP(A545,GM_Table,12,FALSE)," ",(VLOOKUP(A545,GM_Table,13,FALSE))),"")</f>
        <v/>
      </c>
    </row>
    <row r="546" spans="1:10" ht="15" x14ac:dyDescent="0.2">
      <c r="A546" s="193" t="s">
        <v>2243</v>
      </c>
      <c r="B546" s="193" t="s">
        <v>2243</v>
      </c>
      <c r="C546" s="264">
        <v>1.18</v>
      </c>
      <c r="D546" s="265">
        <v>6.9116999999999997</v>
      </c>
      <c r="E546" s="265">
        <v>-8.1524999999999999</v>
      </c>
      <c r="F546" s="122" t="b">
        <f>IF(ISBLANK(FarmUnit[[#This Row],[1. Identifiant interne d’exploitation agricole*]]),"",IF(ISERROR(MATCH(FarmUnit[[#This Row],[1. Identifiant interne d’exploitation agricole*]],GroupMember[1. Identifiant interne d’exploitation agricole*],0)),FALSE,TRUE))</f>
        <v>1</v>
      </c>
      <c r="G546" s="4">
        <f t="shared" si="17"/>
        <v>6.9116999999999997</v>
      </c>
      <c r="H546" s="4">
        <f t="shared" si="18"/>
        <v>-8.1524999999999999</v>
      </c>
      <c r="I546" s="20" t="str">
        <f t="array" ref="I546">IF(ISBLANK(C546),"",IF(C546=MAX(IF(FarmUnit[1. Identifiant interne d’exploitation agricole*]=A546,FarmUnit[3. Superficie de l’unité agricole (ha)*])),"!","-"))</f>
        <v>!</v>
      </c>
      <c r="J546" s="9" t="str">
        <f ca="1">IFERROR(CONCATENATE(VLOOKUP(A546,GM_Table,12,FALSE)," ",(VLOOKUP(A546,GM_Table,13,FALSE))),"")</f>
        <v/>
      </c>
    </row>
    <row r="547" spans="1:10" ht="15" x14ac:dyDescent="0.2">
      <c r="A547" s="193" t="s">
        <v>2245</v>
      </c>
      <c r="B547" s="193" t="s">
        <v>2245</v>
      </c>
      <c r="C547" s="264">
        <v>2.35</v>
      </c>
      <c r="D547" s="265">
        <v>6.7066999999999997</v>
      </c>
      <c r="E547" s="265">
        <v>-8.0432000000000006</v>
      </c>
      <c r="F547" s="122" t="b">
        <f>IF(ISBLANK(FarmUnit[[#This Row],[1. Identifiant interne d’exploitation agricole*]]),"",IF(ISERROR(MATCH(FarmUnit[[#This Row],[1. Identifiant interne d’exploitation agricole*]],GroupMember[1. Identifiant interne d’exploitation agricole*],0)),FALSE,TRUE))</f>
        <v>1</v>
      </c>
      <c r="G547" s="4">
        <f t="shared" si="17"/>
        <v>6.7066999999999997</v>
      </c>
      <c r="H547" s="4">
        <f t="shared" si="18"/>
        <v>-8.0432000000000006</v>
      </c>
      <c r="I547" s="20" t="str">
        <f t="array" ref="I547">IF(ISBLANK(C547),"",IF(C547=MAX(IF(FarmUnit[1. Identifiant interne d’exploitation agricole*]=A547,FarmUnit[3. Superficie de l’unité agricole (ha)*])),"!","-"))</f>
        <v>!</v>
      </c>
      <c r="J547" s="9" t="str">
        <f ca="1">IFERROR(CONCATENATE(VLOOKUP(A547,GM_Table,12,FALSE)," ",(VLOOKUP(A547,GM_Table,13,FALSE))),"")</f>
        <v/>
      </c>
    </row>
    <row r="548" spans="1:10" ht="15" x14ac:dyDescent="0.2">
      <c r="A548" s="193" t="s">
        <v>2247</v>
      </c>
      <c r="B548" s="193" t="s">
        <v>2247</v>
      </c>
      <c r="C548" s="264">
        <v>3.52</v>
      </c>
      <c r="D548" s="265">
        <v>6.7046999999999999</v>
      </c>
      <c r="E548" s="265">
        <v>-8.0439000000000007</v>
      </c>
      <c r="F548" s="122" t="b">
        <f>IF(ISBLANK(FarmUnit[[#This Row],[1. Identifiant interne d’exploitation agricole*]]),"",IF(ISERROR(MATCH(FarmUnit[[#This Row],[1. Identifiant interne d’exploitation agricole*]],GroupMember[1. Identifiant interne d’exploitation agricole*],0)),FALSE,TRUE))</f>
        <v>1</v>
      </c>
      <c r="G548" s="4">
        <f t="shared" si="17"/>
        <v>6.7046999999999999</v>
      </c>
      <c r="H548" s="4">
        <f t="shared" si="18"/>
        <v>-8.0439000000000007</v>
      </c>
      <c r="I548" s="20" t="str">
        <f t="array" ref="I548">IF(ISBLANK(C548),"",IF(C548=MAX(IF(FarmUnit[1. Identifiant interne d’exploitation agricole*]=A548,FarmUnit[3. Superficie de l’unité agricole (ha)*])),"!","-"))</f>
        <v>!</v>
      </c>
      <c r="J548" s="9" t="str">
        <f ca="1">IFERROR(CONCATENATE(VLOOKUP(A548,GM_Table,12,FALSE)," ",(VLOOKUP(A548,GM_Table,13,FALSE))),"")</f>
        <v/>
      </c>
    </row>
    <row r="549" spans="1:10" ht="15" x14ac:dyDescent="0.2">
      <c r="A549" s="193" t="s">
        <v>2250</v>
      </c>
      <c r="B549" s="193" t="s">
        <v>2250</v>
      </c>
      <c r="C549" s="264">
        <v>3.22</v>
      </c>
      <c r="D549" s="265">
        <v>6.7055999999999996</v>
      </c>
      <c r="E549" s="265">
        <v>-8.0435999999999996</v>
      </c>
      <c r="F549" s="122" t="b">
        <f>IF(ISBLANK(FarmUnit[[#This Row],[1. Identifiant interne d’exploitation agricole*]]),"",IF(ISERROR(MATCH(FarmUnit[[#This Row],[1. Identifiant interne d’exploitation agricole*]],GroupMember[1. Identifiant interne d’exploitation agricole*],0)),FALSE,TRUE))</f>
        <v>1</v>
      </c>
      <c r="G549" s="4">
        <f t="shared" si="17"/>
        <v>6.7055999999999996</v>
      </c>
      <c r="H549" s="4">
        <f t="shared" si="18"/>
        <v>-8.0435999999999996</v>
      </c>
      <c r="I549" s="20" t="str">
        <f t="array" ref="I549">IF(ISBLANK(C549),"",IF(C549=MAX(IF(FarmUnit[1. Identifiant interne d’exploitation agricole*]=A549,FarmUnit[3. Superficie de l’unité agricole (ha)*])),"!","-"))</f>
        <v>!</v>
      </c>
      <c r="J549" s="9" t="str">
        <f ca="1">IFERROR(CONCATENATE(VLOOKUP(A549,GM_Table,12,FALSE)," ",(VLOOKUP(A549,GM_Table,13,FALSE))),"")</f>
        <v/>
      </c>
    </row>
    <row r="550" spans="1:10" ht="15" x14ac:dyDescent="0.2">
      <c r="A550" s="193" t="s">
        <v>2251</v>
      </c>
      <c r="B550" s="193" t="s">
        <v>2251</v>
      </c>
      <c r="C550" s="264">
        <v>0.57999999999999996</v>
      </c>
      <c r="D550" s="265">
        <v>6.6924000000000001</v>
      </c>
      <c r="E550" s="265">
        <v>-8.0281000000000002</v>
      </c>
      <c r="F550" s="122" t="b">
        <f>IF(ISBLANK(FarmUnit[[#This Row],[1. Identifiant interne d’exploitation agricole*]]),"",IF(ISERROR(MATCH(FarmUnit[[#This Row],[1. Identifiant interne d’exploitation agricole*]],GroupMember[1. Identifiant interne d’exploitation agricole*],0)),FALSE,TRUE))</f>
        <v>1</v>
      </c>
      <c r="G550" s="4">
        <f t="shared" si="17"/>
        <v>6.6924000000000001</v>
      </c>
      <c r="H550" s="4">
        <f t="shared" si="18"/>
        <v>-8.0281000000000002</v>
      </c>
      <c r="I550" s="20" t="str">
        <f t="array" ref="I550">IF(ISBLANK(C550),"",IF(C550=MAX(IF(FarmUnit[1. Identifiant interne d’exploitation agricole*]=A550,FarmUnit[3. Superficie de l’unité agricole (ha)*])),"!","-"))</f>
        <v>!</v>
      </c>
      <c r="J550" s="9" t="str">
        <f ca="1">IFERROR(CONCATENATE(VLOOKUP(A550,GM_Table,12,FALSE)," ",(VLOOKUP(A550,GM_Table,13,FALSE))),"")</f>
        <v/>
      </c>
    </row>
    <row r="551" spans="1:10" ht="15" x14ac:dyDescent="0.2">
      <c r="A551" s="193" t="s">
        <v>2253</v>
      </c>
      <c r="B551" s="193" t="s">
        <v>2253</v>
      </c>
      <c r="C551" s="264">
        <v>4.7300000000000004</v>
      </c>
      <c r="D551" s="265">
        <v>6.8266999999999998</v>
      </c>
      <c r="E551" s="265">
        <v>-8.2103000000000002</v>
      </c>
      <c r="F551" s="122" t="b">
        <f>IF(ISBLANK(FarmUnit[[#This Row],[1. Identifiant interne d’exploitation agricole*]]),"",IF(ISERROR(MATCH(FarmUnit[[#This Row],[1. Identifiant interne d’exploitation agricole*]],GroupMember[1. Identifiant interne d’exploitation agricole*],0)),FALSE,TRUE))</f>
        <v>1</v>
      </c>
      <c r="G551" s="4">
        <f t="shared" si="17"/>
        <v>6.8266999999999998</v>
      </c>
      <c r="H551" s="4">
        <f t="shared" si="18"/>
        <v>-8.2103000000000002</v>
      </c>
      <c r="I551" s="20" t="str">
        <f t="array" ref="I551">IF(ISBLANK(C551),"",IF(C551=MAX(IF(FarmUnit[1. Identifiant interne d’exploitation agricole*]=A551,FarmUnit[3. Superficie de l’unité agricole (ha)*])),"!","-"))</f>
        <v>!</v>
      </c>
      <c r="J551" s="9" t="str">
        <f ca="1">IFERROR(CONCATENATE(VLOOKUP(A551,GM_Table,12,FALSE)," ",(VLOOKUP(A551,GM_Table,13,FALSE))),"")</f>
        <v/>
      </c>
    </row>
    <row r="552" spans="1:10" ht="15" x14ac:dyDescent="0.2">
      <c r="A552" s="193" t="s">
        <v>2254</v>
      </c>
      <c r="B552" s="193" t="s">
        <v>2254</v>
      </c>
      <c r="C552" s="264">
        <v>1.45</v>
      </c>
      <c r="D552" s="265">
        <v>6.7638999999999996</v>
      </c>
      <c r="E552" s="265">
        <v>-8.0169999999999995</v>
      </c>
      <c r="F552" s="122" t="b">
        <f>IF(ISBLANK(FarmUnit[[#This Row],[1. Identifiant interne d’exploitation agricole*]]),"",IF(ISERROR(MATCH(FarmUnit[[#This Row],[1. Identifiant interne d’exploitation agricole*]],GroupMember[1. Identifiant interne d’exploitation agricole*],0)),FALSE,TRUE))</f>
        <v>1</v>
      </c>
      <c r="G552" s="4">
        <f t="shared" si="17"/>
        <v>6.7638999999999996</v>
      </c>
      <c r="H552" s="4">
        <f t="shared" si="18"/>
        <v>-8.0169999999999995</v>
      </c>
      <c r="I552" s="20" t="str">
        <f t="array" ref="I552">IF(ISBLANK(C552),"",IF(C552=MAX(IF(FarmUnit[1. Identifiant interne d’exploitation agricole*]=A552,FarmUnit[3. Superficie de l’unité agricole (ha)*])),"!","-"))</f>
        <v>!</v>
      </c>
      <c r="J552" s="9" t="str">
        <f ca="1">IFERROR(CONCATENATE(VLOOKUP(A552,GM_Table,12,FALSE)," ",(VLOOKUP(A552,GM_Table,13,FALSE))),"")</f>
        <v/>
      </c>
    </row>
    <row r="553" spans="1:10" ht="15" x14ac:dyDescent="0.2">
      <c r="A553" s="193" t="s">
        <v>2256</v>
      </c>
      <c r="B553" s="193" t="s">
        <v>2256</v>
      </c>
      <c r="C553" s="264">
        <v>1.81</v>
      </c>
      <c r="D553" s="266">
        <v>6.6920000000000002</v>
      </c>
      <c r="E553" s="266">
        <v>-8.0318000000000005</v>
      </c>
      <c r="F553" s="122" t="b">
        <f>IF(ISBLANK(FarmUnit[[#This Row],[1. Identifiant interne d’exploitation agricole*]]),"",IF(ISERROR(MATCH(FarmUnit[[#This Row],[1. Identifiant interne d’exploitation agricole*]],GroupMember[1. Identifiant interne d’exploitation agricole*],0)),FALSE,TRUE))</f>
        <v>1</v>
      </c>
      <c r="G553" s="4">
        <f t="shared" si="17"/>
        <v>6.6920000000000002</v>
      </c>
      <c r="H553" s="4">
        <f t="shared" si="18"/>
        <v>-8.0318000000000005</v>
      </c>
      <c r="I553" s="20" t="str">
        <f t="array" ref="I553">IF(ISBLANK(C553),"",IF(C553=MAX(IF(FarmUnit[1. Identifiant interne d’exploitation agricole*]=A553,FarmUnit[3. Superficie de l’unité agricole (ha)*])),"!","-"))</f>
        <v>!</v>
      </c>
      <c r="J553" s="9" t="str">
        <f ca="1">IFERROR(CONCATENATE(VLOOKUP(A553,GM_Table,12,FALSE)," ",(VLOOKUP(A553,GM_Table,13,FALSE))),"")</f>
        <v/>
      </c>
    </row>
    <row r="554" spans="1:10" ht="15" x14ac:dyDescent="0.2">
      <c r="A554" s="193" t="s">
        <v>2258</v>
      </c>
      <c r="B554" s="193" t="s">
        <v>2258</v>
      </c>
      <c r="C554" s="264">
        <v>1.3</v>
      </c>
      <c r="D554" s="265">
        <v>6.6741000000000001</v>
      </c>
      <c r="E554" s="265">
        <v>-8.0740999999999996</v>
      </c>
      <c r="F554" s="122" t="b">
        <f>IF(ISBLANK(FarmUnit[[#This Row],[1. Identifiant interne d’exploitation agricole*]]),"",IF(ISERROR(MATCH(FarmUnit[[#This Row],[1. Identifiant interne d’exploitation agricole*]],GroupMember[1. Identifiant interne d’exploitation agricole*],0)),FALSE,TRUE))</f>
        <v>1</v>
      </c>
      <c r="G554" s="4">
        <f t="shared" si="17"/>
        <v>6.6741000000000001</v>
      </c>
      <c r="H554" s="4">
        <f t="shared" si="18"/>
        <v>-8.0740999999999996</v>
      </c>
      <c r="I554" s="20" t="str">
        <f t="array" ref="I554">IF(ISBLANK(C554),"",IF(C554=MAX(IF(FarmUnit[1. Identifiant interne d’exploitation agricole*]=A554,FarmUnit[3. Superficie de l’unité agricole (ha)*])),"!","-"))</f>
        <v>!</v>
      </c>
      <c r="J554" s="9" t="str">
        <f ca="1">IFERROR(CONCATENATE(VLOOKUP(A554,GM_Table,12,FALSE)," ",(VLOOKUP(A554,GM_Table,13,FALSE))),"")</f>
        <v/>
      </c>
    </row>
    <row r="555" spans="1:10" ht="15" x14ac:dyDescent="0.2">
      <c r="A555" s="193" t="s">
        <v>2260</v>
      </c>
      <c r="B555" s="193" t="s">
        <v>2260</v>
      </c>
      <c r="C555" s="264">
        <v>3.86</v>
      </c>
      <c r="D555" s="265">
        <v>6.8169000000000004</v>
      </c>
      <c r="E555" s="265">
        <v>-8.0411000000000001</v>
      </c>
      <c r="F555" s="122" t="b">
        <f>IF(ISBLANK(FarmUnit[[#This Row],[1. Identifiant interne d’exploitation agricole*]]),"",IF(ISERROR(MATCH(FarmUnit[[#This Row],[1. Identifiant interne d’exploitation agricole*]],GroupMember[1. Identifiant interne d’exploitation agricole*],0)),FALSE,TRUE))</f>
        <v>1</v>
      </c>
      <c r="G555" s="4">
        <f t="shared" si="17"/>
        <v>6.8169000000000004</v>
      </c>
      <c r="H555" s="4">
        <f t="shared" si="18"/>
        <v>-8.0411000000000001</v>
      </c>
      <c r="I555" s="20" t="str">
        <f t="array" ref="I555">IF(ISBLANK(C555),"",IF(C555=MAX(IF(FarmUnit[1. Identifiant interne d’exploitation agricole*]=A555,FarmUnit[3. Superficie de l’unité agricole (ha)*])),"!","-"))</f>
        <v>!</v>
      </c>
      <c r="J555" s="9" t="str">
        <f ca="1">IFERROR(CONCATENATE(VLOOKUP(A555,GM_Table,12,FALSE)," ",(VLOOKUP(A555,GM_Table,13,FALSE))),"")</f>
        <v/>
      </c>
    </row>
    <row r="556" spans="1:10" ht="15" x14ac:dyDescent="0.2">
      <c r="A556" s="193" t="s">
        <v>2262</v>
      </c>
      <c r="B556" s="193" t="s">
        <v>2262</v>
      </c>
      <c r="C556" s="264">
        <v>2.54</v>
      </c>
      <c r="D556" s="265">
        <v>6.8947000000000003</v>
      </c>
      <c r="E556" s="265">
        <v>-8.1443999999999992</v>
      </c>
      <c r="F556" s="122" t="b">
        <f>IF(ISBLANK(FarmUnit[[#This Row],[1. Identifiant interne d’exploitation agricole*]]),"",IF(ISERROR(MATCH(FarmUnit[[#This Row],[1. Identifiant interne d’exploitation agricole*]],GroupMember[1. Identifiant interne d’exploitation agricole*],0)),FALSE,TRUE))</f>
        <v>1</v>
      </c>
      <c r="G556" s="4">
        <f t="shared" si="17"/>
        <v>6.8947000000000003</v>
      </c>
      <c r="H556" s="4">
        <f t="shared" si="18"/>
        <v>-8.1443999999999992</v>
      </c>
      <c r="I556" s="20" t="str">
        <f t="array" ref="I556">IF(ISBLANK(C556),"",IF(C556=MAX(IF(FarmUnit[1. Identifiant interne d’exploitation agricole*]=A556,FarmUnit[3. Superficie de l’unité agricole (ha)*])),"!","-"))</f>
        <v>!</v>
      </c>
      <c r="J556" s="9" t="str">
        <f ca="1">IFERROR(CONCATENATE(VLOOKUP(A556,GM_Table,12,FALSE)," ",(VLOOKUP(A556,GM_Table,13,FALSE))),"")</f>
        <v/>
      </c>
    </row>
    <row r="557" spans="1:10" ht="15" x14ac:dyDescent="0.2">
      <c r="A557" s="193" t="s">
        <v>2265</v>
      </c>
      <c r="B557" s="193" t="s">
        <v>2265</v>
      </c>
      <c r="C557" s="264">
        <v>2.25</v>
      </c>
      <c r="D557" s="265">
        <v>6.8705999999999996</v>
      </c>
      <c r="E557" s="265">
        <v>-8.1602999999999994</v>
      </c>
      <c r="F557" s="122" t="b">
        <f>IF(ISBLANK(FarmUnit[[#This Row],[1. Identifiant interne d’exploitation agricole*]]),"",IF(ISERROR(MATCH(FarmUnit[[#This Row],[1. Identifiant interne d’exploitation agricole*]],GroupMember[1. Identifiant interne d’exploitation agricole*],0)),FALSE,TRUE))</f>
        <v>1</v>
      </c>
      <c r="G557" s="4">
        <f t="shared" si="17"/>
        <v>6.8705999999999996</v>
      </c>
      <c r="H557" s="4">
        <f t="shared" si="18"/>
        <v>-8.1602999999999994</v>
      </c>
      <c r="I557" s="20" t="str">
        <f t="array" ref="I557">IF(ISBLANK(C557),"",IF(C557=MAX(IF(FarmUnit[1. Identifiant interne d’exploitation agricole*]=A557,FarmUnit[3. Superficie de l’unité agricole (ha)*])),"!","-"))</f>
        <v>!</v>
      </c>
      <c r="J557" s="9" t="str">
        <f ca="1">IFERROR(CONCATENATE(VLOOKUP(A557,GM_Table,12,FALSE)," ",(VLOOKUP(A557,GM_Table,13,FALSE))),"")</f>
        <v/>
      </c>
    </row>
    <row r="558" spans="1:10" ht="15" x14ac:dyDescent="0.2">
      <c r="A558" s="193" t="s">
        <v>2267</v>
      </c>
      <c r="B558" s="193" t="s">
        <v>2267</v>
      </c>
      <c r="C558" s="264">
        <v>2.52</v>
      </c>
      <c r="D558" s="266">
        <v>6.915</v>
      </c>
      <c r="E558" s="266">
        <v>-8.1722000000000001</v>
      </c>
      <c r="F558" s="122" t="b">
        <f>IF(ISBLANK(FarmUnit[[#This Row],[1. Identifiant interne d’exploitation agricole*]]),"",IF(ISERROR(MATCH(FarmUnit[[#This Row],[1. Identifiant interne d’exploitation agricole*]],GroupMember[1. Identifiant interne d’exploitation agricole*],0)),FALSE,TRUE))</f>
        <v>1</v>
      </c>
      <c r="G558" s="4">
        <f t="shared" si="17"/>
        <v>6.915</v>
      </c>
      <c r="H558" s="4">
        <f t="shared" si="18"/>
        <v>-8.1722000000000001</v>
      </c>
      <c r="I558" s="20" t="str">
        <f t="array" ref="I558">IF(ISBLANK(C558),"",IF(C558=MAX(IF(FarmUnit[1. Identifiant interne d’exploitation agricole*]=A558,FarmUnit[3. Superficie de l’unité agricole (ha)*])),"!","-"))</f>
        <v>!</v>
      </c>
      <c r="J558" s="9" t="str">
        <f ca="1">IFERROR(CONCATENATE(VLOOKUP(A558,GM_Table,12,FALSE)," ",(VLOOKUP(A558,GM_Table,13,FALSE))),"")</f>
        <v/>
      </c>
    </row>
    <row r="559" spans="1:10" ht="15" x14ac:dyDescent="0.2">
      <c r="A559" s="193" t="s">
        <v>2268</v>
      </c>
      <c r="B559" s="193" t="s">
        <v>2268</v>
      </c>
      <c r="C559" s="264">
        <v>2.58</v>
      </c>
      <c r="D559" s="265">
        <v>6.9367000000000001</v>
      </c>
      <c r="E559" s="265">
        <v>-8.1981000000000002</v>
      </c>
      <c r="F559" s="122" t="b">
        <f>IF(ISBLANK(FarmUnit[[#This Row],[1. Identifiant interne d’exploitation agricole*]]),"",IF(ISERROR(MATCH(FarmUnit[[#This Row],[1. Identifiant interne d’exploitation agricole*]],GroupMember[1. Identifiant interne d’exploitation agricole*],0)),FALSE,TRUE))</f>
        <v>1</v>
      </c>
      <c r="G559" s="4">
        <f t="shared" si="17"/>
        <v>6.9367000000000001</v>
      </c>
      <c r="H559" s="4">
        <f t="shared" si="18"/>
        <v>-8.1981000000000002</v>
      </c>
      <c r="I559" s="20" t="str">
        <f t="array" ref="I559">IF(ISBLANK(C559),"",IF(C559=MAX(IF(FarmUnit[1. Identifiant interne d’exploitation agricole*]=A559,FarmUnit[3. Superficie de l’unité agricole (ha)*])),"!","-"))</f>
        <v>!</v>
      </c>
      <c r="J559" s="9" t="str">
        <f ca="1">IFERROR(CONCATENATE(VLOOKUP(A559,GM_Table,12,FALSE)," ",(VLOOKUP(A559,GM_Table,13,FALSE))),"")</f>
        <v/>
      </c>
    </row>
    <row r="560" spans="1:10" ht="15" x14ac:dyDescent="0.2">
      <c r="A560" s="193" t="s">
        <v>2270</v>
      </c>
      <c r="B560" s="193" t="s">
        <v>2270</v>
      </c>
      <c r="C560" s="264">
        <v>1.77</v>
      </c>
      <c r="D560" s="265">
        <v>6.8880999999999997</v>
      </c>
      <c r="E560" s="265">
        <v>-8.1524999999999999</v>
      </c>
      <c r="F560" s="122" t="b">
        <f>IF(ISBLANK(FarmUnit[[#This Row],[1. Identifiant interne d’exploitation agricole*]]),"",IF(ISERROR(MATCH(FarmUnit[[#This Row],[1. Identifiant interne d’exploitation agricole*]],GroupMember[1. Identifiant interne d’exploitation agricole*],0)),FALSE,TRUE))</f>
        <v>1</v>
      </c>
      <c r="G560" s="4">
        <f t="shared" si="17"/>
        <v>6.8880999999999997</v>
      </c>
      <c r="H560" s="4">
        <f t="shared" si="18"/>
        <v>-8.1524999999999999</v>
      </c>
      <c r="I560" s="20" t="str">
        <f t="array" ref="I560">IF(ISBLANK(C560),"",IF(C560=MAX(IF(FarmUnit[1. Identifiant interne d’exploitation agricole*]=A560,FarmUnit[3. Superficie de l’unité agricole (ha)*])),"!","-"))</f>
        <v>!</v>
      </c>
      <c r="J560" s="9" t="str">
        <f ca="1">IFERROR(CONCATENATE(VLOOKUP(A560,GM_Table,12,FALSE)," ",(VLOOKUP(A560,GM_Table,13,FALSE))),"")</f>
        <v/>
      </c>
    </row>
    <row r="561" spans="1:10" ht="15" x14ac:dyDescent="0.2">
      <c r="A561" s="193" t="s">
        <v>2271</v>
      </c>
      <c r="B561" s="193" t="s">
        <v>2271</v>
      </c>
      <c r="C561" s="264">
        <v>1.79</v>
      </c>
      <c r="D561" s="265">
        <v>6.6863999999999999</v>
      </c>
      <c r="E561" s="265">
        <v>-8.0548000000000002</v>
      </c>
      <c r="F561" s="122" t="b">
        <f>IF(ISBLANK(FarmUnit[[#This Row],[1. Identifiant interne d’exploitation agricole*]]),"",IF(ISERROR(MATCH(FarmUnit[[#This Row],[1. Identifiant interne d’exploitation agricole*]],GroupMember[1. Identifiant interne d’exploitation agricole*],0)),FALSE,TRUE))</f>
        <v>1</v>
      </c>
      <c r="G561" s="4">
        <f t="shared" si="17"/>
        <v>6.6863999999999999</v>
      </c>
      <c r="H561" s="4">
        <f t="shared" si="18"/>
        <v>-8.0548000000000002</v>
      </c>
      <c r="I561" s="20" t="str">
        <f t="array" ref="I561">IF(ISBLANK(C561),"",IF(C561=MAX(IF(FarmUnit[1. Identifiant interne d’exploitation agricole*]=A561,FarmUnit[3. Superficie de l’unité agricole (ha)*])),"!","-"))</f>
        <v>!</v>
      </c>
      <c r="J561" s="9" t="str">
        <f ca="1">IFERROR(CONCATENATE(VLOOKUP(A561,GM_Table,12,FALSE)," ",(VLOOKUP(A561,GM_Table,13,FALSE))),"")</f>
        <v/>
      </c>
    </row>
    <row r="562" spans="1:10" ht="15" x14ac:dyDescent="0.2">
      <c r="A562" s="193" t="s">
        <v>2273</v>
      </c>
      <c r="B562" s="193" t="s">
        <v>2273</v>
      </c>
      <c r="C562" s="264">
        <v>2.21</v>
      </c>
      <c r="D562" s="265">
        <v>6.9031000000000002</v>
      </c>
      <c r="E562" s="265">
        <v>-8.1768000000000001</v>
      </c>
      <c r="F562" s="122" t="b">
        <f>IF(ISBLANK(FarmUnit[[#This Row],[1. Identifiant interne d’exploitation agricole*]]),"",IF(ISERROR(MATCH(FarmUnit[[#This Row],[1. Identifiant interne d’exploitation agricole*]],GroupMember[1. Identifiant interne d’exploitation agricole*],0)),FALSE,TRUE))</f>
        <v>1</v>
      </c>
      <c r="G562" s="4">
        <f t="shared" si="17"/>
        <v>6.9031000000000002</v>
      </c>
      <c r="H562" s="4">
        <f t="shared" si="18"/>
        <v>-8.1768000000000001</v>
      </c>
      <c r="I562" s="20" t="str">
        <f t="array" ref="I562">IF(ISBLANK(C562),"",IF(C562=MAX(IF(FarmUnit[1. Identifiant interne d’exploitation agricole*]=A562,FarmUnit[3. Superficie de l’unité agricole (ha)*])),"!","-"))</f>
        <v>!</v>
      </c>
      <c r="J562" s="9" t="str">
        <f ca="1">IFERROR(CONCATENATE(VLOOKUP(A562,GM_Table,12,FALSE)," ",(VLOOKUP(A562,GM_Table,13,FALSE))),"")</f>
        <v/>
      </c>
    </row>
    <row r="563" spans="1:10" ht="15" x14ac:dyDescent="0.2">
      <c r="A563" s="193" t="s">
        <v>2274</v>
      </c>
      <c r="B563" s="193" t="s">
        <v>2274</v>
      </c>
      <c r="C563" s="264">
        <v>1.75</v>
      </c>
      <c r="D563" s="265">
        <v>6.8864000000000001</v>
      </c>
      <c r="E563" s="265">
        <v>-8.1814</v>
      </c>
      <c r="F563" s="122" t="b">
        <f>IF(ISBLANK(FarmUnit[[#This Row],[1. Identifiant interne d’exploitation agricole*]]),"",IF(ISERROR(MATCH(FarmUnit[[#This Row],[1. Identifiant interne d’exploitation agricole*]],GroupMember[1. Identifiant interne d’exploitation agricole*],0)),FALSE,TRUE))</f>
        <v>1</v>
      </c>
      <c r="G563" s="4">
        <f t="shared" ref="G563:G626" si="19">IF(D563=0,"",D563)</f>
        <v>6.8864000000000001</v>
      </c>
      <c r="H563" s="4">
        <f t="shared" ref="H563:H626" si="20">IF(E563=0,"",E563)</f>
        <v>-8.1814</v>
      </c>
      <c r="I563" s="20" t="str">
        <f t="array" ref="I563">IF(ISBLANK(C563),"",IF(C563=MAX(IF(FarmUnit[1. Identifiant interne d’exploitation agricole*]=A563,FarmUnit[3. Superficie de l’unité agricole (ha)*])),"!","-"))</f>
        <v>!</v>
      </c>
      <c r="J563" s="9" t="str">
        <f ca="1">IFERROR(CONCATENATE(VLOOKUP(A563,GM_Table,12,FALSE)," ",(VLOOKUP(A563,GM_Table,13,FALSE))),"")</f>
        <v/>
      </c>
    </row>
    <row r="564" spans="1:10" ht="15" x14ac:dyDescent="0.2">
      <c r="A564" s="193" t="s">
        <v>2276</v>
      </c>
      <c r="B564" s="193" t="s">
        <v>2276</v>
      </c>
      <c r="C564" s="264">
        <v>2.82</v>
      </c>
      <c r="D564" s="265">
        <v>6.702</v>
      </c>
      <c r="E564" s="265">
        <v>-8.0703999999999994</v>
      </c>
      <c r="F564" s="122" t="b">
        <f>IF(ISBLANK(FarmUnit[[#This Row],[1. Identifiant interne d’exploitation agricole*]]),"",IF(ISERROR(MATCH(FarmUnit[[#This Row],[1. Identifiant interne d’exploitation agricole*]],GroupMember[1. Identifiant interne d’exploitation agricole*],0)),FALSE,TRUE))</f>
        <v>1</v>
      </c>
      <c r="G564" s="4">
        <f t="shared" si="19"/>
        <v>6.702</v>
      </c>
      <c r="H564" s="4">
        <f t="shared" si="20"/>
        <v>-8.0703999999999994</v>
      </c>
      <c r="I564" s="20" t="str">
        <f t="array" ref="I564">IF(ISBLANK(C564),"",IF(C564=MAX(IF(FarmUnit[1. Identifiant interne d’exploitation agricole*]=A564,FarmUnit[3. Superficie de l’unité agricole (ha)*])),"!","-"))</f>
        <v>!</v>
      </c>
      <c r="J564" s="9" t="str">
        <f ca="1">IFERROR(CONCATENATE(VLOOKUP(A564,GM_Table,12,FALSE)," ",(VLOOKUP(A564,GM_Table,13,FALSE))),"")</f>
        <v/>
      </c>
    </row>
    <row r="565" spans="1:10" ht="15" x14ac:dyDescent="0.2">
      <c r="A565" s="193" t="s">
        <v>2278</v>
      </c>
      <c r="B565" s="193" t="s">
        <v>2278</v>
      </c>
      <c r="C565" s="264">
        <v>2.9</v>
      </c>
      <c r="D565" s="265">
        <v>6.7492000000000001</v>
      </c>
      <c r="E565" s="265">
        <v>-8.0855999999999995</v>
      </c>
      <c r="F565" s="122" t="b">
        <f>IF(ISBLANK(FarmUnit[[#This Row],[1. Identifiant interne d’exploitation agricole*]]),"",IF(ISERROR(MATCH(FarmUnit[[#This Row],[1. Identifiant interne d’exploitation agricole*]],GroupMember[1. Identifiant interne d’exploitation agricole*],0)),FALSE,TRUE))</f>
        <v>1</v>
      </c>
      <c r="G565" s="4">
        <f t="shared" si="19"/>
        <v>6.7492000000000001</v>
      </c>
      <c r="H565" s="4">
        <f t="shared" si="20"/>
        <v>-8.0855999999999995</v>
      </c>
      <c r="I565" s="20" t="str">
        <f t="array" ref="I565">IF(ISBLANK(C565),"",IF(C565=MAX(IF(FarmUnit[1. Identifiant interne d’exploitation agricole*]=A565,FarmUnit[3. Superficie de l’unité agricole (ha)*])),"!","-"))</f>
        <v>!</v>
      </c>
      <c r="J565" s="9" t="str">
        <f ca="1">IFERROR(CONCATENATE(VLOOKUP(A565,GM_Table,12,FALSE)," ",(VLOOKUP(A565,GM_Table,13,FALSE))),"")</f>
        <v/>
      </c>
    </row>
    <row r="566" spans="1:10" ht="15" x14ac:dyDescent="0.2">
      <c r="A566" s="193" t="s">
        <v>2281</v>
      </c>
      <c r="B566" s="193" t="s">
        <v>2281</v>
      </c>
      <c r="C566" s="264">
        <v>2.12</v>
      </c>
      <c r="D566" s="266">
        <v>6.9419000000000004</v>
      </c>
      <c r="E566" s="266">
        <v>-8.0722000000000005</v>
      </c>
      <c r="F566" s="122" t="b">
        <f>IF(ISBLANK(FarmUnit[[#This Row],[1. Identifiant interne d’exploitation agricole*]]),"",IF(ISERROR(MATCH(FarmUnit[[#This Row],[1. Identifiant interne d’exploitation agricole*]],GroupMember[1. Identifiant interne d’exploitation agricole*],0)),FALSE,TRUE))</f>
        <v>1</v>
      </c>
      <c r="G566" s="4">
        <f t="shared" si="19"/>
        <v>6.9419000000000004</v>
      </c>
      <c r="H566" s="4">
        <f t="shared" si="20"/>
        <v>-8.0722000000000005</v>
      </c>
      <c r="I566" s="20" t="str">
        <f t="array" ref="I566">IF(ISBLANK(C566),"",IF(C566=MAX(IF(FarmUnit[1. Identifiant interne d’exploitation agricole*]=A566,FarmUnit[3. Superficie de l’unité agricole (ha)*])),"!","-"))</f>
        <v>!</v>
      </c>
      <c r="J566" s="9" t="str">
        <f ca="1">IFERROR(CONCATENATE(VLOOKUP(A566,GM_Table,12,FALSE)," ",(VLOOKUP(A566,GM_Table,13,FALSE))),"")</f>
        <v/>
      </c>
    </row>
    <row r="567" spans="1:10" ht="15" x14ac:dyDescent="0.2">
      <c r="A567" s="193" t="s">
        <v>2282</v>
      </c>
      <c r="B567" s="193" t="s">
        <v>2282</v>
      </c>
      <c r="C567" s="264">
        <v>3.21</v>
      </c>
      <c r="D567" s="265">
        <v>6.9196999999999997</v>
      </c>
      <c r="E567" s="265">
        <v>-8.0747</v>
      </c>
      <c r="F567" s="122" t="b">
        <f>IF(ISBLANK(FarmUnit[[#This Row],[1. Identifiant interne d’exploitation agricole*]]),"",IF(ISERROR(MATCH(FarmUnit[[#This Row],[1. Identifiant interne d’exploitation agricole*]],GroupMember[1. Identifiant interne d’exploitation agricole*],0)),FALSE,TRUE))</f>
        <v>1</v>
      </c>
      <c r="G567" s="4">
        <f t="shared" si="19"/>
        <v>6.9196999999999997</v>
      </c>
      <c r="H567" s="4">
        <f t="shared" si="20"/>
        <v>-8.0747</v>
      </c>
      <c r="I567" s="20" t="str">
        <f t="array" ref="I567">IF(ISBLANK(C567),"",IF(C567=MAX(IF(FarmUnit[1. Identifiant interne d’exploitation agricole*]=A567,FarmUnit[3. Superficie de l’unité agricole (ha)*])),"!","-"))</f>
        <v>!</v>
      </c>
      <c r="J567" s="9" t="str">
        <f ca="1">IFERROR(CONCATENATE(VLOOKUP(A567,GM_Table,12,FALSE)," ",(VLOOKUP(A567,GM_Table,13,FALSE))),"")</f>
        <v/>
      </c>
    </row>
    <row r="568" spans="1:10" ht="15" x14ac:dyDescent="0.2">
      <c r="A568" s="193" t="s">
        <v>2284</v>
      </c>
      <c r="B568" s="193" t="s">
        <v>2284</v>
      </c>
      <c r="C568" s="264">
        <v>2.78</v>
      </c>
      <c r="D568" s="265">
        <v>6.9413999999999998</v>
      </c>
      <c r="E568" s="265">
        <v>-8.1166999999999998</v>
      </c>
      <c r="F568" s="122" t="b">
        <f>IF(ISBLANK(FarmUnit[[#This Row],[1. Identifiant interne d’exploitation agricole*]]),"",IF(ISERROR(MATCH(FarmUnit[[#This Row],[1. Identifiant interne d’exploitation agricole*]],GroupMember[1. Identifiant interne d’exploitation agricole*],0)),FALSE,TRUE))</f>
        <v>1</v>
      </c>
      <c r="G568" s="4">
        <f t="shared" si="19"/>
        <v>6.9413999999999998</v>
      </c>
      <c r="H568" s="4">
        <f t="shared" si="20"/>
        <v>-8.1166999999999998</v>
      </c>
      <c r="I568" s="20" t="str">
        <f t="array" ref="I568">IF(ISBLANK(C568),"",IF(C568=MAX(IF(FarmUnit[1. Identifiant interne d’exploitation agricole*]=A568,FarmUnit[3. Superficie de l’unité agricole (ha)*])),"!","-"))</f>
        <v>!</v>
      </c>
      <c r="J568" s="9" t="str">
        <f ca="1">IFERROR(CONCATENATE(VLOOKUP(A568,GM_Table,12,FALSE)," ",(VLOOKUP(A568,GM_Table,13,FALSE))),"")</f>
        <v/>
      </c>
    </row>
    <row r="569" spans="1:10" ht="15" x14ac:dyDescent="0.2">
      <c r="A569" s="193" t="s">
        <v>2286</v>
      </c>
      <c r="B569" s="193" t="s">
        <v>2286</v>
      </c>
      <c r="C569" s="264">
        <v>7.1</v>
      </c>
      <c r="D569" s="265">
        <v>6.6878000000000002</v>
      </c>
      <c r="E569" s="265">
        <v>-8.0602</v>
      </c>
      <c r="F569" s="122" t="b">
        <f>IF(ISBLANK(FarmUnit[[#This Row],[1. Identifiant interne d’exploitation agricole*]]),"",IF(ISERROR(MATCH(FarmUnit[[#This Row],[1. Identifiant interne d’exploitation agricole*]],GroupMember[1. Identifiant interne d’exploitation agricole*],0)),FALSE,TRUE))</f>
        <v>1</v>
      </c>
      <c r="G569" s="4">
        <f t="shared" si="19"/>
        <v>6.6878000000000002</v>
      </c>
      <c r="H569" s="4">
        <f t="shared" si="20"/>
        <v>-8.0602</v>
      </c>
      <c r="I569" s="20" t="str">
        <f t="array" ref="I569">IF(ISBLANK(C569),"",IF(C569=MAX(IF(FarmUnit[1. Identifiant interne d’exploitation agricole*]=A569,FarmUnit[3. Superficie de l’unité agricole (ha)*])),"!","-"))</f>
        <v>!</v>
      </c>
      <c r="J569" s="9" t="str">
        <f ca="1">IFERROR(CONCATENATE(VLOOKUP(A569,GM_Table,12,FALSE)," ",(VLOOKUP(A569,GM_Table,13,FALSE))),"")</f>
        <v/>
      </c>
    </row>
    <row r="570" spans="1:10" ht="15" x14ac:dyDescent="0.2">
      <c r="A570" s="193" t="s">
        <v>2288</v>
      </c>
      <c r="B570" s="193" t="s">
        <v>2288</v>
      </c>
      <c r="C570" s="264">
        <v>2.11</v>
      </c>
      <c r="D570" s="265">
        <v>6.6881000000000004</v>
      </c>
      <c r="E570" s="265">
        <v>-8.0626999999999995</v>
      </c>
      <c r="F570" s="122" t="b">
        <f>IF(ISBLANK(FarmUnit[[#This Row],[1. Identifiant interne d’exploitation agricole*]]),"",IF(ISERROR(MATCH(FarmUnit[[#This Row],[1. Identifiant interne d’exploitation agricole*]],GroupMember[1. Identifiant interne d’exploitation agricole*],0)),FALSE,TRUE))</f>
        <v>1</v>
      </c>
      <c r="G570" s="4">
        <f t="shared" si="19"/>
        <v>6.6881000000000004</v>
      </c>
      <c r="H570" s="4">
        <f t="shared" si="20"/>
        <v>-8.0626999999999995</v>
      </c>
      <c r="I570" s="20" t="str">
        <f t="array" ref="I570">IF(ISBLANK(C570),"",IF(C570=MAX(IF(FarmUnit[1. Identifiant interne d’exploitation agricole*]=A570,FarmUnit[3. Superficie de l’unité agricole (ha)*])),"!","-"))</f>
        <v>!</v>
      </c>
      <c r="J570" s="9" t="str">
        <f ca="1">IFERROR(CONCATENATE(VLOOKUP(A570,GM_Table,12,FALSE)," ",(VLOOKUP(A570,GM_Table,13,FALSE))),"")</f>
        <v/>
      </c>
    </row>
    <row r="571" spans="1:10" ht="15" x14ac:dyDescent="0.2">
      <c r="A571" s="193" t="s">
        <v>2290</v>
      </c>
      <c r="B571" s="193" t="s">
        <v>2290</v>
      </c>
      <c r="C571" s="264">
        <v>2.6</v>
      </c>
      <c r="D571" s="265">
        <v>6.8322000000000003</v>
      </c>
      <c r="E571" s="265">
        <v>-8.2681000000000004</v>
      </c>
      <c r="F571" s="122" t="b">
        <f>IF(ISBLANK(FarmUnit[[#This Row],[1. Identifiant interne d’exploitation agricole*]]),"",IF(ISERROR(MATCH(FarmUnit[[#This Row],[1. Identifiant interne d’exploitation agricole*]],GroupMember[1. Identifiant interne d’exploitation agricole*],0)),FALSE,TRUE))</f>
        <v>1</v>
      </c>
      <c r="G571" s="4">
        <f t="shared" si="19"/>
        <v>6.8322000000000003</v>
      </c>
      <c r="H571" s="4">
        <f t="shared" si="20"/>
        <v>-8.2681000000000004</v>
      </c>
      <c r="I571" s="20" t="str">
        <f t="array" ref="I571">IF(ISBLANK(C571),"",IF(C571=MAX(IF(FarmUnit[1. Identifiant interne d’exploitation agricole*]=A571,FarmUnit[3. Superficie de l’unité agricole (ha)*])),"!","-"))</f>
        <v>!</v>
      </c>
      <c r="J571" s="9" t="str">
        <f ca="1">IFERROR(CONCATENATE(VLOOKUP(A571,GM_Table,12,FALSE)," ",(VLOOKUP(A571,GM_Table,13,FALSE))),"")</f>
        <v/>
      </c>
    </row>
    <row r="572" spans="1:10" ht="15" x14ac:dyDescent="0.2">
      <c r="A572" s="193" t="s">
        <v>2292</v>
      </c>
      <c r="B572" s="193" t="s">
        <v>2292</v>
      </c>
      <c r="C572" s="264">
        <v>1.39</v>
      </c>
      <c r="D572" s="265">
        <v>6.6978</v>
      </c>
      <c r="E572" s="265">
        <v>-8.2693999999999992</v>
      </c>
      <c r="F572" s="122" t="b">
        <f>IF(ISBLANK(FarmUnit[[#This Row],[1. Identifiant interne d’exploitation agricole*]]),"",IF(ISERROR(MATCH(FarmUnit[[#This Row],[1. Identifiant interne d’exploitation agricole*]],GroupMember[1. Identifiant interne d’exploitation agricole*],0)),FALSE,TRUE))</f>
        <v>1</v>
      </c>
      <c r="G572" s="4">
        <f t="shared" si="19"/>
        <v>6.6978</v>
      </c>
      <c r="H572" s="4">
        <f t="shared" si="20"/>
        <v>-8.2693999999999992</v>
      </c>
      <c r="I572" s="20" t="str">
        <f t="array" ref="I572">IF(ISBLANK(C572),"",IF(C572=MAX(IF(FarmUnit[1. Identifiant interne d’exploitation agricole*]=A572,FarmUnit[3. Superficie de l’unité agricole (ha)*])),"!","-"))</f>
        <v>!</v>
      </c>
      <c r="J572" s="9" t="str">
        <f ca="1">IFERROR(CONCATENATE(VLOOKUP(A572,GM_Table,12,FALSE)," ",(VLOOKUP(A572,GM_Table,13,FALSE))),"")</f>
        <v/>
      </c>
    </row>
    <row r="573" spans="1:10" ht="15" x14ac:dyDescent="0.2">
      <c r="A573" s="193" t="s">
        <v>2295</v>
      </c>
      <c r="B573" s="193" t="s">
        <v>2295</v>
      </c>
      <c r="C573" s="264">
        <v>1.62</v>
      </c>
      <c r="D573" s="265">
        <v>6.8632999999999997</v>
      </c>
      <c r="E573" s="265">
        <v>-8.2431000000000001</v>
      </c>
      <c r="F573" s="122" t="b">
        <f>IF(ISBLANK(FarmUnit[[#This Row],[1. Identifiant interne d’exploitation agricole*]]),"",IF(ISERROR(MATCH(FarmUnit[[#This Row],[1. Identifiant interne d’exploitation agricole*]],GroupMember[1. Identifiant interne d’exploitation agricole*],0)),FALSE,TRUE))</f>
        <v>1</v>
      </c>
      <c r="G573" s="4">
        <f t="shared" si="19"/>
        <v>6.8632999999999997</v>
      </c>
      <c r="H573" s="4">
        <f t="shared" si="20"/>
        <v>-8.2431000000000001</v>
      </c>
      <c r="I573" s="20" t="str">
        <f t="array" ref="I573">IF(ISBLANK(C573),"",IF(C573=MAX(IF(FarmUnit[1. Identifiant interne d’exploitation agricole*]=A573,FarmUnit[3. Superficie de l’unité agricole (ha)*])),"!","-"))</f>
        <v>!</v>
      </c>
      <c r="J573" s="9" t="str">
        <f ca="1">IFERROR(CONCATENATE(VLOOKUP(A573,GM_Table,12,FALSE)," ",(VLOOKUP(A573,GM_Table,13,FALSE))),"")</f>
        <v/>
      </c>
    </row>
    <row r="574" spans="1:10" ht="15" x14ac:dyDescent="0.2">
      <c r="A574" s="193" t="s">
        <v>2296</v>
      </c>
      <c r="B574" s="193" t="s">
        <v>2296</v>
      </c>
      <c r="C574" s="264">
        <v>2.14</v>
      </c>
      <c r="D574" s="265">
        <v>6.8994</v>
      </c>
      <c r="E574" s="265">
        <v>-8.1806000000000001</v>
      </c>
      <c r="F574" s="122" t="b">
        <f>IF(ISBLANK(FarmUnit[[#This Row],[1. Identifiant interne d’exploitation agricole*]]),"",IF(ISERROR(MATCH(FarmUnit[[#This Row],[1. Identifiant interne d’exploitation agricole*]],GroupMember[1. Identifiant interne d’exploitation agricole*],0)),FALSE,TRUE))</f>
        <v>1</v>
      </c>
      <c r="G574" s="4">
        <f t="shared" si="19"/>
        <v>6.8994</v>
      </c>
      <c r="H574" s="4">
        <f t="shared" si="20"/>
        <v>-8.1806000000000001</v>
      </c>
      <c r="I574" s="20" t="str">
        <f t="array" ref="I574">IF(ISBLANK(C574),"",IF(C574=MAX(IF(FarmUnit[1. Identifiant interne d’exploitation agricole*]=A574,FarmUnit[3. Superficie de l’unité agricole (ha)*])),"!","-"))</f>
        <v>!</v>
      </c>
      <c r="J574" s="9" t="str">
        <f ca="1">IFERROR(CONCATENATE(VLOOKUP(A574,GM_Table,12,FALSE)," ",(VLOOKUP(A574,GM_Table,13,FALSE))),"")</f>
        <v/>
      </c>
    </row>
    <row r="575" spans="1:10" ht="15" x14ac:dyDescent="0.2">
      <c r="A575" s="193" t="s">
        <v>2299</v>
      </c>
      <c r="B575" s="193" t="s">
        <v>2299</v>
      </c>
      <c r="C575" s="264">
        <v>3.84</v>
      </c>
      <c r="D575" s="265">
        <v>6.6874000000000002</v>
      </c>
      <c r="E575" s="265">
        <v>-8.0485000000000007</v>
      </c>
      <c r="F575" s="122" t="b">
        <f>IF(ISBLANK(FarmUnit[[#This Row],[1. Identifiant interne d’exploitation agricole*]]),"",IF(ISERROR(MATCH(FarmUnit[[#This Row],[1. Identifiant interne d’exploitation agricole*]],GroupMember[1. Identifiant interne d’exploitation agricole*],0)),FALSE,TRUE))</f>
        <v>1</v>
      </c>
      <c r="G575" s="4">
        <f t="shared" si="19"/>
        <v>6.6874000000000002</v>
      </c>
      <c r="H575" s="4">
        <f t="shared" si="20"/>
        <v>-8.0485000000000007</v>
      </c>
      <c r="I575" s="20" t="str">
        <f t="array" ref="I575">IF(ISBLANK(C575),"",IF(C575=MAX(IF(FarmUnit[1. Identifiant interne d’exploitation agricole*]=A575,FarmUnit[3. Superficie de l’unité agricole (ha)*])),"!","-"))</f>
        <v>!</v>
      </c>
      <c r="J575" s="9" t="str">
        <f ca="1">IFERROR(CONCATENATE(VLOOKUP(A575,GM_Table,12,FALSE)," ",(VLOOKUP(A575,GM_Table,13,FALSE))),"")</f>
        <v/>
      </c>
    </row>
    <row r="576" spans="1:10" ht="15" x14ac:dyDescent="0.2">
      <c r="A576" s="193" t="s">
        <v>2301</v>
      </c>
      <c r="B576" s="193" t="s">
        <v>2301</v>
      </c>
      <c r="C576" s="264">
        <v>4.03</v>
      </c>
      <c r="D576" s="265">
        <v>6.8738999999999999</v>
      </c>
      <c r="E576" s="265">
        <v>-8.2068999999999992</v>
      </c>
      <c r="F576" s="122" t="b">
        <f>IF(ISBLANK(FarmUnit[[#This Row],[1. Identifiant interne d’exploitation agricole*]]),"",IF(ISERROR(MATCH(FarmUnit[[#This Row],[1. Identifiant interne d’exploitation agricole*]],GroupMember[1. Identifiant interne d’exploitation agricole*],0)),FALSE,TRUE))</f>
        <v>1</v>
      </c>
      <c r="G576" s="4">
        <f t="shared" si="19"/>
        <v>6.8738999999999999</v>
      </c>
      <c r="H576" s="4">
        <f t="shared" si="20"/>
        <v>-8.2068999999999992</v>
      </c>
      <c r="I576" s="20" t="str">
        <f t="array" ref="I576">IF(ISBLANK(C576),"",IF(C576=MAX(IF(FarmUnit[1. Identifiant interne d’exploitation agricole*]=A576,FarmUnit[3. Superficie de l’unité agricole (ha)*])),"!","-"))</f>
        <v>!</v>
      </c>
      <c r="J576" s="9" t="str">
        <f ca="1">IFERROR(CONCATENATE(VLOOKUP(A576,GM_Table,12,FALSE)," ",(VLOOKUP(A576,GM_Table,13,FALSE))),"")</f>
        <v/>
      </c>
    </row>
    <row r="577" spans="1:10" ht="15" x14ac:dyDescent="0.2">
      <c r="A577" s="193" t="s">
        <v>2304</v>
      </c>
      <c r="B577" s="193" t="s">
        <v>2304</v>
      </c>
      <c r="C577" s="264">
        <v>1.79</v>
      </c>
      <c r="D577" s="265">
        <v>6.6898</v>
      </c>
      <c r="E577" s="265">
        <v>-8.0244</v>
      </c>
      <c r="F577" s="122" t="b">
        <f>IF(ISBLANK(FarmUnit[[#This Row],[1. Identifiant interne d’exploitation agricole*]]),"",IF(ISERROR(MATCH(FarmUnit[[#This Row],[1. Identifiant interne d’exploitation agricole*]],GroupMember[1. Identifiant interne d’exploitation agricole*],0)),FALSE,TRUE))</f>
        <v>1</v>
      </c>
      <c r="G577" s="4">
        <f t="shared" si="19"/>
        <v>6.6898</v>
      </c>
      <c r="H577" s="4">
        <f t="shared" si="20"/>
        <v>-8.0244</v>
      </c>
      <c r="I577" s="20" t="str">
        <f t="array" ref="I577">IF(ISBLANK(C577),"",IF(C577=MAX(IF(FarmUnit[1. Identifiant interne d’exploitation agricole*]=A577,FarmUnit[3. Superficie de l’unité agricole (ha)*])),"!","-"))</f>
        <v>!</v>
      </c>
      <c r="J577" s="9" t="str">
        <f ca="1">IFERROR(CONCATENATE(VLOOKUP(A577,GM_Table,12,FALSE)," ",(VLOOKUP(A577,GM_Table,13,FALSE))),"")</f>
        <v/>
      </c>
    </row>
    <row r="578" spans="1:10" ht="15" x14ac:dyDescent="0.2">
      <c r="A578" s="193" t="s">
        <v>2305</v>
      </c>
      <c r="B578" s="193" t="s">
        <v>2305</v>
      </c>
      <c r="C578" s="264">
        <v>3.14</v>
      </c>
      <c r="D578" s="265">
        <v>6.7013999999999996</v>
      </c>
      <c r="E578" s="265">
        <v>-8.2974999999999994</v>
      </c>
      <c r="F578" s="122" t="b">
        <f>IF(ISBLANK(FarmUnit[[#This Row],[1. Identifiant interne d’exploitation agricole*]]),"",IF(ISERROR(MATCH(FarmUnit[[#This Row],[1. Identifiant interne d’exploitation agricole*]],GroupMember[1. Identifiant interne d’exploitation agricole*],0)),FALSE,TRUE))</f>
        <v>1</v>
      </c>
      <c r="G578" s="4">
        <f t="shared" si="19"/>
        <v>6.7013999999999996</v>
      </c>
      <c r="H578" s="4">
        <f t="shared" si="20"/>
        <v>-8.2974999999999994</v>
      </c>
      <c r="I578" s="20" t="str">
        <f t="array" ref="I578">IF(ISBLANK(C578),"",IF(C578=MAX(IF(FarmUnit[1. Identifiant interne d’exploitation agricole*]=A578,FarmUnit[3. Superficie de l’unité agricole (ha)*])),"!","-"))</f>
        <v>!</v>
      </c>
      <c r="J578" s="9" t="str">
        <f ca="1">IFERROR(CONCATENATE(VLOOKUP(A578,GM_Table,12,FALSE)," ",(VLOOKUP(A578,GM_Table,13,FALSE))),"")</f>
        <v/>
      </c>
    </row>
    <row r="579" spans="1:10" ht="15" x14ac:dyDescent="0.2">
      <c r="A579" s="193" t="s">
        <v>2307</v>
      </c>
      <c r="B579" s="193" t="s">
        <v>2307</v>
      </c>
      <c r="C579" s="264">
        <v>4.04</v>
      </c>
      <c r="D579" s="265">
        <v>6.8322000000000003</v>
      </c>
      <c r="E579" s="265">
        <v>-8.2332999999999998</v>
      </c>
      <c r="F579" s="122" t="b">
        <f>IF(ISBLANK(FarmUnit[[#This Row],[1. Identifiant interne d’exploitation agricole*]]),"",IF(ISERROR(MATCH(FarmUnit[[#This Row],[1. Identifiant interne d’exploitation agricole*]],GroupMember[1. Identifiant interne d’exploitation agricole*],0)),FALSE,TRUE))</f>
        <v>1</v>
      </c>
      <c r="G579" s="4">
        <f t="shared" si="19"/>
        <v>6.8322000000000003</v>
      </c>
      <c r="H579" s="4">
        <f t="shared" si="20"/>
        <v>-8.2332999999999998</v>
      </c>
      <c r="I579" s="20" t="str">
        <f t="array" ref="I579">IF(ISBLANK(C579),"",IF(C579=MAX(IF(FarmUnit[1. Identifiant interne d’exploitation agricole*]=A579,FarmUnit[3. Superficie de l’unité agricole (ha)*])),"!","-"))</f>
        <v>!</v>
      </c>
      <c r="J579" s="9" t="str">
        <f ca="1">IFERROR(CONCATENATE(VLOOKUP(A579,GM_Table,12,FALSE)," ",(VLOOKUP(A579,GM_Table,13,FALSE))),"")</f>
        <v/>
      </c>
    </row>
    <row r="580" spans="1:10" ht="15" x14ac:dyDescent="0.2">
      <c r="A580" s="193" t="s">
        <v>2309</v>
      </c>
      <c r="B580" s="193" t="s">
        <v>2309</v>
      </c>
      <c r="C580" s="264">
        <v>2.74</v>
      </c>
      <c r="D580" s="265">
        <v>6.7881</v>
      </c>
      <c r="E580" s="265">
        <v>-8.1028000000000002</v>
      </c>
      <c r="F580" s="122" t="b">
        <f>IF(ISBLANK(FarmUnit[[#This Row],[1. Identifiant interne d’exploitation agricole*]]),"",IF(ISERROR(MATCH(FarmUnit[[#This Row],[1. Identifiant interne d’exploitation agricole*]],GroupMember[1. Identifiant interne d’exploitation agricole*],0)),FALSE,TRUE))</f>
        <v>1</v>
      </c>
      <c r="G580" s="4">
        <f t="shared" si="19"/>
        <v>6.7881</v>
      </c>
      <c r="H580" s="4">
        <f t="shared" si="20"/>
        <v>-8.1028000000000002</v>
      </c>
      <c r="I580" s="20" t="str">
        <f t="array" ref="I580">IF(ISBLANK(C580),"",IF(C580=MAX(IF(FarmUnit[1. Identifiant interne d’exploitation agricole*]=A580,FarmUnit[3. Superficie de l’unité agricole (ha)*])),"!","-"))</f>
        <v>!</v>
      </c>
      <c r="J580" s="9" t="str">
        <f ca="1">IFERROR(CONCATENATE(VLOOKUP(A580,GM_Table,12,FALSE)," ",(VLOOKUP(A580,GM_Table,13,FALSE))),"")</f>
        <v/>
      </c>
    </row>
    <row r="581" spans="1:10" ht="15" x14ac:dyDescent="0.2">
      <c r="A581" s="193" t="s">
        <v>2311</v>
      </c>
      <c r="B581" s="193" t="s">
        <v>2311</v>
      </c>
      <c r="C581" s="264">
        <v>0.95</v>
      </c>
      <c r="D581" s="265">
        <v>6.6807999999999996</v>
      </c>
      <c r="E581" s="265">
        <v>-8.0495999999999999</v>
      </c>
      <c r="F581" s="122" t="b">
        <f>IF(ISBLANK(FarmUnit[[#This Row],[1. Identifiant interne d’exploitation agricole*]]),"",IF(ISERROR(MATCH(FarmUnit[[#This Row],[1. Identifiant interne d’exploitation agricole*]],GroupMember[1. Identifiant interne d’exploitation agricole*],0)),FALSE,TRUE))</f>
        <v>1</v>
      </c>
      <c r="G581" s="4">
        <f t="shared" si="19"/>
        <v>6.6807999999999996</v>
      </c>
      <c r="H581" s="4">
        <f t="shared" si="20"/>
        <v>-8.0495999999999999</v>
      </c>
      <c r="I581" s="20" t="str">
        <f t="array" ref="I581">IF(ISBLANK(C581),"",IF(C581=MAX(IF(FarmUnit[1. Identifiant interne d’exploitation agricole*]=A581,FarmUnit[3. Superficie de l’unité agricole (ha)*])),"!","-"))</f>
        <v>!</v>
      </c>
      <c r="J581" s="9" t="str">
        <f ca="1">IFERROR(CONCATENATE(VLOOKUP(A581,GM_Table,12,FALSE)," ",(VLOOKUP(A581,GM_Table,13,FALSE))),"")</f>
        <v/>
      </c>
    </row>
    <row r="582" spans="1:10" ht="15" x14ac:dyDescent="0.2">
      <c r="A582" s="193" t="s">
        <v>2312</v>
      </c>
      <c r="B582" s="193" t="s">
        <v>2312</v>
      </c>
      <c r="C582" s="264">
        <v>0.59</v>
      </c>
      <c r="D582" s="265">
        <v>6.8086000000000002</v>
      </c>
      <c r="E582" s="265">
        <v>-8.0841999999999992</v>
      </c>
      <c r="F582" s="122" t="b">
        <f>IF(ISBLANK(FarmUnit[[#This Row],[1. Identifiant interne d’exploitation agricole*]]),"",IF(ISERROR(MATCH(FarmUnit[[#This Row],[1. Identifiant interne d’exploitation agricole*]],GroupMember[1. Identifiant interne d’exploitation agricole*],0)),FALSE,TRUE))</f>
        <v>1</v>
      </c>
      <c r="G582" s="4">
        <f t="shared" si="19"/>
        <v>6.8086000000000002</v>
      </c>
      <c r="H582" s="4">
        <f t="shared" si="20"/>
        <v>-8.0841999999999992</v>
      </c>
      <c r="I582" s="20" t="str">
        <f t="array" ref="I582">IF(ISBLANK(C582),"",IF(C582=MAX(IF(FarmUnit[1. Identifiant interne d’exploitation agricole*]=A582,FarmUnit[3. Superficie de l’unité agricole (ha)*])),"!","-"))</f>
        <v>!</v>
      </c>
      <c r="J582" s="9" t="str">
        <f ca="1">IFERROR(CONCATENATE(VLOOKUP(A582,GM_Table,12,FALSE)," ",(VLOOKUP(A582,GM_Table,13,FALSE))),"")</f>
        <v/>
      </c>
    </row>
    <row r="583" spans="1:10" ht="15" x14ac:dyDescent="0.2">
      <c r="A583" s="193" t="s">
        <v>2315</v>
      </c>
      <c r="B583" s="193" t="s">
        <v>2315</v>
      </c>
      <c r="C583" s="264">
        <v>1.1299999999999999</v>
      </c>
      <c r="D583" s="265">
        <v>6.7461000000000002</v>
      </c>
      <c r="E583" s="265">
        <v>-8.0647000000000002</v>
      </c>
      <c r="F583" s="122" t="b">
        <f>IF(ISBLANK(FarmUnit[[#This Row],[1. Identifiant interne d’exploitation agricole*]]),"",IF(ISERROR(MATCH(FarmUnit[[#This Row],[1. Identifiant interne d’exploitation agricole*]],GroupMember[1. Identifiant interne d’exploitation agricole*],0)),FALSE,TRUE))</f>
        <v>1</v>
      </c>
      <c r="G583" s="4">
        <f t="shared" si="19"/>
        <v>6.7461000000000002</v>
      </c>
      <c r="H583" s="4">
        <f t="shared" si="20"/>
        <v>-8.0647000000000002</v>
      </c>
      <c r="I583" s="20" t="str">
        <f t="array" ref="I583">IF(ISBLANK(C583),"",IF(C583=MAX(IF(FarmUnit[1. Identifiant interne d’exploitation agricole*]=A583,FarmUnit[3. Superficie de l’unité agricole (ha)*])),"!","-"))</f>
        <v>!</v>
      </c>
      <c r="J583" s="9" t="str">
        <f ca="1">IFERROR(CONCATENATE(VLOOKUP(A583,GM_Table,12,FALSE)," ",(VLOOKUP(A583,GM_Table,13,FALSE))),"")</f>
        <v/>
      </c>
    </row>
    <row r="584" spans="1:10" ht="15" x14ac:dyDescent="0.2">
      <c r="A584" s="193" t="s">
        <v>2316</v>
      </c>
      <c r="B584" s="193" t="s">
        <v>2316</v>
      </c>
      <c r="C584" s="264">
        <v>0.85</v>
      </c>
      <c r="D584" s="265">
        <v>6.7313999999999998</v>
      </c>
      <c r="E584" s="265">
        <v>-8.0617000000000001</v>
      </c>
      <c r="F584" s="122" t="b">
        <f>IF(ISBLANK(FarmUnit[[#This Row],[1. Identifiant interne d’exploitation agricole*]]),"",IF(ISERROR(MATCH(FarmUnit[[#This Row],[1. Identifiant interne d’exploitation agricole*]],GroupMember[1. Identifiant interne d’exploitation agricole*],0)),FALSE,TRUE))</f>
        <v>1</v>
      </c>
      <c r="G584" s="4">
        <f t="shared" si="19"/>
        <v>6.7313999999999998</v>
      </c>
      <c r="H584" s="4">
        <f t="shared" si="20"/>
        <v>-8.0617000000000001</v>
      </c>
      <c r="I584" s="20" t="str">
        <f t="array" ref="I584">IF(ISBLANK(C584),"",IF(C584=MAX(IF(FarmUnit[1. Identifiant interne d’exploitation agricole*]=A584,FarmUnit[3. Superficie de l’unité agricole (ha)*])),"!","-"))</f>
        <v>!</v>
      </c>
      <c r="J584" s="9" t="str">
        <f ca="1">IFERROR(CONCATENATE(VLOOKUP(A584,GM_Table,12,FALSE)," ",(VLOOKUP(A584,GM_Table,13,FALSE))),"")</f>
        <v/>
      </c>
    </row>
    <row r="585" spans="1:10" ht="15" x14ac:dyDescent="0.2">
      <c r="A585" s="193" t="s">
        <v>2318</v>
      </c>
      <c r="B585" s="193" t="s">
        <v>2318</v>
      </c>
      <c r="C585" s="264">
        <v>2.86</v>
      </c>
      <c r="D585" s="265">
        <v>6.7194000000000003</v>
      </c>
      <c r="E585" s="265">
        <v>-8.0614000000000008</v>
      </c>
      <c r="F585" s="122" t="b">
        <f>IF(ISBLANK(FarmUnit[[#This Row],[1. Identifiant interne d’exploitation agricole*]]),"",IF(ISERROR(MATCH(FarmUnit[[#This Row],[1. Identifiant interne d’exploitation agricole*]],GroupMember[1. Identifiant interne d’exploitation agricole*],0)),FALSE,TRUE))</f>
        <v>1</v>
      </c>
      <c r="G585" s="4">
        <f t="shared" si="19"/>
        <v>6.7194000000000003</v>
      </c>
      <c r="H585" s="4">
        <f t="shared" si="20"/>
        <v>-8.0614000000000008</v>
      </c>
      <c r="I585" s="20" t="str">
        <f t="array" ref="I585">IF(ISBLANK(C585),"",IF(C585=MAX(IF(FarmUnit[1. Identifiant interne d’exploitation agricole*]=A585,FarmUnit[3. Superficie de l’unité agricole (ha)*])),"!","-"))</f>
        <v>!</v>
      </c>
      <c r="J585" s="9" t="str">
        <f ca="1">IFERROR(CONCATENATE(VLOOKUP(A585,GM_Table,12,FALSE)," ",(VLOOKUP(A585,GM_Table,13,FALSE))),"")</f>
        <v/>
      </c>
    </row>
    <row r="586" spans="1:10" ht="15" x14ac:dyDescent="0.2">
      <c r="A586" s="193" t="s">
        <v>2320</v>
      </c>
      <c r="B586" s="193" t="s">
        <v>2320</v>
      </c>
      <c r="C586" s="264">
        <v>2.6</v>
      </c>
      <c r="D586" s="266">
        <v>6.8681000000000001</v>
      </c>
      <c r="E586" s="266">
        <v>-8.2969000000000008</v>
      </c>
      <c r="F586" s="122" t="b">
        <f>IF(ISBLANK(FarmUnit[[#This Row],[1. Identifiant interne d’exploitation agricole*]]),"",IF(ISERROR(MATCH(FarmUnit[[#This Row],[1. Identifiant interne d’exploitation agricole*]],GroupMember[1. Identifiant interne d’exploitation agricole*],0)),FALSE,TRUE))</f>
        <v>1</v>
      </c>
      <c r="G586" s="4">
        <f t="shared" si="19"/>
        <v>6.8681000000000001</v>
      </c>
      <c r="H586" s="4">
        <f t="shared" si="20"/>
        <v>-8.2969000000000008</v>
      </c>
      <c r="I586" s="20" t="str">
        <f t="array" ref="I586">IF(ISBLANK(C586),"",IF(C586=MAX(IF(FarmUnit[1. Identifiant interne d’exploitation agricole*]=A586,FarmUnit[3. Superficie de l’unité agricole (ha)*])),"!","-"))</f>
        <v>!</v>
      </c>
      <c r="J586" s="9" t="str">
        <f ca="1">IFERROR(CONCATENATE(VLOOKUP(A586,GM_Table,12,FALSE)," ",(VLOOKUP(A586,GM_Table,13,FALSE))),"")</f>
        <v/>
      </c>
    </row>
    <row r="587" spans="1:10" ht="15" x14ac:dyDescent="0.2">
      <c r="A587" s="193" t="s">
        <v>2322</v>
      </c>
      <c r="B587" s="193" t="s">
        <v>2322</v>
      </c>
      <c r="C587" s="264">
        <v>1.33</v>
      </c>
      <c r="D587" s="265">
        <v>6.8573000000000004</v>
      </c>
      <c r="E587" s="265">
        <v>-8.1102000000000007</v>
      </c>
      <c r="F587" s="122" t="b">
        <f>IF(ISBLANK(FarmUnit[[#This Row],[1. Identifiant interne d’exploitation agricole*]]),"",IF(ISERROR(MATCH(FarmUnit[[#This Row],[1. Identifiant interne d’exploitation agricole*]],GroupMember[1. Identifiant interne d’exploitation agricole*],0)),FALSE,TRUE))</f>
        <v>1</v>
      </c>
      <c r="G587" s="4">
        <f t="shared" si="19"/>
        <v>6.8573000000000004</v>
      </c>
      <c r="H587" s="4">
        <f t="shared" si="20"/>
        <v>-8.1102000000000007</v>
      </c>
      <c r="I587" s="20" t="str">
        <f t="array" ref="I587">IF(ISBLANK(C587),"",IF(C587=MAX(IF(FarmUnit[1. Identifiant interne d’exploitation agricole*]=A587,FarmUnit[3. Superficie de l’unité agricole (ha)*])),"!","-"))</f>
        <v>!</v>
      </c>
      <c r="J587" s="9" t="str">
        <f ca="1">IFERROR(CONCATENATE(VLOOKUP(A587,GM_Table,12,FALSE)," ",(VLOOKUP(A587,GM_Table,13,FALSE))),"")</f>
        <v/>
      </c>
    </row>
    <row r="588" spans="1:10" ht="15" x14ac:dyDescent="0.2">
      <c r="A588" s="193" t="s">
        <v>2323</v>
      </c>
      <c r="B588" s="193" t="s">
        <v>2323</v>
      </c>
      <c r="C588" s="264">
        <v>3.37</v>
      </c>
      <c r="D588" s="265">
        <v>6.9356</v>
      </c>
      <c r="E588" s="265">
        <v>-8.1067</v>
      </c>
      <c r="F588" s="122" t="b">
        <f>IF(ISBLANK(FarmUnit[[#This Row],[1. Identifiant interne d’exploitation agricole*]]),"",IF(ISERROR(MATCH(FarmUnit[[#This Row],[1. Identifiant interne d’exploitation agricole*]],GroupMember[1. Identifiant interne d’exploitation agricole*],0)),FALSE,TRUE))</f>
        <v>1</v>
      </c>
      <c r="G588" s="4">
        <f t="shared" si="19"/>
        <v>6.9356</v>
      </c>
      <c r="H588" s="4">
        <f t="shared" si="20"/>
        <v>-8.1067</v>
      </c>
      <c r="I588" s="20" t="str">
        <f t="array" ref="I588">IF(ISBLANK(C588),"",IF(C588=MAX(IF(FarmUnit[1. Identifiant interne d’exploitation agricole*]=A588,FarmUnit[3. Superficie de l’unité agricole (ha)*])),"!","-"))</f>
        <v>!</v>
      </c>
      <c r="J588" s="9" t="str">
        <f ca="1">IFERROR(CONCATENATE(VLOOKUP(A588,GM_Table,12,FALSE)," ",(VLOOKUP(A588,GM_Table,13,FALSE))),"")</f>
        <v/>
      </c>
    </row>
    <row r="589" spans="1:10" ht="15" x14ac:dyDescent="0.2">
      <c r="A589" s="193" t="s">
        <v>2324</v>
      </c>
      <c r="B589" s="193" t="s">
        <v>2324</v>
      </c>
      <c r="C589" s="264">
        <v>2.2799999999999998</v>
      </c>
      <c r="D589" s="265">
        <v>6.9420000000000002</v>
      </c>
      <c r="E589" s="265">
        <v>-8.0753000000000004</v>
      </c>
      <c r="F589" s="122" t="b">
        <f>IF(ISBLANK(FarmUnit[[#This Row],[1. Identifiant interne d’exploitation agricole*]]),"",IF(ISERROR(MATCH(FarmUnit[[#This Row],[1. Identifiant interne d’exploitation agricole*]],GroupMember[1. Identifiant interne d’exploitation agricole*],0)),FALSE,TRUE))</f>
        <v>1</v>
      </c>
      <c r="G589" s="4">
        <f t="shared" si="19"/>
        <v>6.9420000000000002</v>
      </c>
      <c r="H589" s="4">
        <f t="shared" si="20"/>
        <v>-8.0753000000000004</v>
      </c>
      <c r="I589" s="20" t="str">
        <f t="array" ref="I589">IF(ISBLANK(C589),"",IF(C589=MAX(IF(FarmUnit[1. Identifiant interne d’exploitation agricole*]=A589,FarmUnit[3. Superficie de l’unité agricole (ha)*])),"!","-"))</f>
        <v>!</v>
      </c>
      <c r="J589" s="9" t="str">
        <f ca="1">IFERROR(CONCATENATE(VLOOKUP(A589,GM_Table,12,FALSE)," ",(VLOOKUP(A589,GM_Table,13,FALSE))),"")</f>
        <v/>
      </c>
    </row>
    <row r="590" spans="1:10" ht="15" x14ac:dyDescent="0.2">
      <c r="A590" s="193" t="s">
        <v>2326</v>
      </c>
      <c r="B590" s="193" t="s">
        <v>2326</v>
      </c>
      <c r="C590" s="264">
        <v>8.1199999999999992</v>
      </c>
      <c r="D590" s="265">
        <v>6.7583000000000002</v>
      </c>
      <c r="E590" s="265">
        <v>-8.0797000000000008</v>
      </c>
      <c r="F590" s="122" t="b">
        <f>IF(ISBLANK(FarmUnit[[#This Row],[1. Identifiant interne d’exploitation agricole*]]),"",IF(ISERROR(MATCH(FarmUnit[[#This Row],[1. Identifiant interne d’exploitation agricole*]],GroupMember[1. Identifiant interne d’exploitation agricole*],0)),FALSE,TRUE))</f>
        <v>1</v>
      </c>
      <c r="G590" s="4">
        <f t="shared" si="19"/>
        <v>6.7583000000000002</v>
      </c>
      <c r="H590" s="4">
        <f t="shared" si="20"/>
        <v>-8.0797000000000008</v>
      </c>
      <c r="I590" s="20" t="str">
        <f t="array" ref="I590">IF(ISBLANK(C590),"",IF(C590=MAX(IF(FarmUnit[1. Identifiant interne d’exploitation agricole*]=A590,FarmUnit[3. Superficie de l’unité agricole (ha)*])),"!","-"))</f>
        <v>!</v>
      </c>
      <c r="J590" s="9" t="str">
        <f ca="1">IFERROR(CONCATENATE(VLOOKUP(A590,GM_Table,12,FALSE)," ",(VLOOKUP(A590,GM_Table,13,FALSE))),"")</f>
        <v/>
      </c>
    </row>
    <row r="591" spans="1:10" ht="15" x14ac:dyDescent="0.2">
      <c r="A591" s="193" t="s">
        <v>2327</v>
      </c>
      <c r="B591" s="193" t="s">
        <v>2327</v>
      </c>
      <c r="C591" s="264">
        <v>4.63</v>
      </c>
      <c r="D591" s="265">
        <v>6.6864999999999997</v>
      </c>
      <c r="E591" s="265">
        <v>-8.0558999999999994</v>
      </c>
      <c r="F591" s="122" t="b">
        <f>IF(ISBLANK(FarmUnit[[#This Row],[1. Identifiant interne d’exploitation agricole*]]),"",IF(ISERROR(MATCH(FarmUnit[[#This Row],[1. Identifiant interne d’exploitation agricole*]],GroupMember[1. Identifiant interne d’exploitation agricole*],0)),FALSE,TRUE))</f>
        <v>1</v>
      </c>
      <c r="G591" s="4">
        <f t="shared" si="19"/>
        <v>6.6864999999999997</v>
      </c>
      <c r="H591" s="4">
        <f t="shared" si="20"/>
        <v>-8.0558999999999994</v>
      </c>
      <c r="I591" s="20" t="str">
        <f t="array" ref="I591">IF(ISBLANK(C591),"",IF(C591=MAX(IF(FarmUnit[1. Identifiant interne d’exploitation agricole*]=A591,FarmUnit[3. Superficie de l’unité agricole (ha)*])),"!","-"))</f>
        <v>!</v>
      </c>
      <c r="J591" s="9" t="str">
        <f ca="1">IFERROR(CONCATENATE(VLOOKUP(A591,GM_Table,12,FALSE)," ",(VLOOKUP(A591,GM_Table,13,FALSE))),"")</f>
        <v/>
      </c>
    </row>
    <row r="592" spans="1:10" ht="15" x14ac:dyDescent="0.2">
      <c r="A592" s="193" t="s">
        <v>2329</v>
      </c>
      <c r="B592" s="193" t="s">
        <v>2329</v>
      </c>
      <c r="C592" s="264">
        <v>2.2799999999999998</v>
      </c>
      <c r="D592" s="265">
        <v>6.9336000000000002</v>
      </c>
      <c r="E592" s="265">
        <v>-8.1936</v>
      </c>
      <c r="F592" s="122" t="b">
        <f>IF(ISBLANK(FarmUnit[[#This Row],[1. Identifiant interne d’exploitation agricole*]]),"",IF(ISERROR(MATCH(FarmUnit[[#This Row],[1. Identifiant interne d’exploitation agricole*]],GroupMember[1. Identifiant interne d’exploitation agricole*],0)),FALSE,TRUE))</f>
        <v>1</v>
      </c>
      <c r="G592" s="4">
        <f t="shared" si="19"/>
        <v>6.9336000000000002</v>
      </c>
      <c r="H592" s="4">
        <f t="shared" si="20"/>
        <v>-8.1936</v>
      </c>
      <c r="I592" s="20" t="str">
        <f t="array" ref="I592">IF(ISBLANK(C592),"",IF(C592=MAX(IF(FarmUnit[1. Identifiant interne d’exploitation agricole*]=A592,FarmUnit[3. Superficie de l’unité agricole (ha)*])),"!","-"))</f>
        <v>!</v>
      </c>
      <c r="J592" s="9" t="str">
        <f ca="1">IFERROR(CONCATENATE(VLOOKUP(A592,GM_Table,12,FALSE)," ",(VLOOKUP(A592,GM_Table,13,FALSE))),"")</f>
        <v/>
      </c>
    </row>
    <row r="593" spans="1:10" ht="15" x14ac:dyDescent="0.2">
      <c r="A593" s="193" t="s">
        <v>2331</v>
      </c>
      <c r="B593" s="193" t="s">
        <v>2331</v>
      </c>
      <c r="C593" s="264">
        <v>3.46</v>
      </c>
      <c r="D593" s="265">
        <v>6.6970999999999998</v>
      </c>
      <c r="E593" s="265">
        <v>-8.0241000000000007</v>
      </c>
      <c r="F593" s="122" t="b">
        <f>IF(ISBLANK(FarmUnit[[#This Row],[1. Identifiant interne d’exploitation agricole*]]),"",IF(ISERROR(MATCH(FarmUnit[[#This Row],[1. Identifiant interne d’exploitation agricole*]],GroupMember[1. Identifiant interne d’exploitation agricole*],0)),FALSE,TRUE))</f>
        <v>1</v>
      </c>
      <c r="G593" s="4">
        <f t="shared" si="19"/>
        <v>6.6970999999999998</v>
      </c>
      <c r="H593" s="4">
        <f t="shared" si="20"/>
        <v>-8.0241000000000007</v>
      </c>
      <c r="I593" s="20" t="str">
        <f t="array" ref="I593">IF(ISBLANK(C593),"",IF(C593=MAX(IF(FarmUnit[1. Identifiant interne d’exploitation agricole*]=A593,FarmUnit[3. Superficie de l’unité agricole (ha)*])),"!","-"))</f>
        <v>!</v>
      </c>
      <c r="J593" s="9" t="str">
        <f ca="1">IFERROR(CONCATENATE(VLOOKUP(A593,GM_Table,12,FALSE)," ",(VLOOKUP(A593,GM_Table,13,FALSE))),"")</f>
        <v/>
      </c>
    </row>
    <row r="594" spans="1:10" ht="15" x14ac:dyDescent="0.2">
      <c r="A594" s="193" t="s">
        <v>2333</v>
      </c>
      <c r="B594" s="193" t="s">
        <v>2333</v>
      </c>
      <c r="C594" s="264">
        <v>2.4300000000000002</v>
      </c>
      <c r="D594" s="265">
        <v>6.7641</v>
      </c>
      <c r="E594" s="265">
        <v>-8.0122</v>
      </c>
      <c r="F594" s="122" t="b">
        <f>IF(ISBLANK(FarmUnit[[#This Row],[1. Identifiant interne d’exploitation agricole*]]),"",IF(ISERROR(MATCH(FarmUnit[[#This Row],[1. Identifiant interne d’exploitation agricole*]],GroupMember[1. Identifiant interne d’exploitation agricole*],0)),FALSE,TRUE))</f>
        <v>1</v>
      </c>
      <c r="G594" s="4">
        <f t="shared" si="19"/>
        <v>6.7641</v>
      </c>
      <c r="H594" s="4">
        <f t="shared" si="20"/>
        <v>-8.0122</v>
      </c>
      <c r="I594" s="20" t="str">
        <f t="array" ref="I594">IF(ISBLANK(C594),"",IF(C594=MAX(IF(FarmUnit[1. Identifiant interne d’exploitation agricole*]=A594,FarmUnit[3. Superficie de l’unité agricole (ha)*])),"!","-"))</f>
        <v>!</v>
      </c>
      <c r="J594" s="9" t="str">
        <f ca="1">IFERROR(CONCATENATE(VLOOKUP(A594,GM_Table,12,FALSE)," ",(VLOOKUP(A594,GM_Table,13,FALSE))),"")</f>
        <v/>
      </c>
    </row>
    <row r="595" spans="1:10" ht="15" x14ac:dyDescent="0.2">
      <c r="A595" s="193" t="s">
        <v>2335</v>
      </c>
      <c r="B595" s="193" t="s">
        <v>2335</v>
      </c>
      <c r="C595" s="264">
        <v>1.91</v>
      </c>
      <c r="D595" s="266">
        <v>6.8285</v>
      </c>
      <c r="E595" s="266">
        <v>-8.1461000000000006</v>
      </c>
      <c r="F595" s="122" t="b">
        <f>IF(ISBLANK(FarmUnit[[#This Row],[1. Identifiant interne d’exploitation agricole*]]),"",IF(ISERROR(MATCH(FarmUnit[[#This Row],[1. Identifiant interne d’exploitation agricole*]],GroupMember[1. Identifiant interne d’exploitation agricole*],0)),FALSE,TRUE))</f>
        <v>1</v>
      </c>
      <c r="G595" s="4">
        <f t="shared" si="19"/>
        <v>6.8285</v>
      </c>
      <c r="H595" s="4">
        <f t="shared" si="20"/>
        <v>-8.1461000000000006</v>
      </c>
      <c r="I595" s="20" t="str">
        <f t="array" ref="I595">IF(ISBLANK(C595),"",IF(C595=MAX(IF(FarmUnit[1. Identifiant interne d’exploitation agricole*]=A595,FarmUnit[3. Superficie de l’unité agricole (ha)*])),"!","-"))</f>
        <v>!</v>
      </c>
      <c r="J595" s="9" t="str">
        <f ca="1">IFERROR(CONCATENATE(VLOOKUP(A595,GM_Table,12,FALSE)," ",(VLOOKUP(A595,GM_Table,13,FALSE))),"")</f>
        <v/>
      </c>
    </row>
    <row r="596" spans="1:10" ht="15" x14ac:dyDescent="0.2">
      <c r="A596" s="193" t="s">
        <v>2338</v>
      </c>
      <c r="B596" s="193" t="s">
        <v>2338</v>
      </c>
      <c r="C596" s="264">
        <v>3.69</v>
      </c>
      <c r="D596" s="265">
        <v>6.8868999999999998</v>
      </c>
      <c r="E596" s="265">
        <v>-8.2302999999999997</v>
      </c>
      <c r="F596" s="122" t="b">
        <f>IF(ISBLANK(FarmUnit[[#This Row],[1. Identifiant interne d’exploitation agricole*]]),"",IF(ISERROR(MATCH(FarmUnit[[#This Row],[1. Identifiant interne d’exploitation agricole*]],GroupMember[1. Identifiant interne d’exploitation agricole*],0)),FALSE,TRUE))</f>
        <v>1</v>
      </c>
      <c r="G596" s="4">
        <f t="shared" si="19"/>
        <v>6.8868999999999998</v>
      </c>
      <c r="H596" s="4">
        <f t="shared" si="20"/>
        <v>-8.2302999999999997</v>
      </c>
      <c r="I596" s="20" t="str">
        <f t="array" ref="I596">IF(ISBLANK(C596),"",IF(C596=MAX(IF(FarmUnit[1. Identifiant interne d’exploitation agricole*]=A596,FarmUnit[3. Superficie de l’unité agricole (ha)*])),"!","-"))</f>
        <v>!</v>
      </c>
      <c r="J596" s="9" t="str">
        <f ca="1">IFERROR(CONCATENATE(VLOOKUP(A596,GM_Table,12,FALSE)," ",(VLOOKUP(A596,GM_Table,13,FALSE))),"")</f>
        <v/>
      </c>
    </row>
    <row r="597" spans="1:10" ht="15" x14ac:dyDescent="0.2">
      <c r="A597" s="193" t="s">
        <v>2340</v>
      </c>
      <c r="B597" s="193" t="s">
        <v>2340</v>
      </c>
      <c r="C597" s="264">
        <v>5.58</v>
      </c>
      <c r="D597" s="265">
        <v>6.6886999999999999</v>
      </c>
      <c r="E597" s="265">
        <v>-8.0437999999999992</v>
      </c>
      <c r="F597" s="122" t="b">
        <f>IF(ISBLANK(FarmUnit[[#This Row],[1. Identifiant interne d’exploitation agricole*]]),"",IF(ISERROR(MATCH(FarmUnit[[#This Row],[1. Identifiant interne d’exploitation agricole*]],GroupMember[1. Identifiant interne d’exploitation agricole*],0)),FALSE,TRUE))</f>
        <v>1</v>
      </c>
      <c r="G597" s="4">
        <f t="shared" si="19"/>
        <v>6.6886999999999999</v>
      </c>
      <c r="H597" s="4">
        <f t="shared" si="20"/>
        <v>-8.0437999999999992</v>
      </c>
      <c r="I597" s="20" t="str">
        <f t="array" ref="I597">IF(ISBLANK(C597),"",IF(C597=MAX(IF(FarmUnit[1. Identifiant interne d’exploitation agricole*]=A597,FarmUnit[3. Superficie de l’unité agricole (ha)*])),"!","-"))</f>
        <v>!</v>
      </c>
      <c r="J597" s="9" t="str">
        <f ca="1">IFERROR(CONCATENATE(VLOOKUP(A597,GM_Table,12,FALSE)," ",(VLOOKUP(A597,GM_Table,13,FALSE))),"")</f>
        <v/>
      </c>
    </row>
    <row r="598" spans="1:10" ht="15" x14ac:dyDescent="0.2">
      <c r="A598" s="193" t="s">
        <v>2342</v>
      </c>
      <c r="B598" s="193" t="s">
        <v>2342</v>
      </c>
      <c r="C598" s="264">
        <v>3.49</v>
      </c>
      <c r="D598" s="265">
        <v>6.9606000000000003</v>
      </c>
      <c r="E598" s="265">
        <v>-8.2166999999999994</v>
      </c>
      <c r="F598" s="122" t="b">
        <f>IF(ISBLANK(FarmUnit[[#This Row],[1. Identifiant interne d’exploitation agricole*]]),"",IF(ISERROR(MATCH(FarmUnit[[#This Row],[1. Identifiant interne d’exploitation agricole*]],GroupMember[1. Identifiant interne d’exploitation agricole*],0)),FALSE,TRUE))</f>
        <v>1</v>
      </c>
      <c r="G598" s="4">
        <f t="shared" si="19"/>
        <v>6.9606000000000003</v>
      </c>
      <c r="H598" s="4">
        <f t="shared" si="20"/>
        <v>-8.2166999999999994</v>
      </c>
      <c r="I598" s="20" t="str">
        <f t="array" ref="I598">IF(ISBLANK(C598),"",IF(C598=MAX(IF(FarmUnit[1. Identifiant interne d’exploitation agricole*]=A598,FarmUnit[3. Superficie de l’unité agricole (ha)*])),"!","-"))</f>
        <v>!</v>
      </c>
      <c r="J598" s="9" t="str">
        <f ca="1">IFERROR(CONCATENATE(VLOOKUP(A598,GM_Table,12,FALSE)," ",(VLOOKUP(A598,GM_Table,13,FALSE))),"")</f>
        <v/>
      </c>
    </row>
    <row r="599" spans="1:10" ht="15" x14ac:dyDescent="0.2">
      <c r="A599" s="193" t="s">
        <v>2343</v>
      </c>
      <c r="B599" s="193" t="s">
        <v>2343</v>
      </c>
      <c r="C599" s="264">
        <v>2.15</v>
      </c>
      <c r="D599" s="265">
        <v>6.96</v>
      </c>
      <c r="E599" s="265">
        <v>-8.2161000000000008</v>
      </c>
      <c r="F599" s="122" t="b">
        <f>IF(ISBLANK(FarmUnit[[#This Row],[1. Identifiant interne d’exploitation agricole*]]),"",IF(ISERROR(MATCH(FarmUnit[[#This Row],[1. Identifiant interne d’exploitation agricole*]],GroupMember[1. Identifiant interne d’exploitation agricole*],0)),FALSE,TRUE))</f>
        <v>1</v>
      </c>
      <c r="G599" s="4">
        <f t="shared" si="19"/>
        <v>6.96</v>
      </c>
      <c r="H599" s="4">
        <f t="shared" si="20"/>
        <v>-8.2161000000000008</v>
      </c>
      <c r="I599" s="20" t="str">
        <f t="array" ref="I599">IF(ISBLANK(C599),"",IF(C599=MAX(IF(FarmUnit[1. Identifiant interne d’exploitation agricole*]=A599,FarmUnit[3. Superficie de l’unité agricole (ha)*])),"!","-"))</f>
        <v>!</v>
      </c>
      <c r="J599" s="9" t="str">
        <f ca="1">IFERROR(CONCATENATE(VLOOKUP(A599,GM_Table,12,FALSE)," ",(VLOOKUP(A599,GM_Table,13,FALSE))),"")</f>
        <v/>
      </c>
    </row>
    <row r="600" spans="1:10" ht="15" x14ac:dyDescent="0.2">
      <c r="A600" s="193" t="s">
        <v>2344</v>
      </c>
      <c r="B600" s="193" t="s">
        <v>2344</v>
      </c>
      <c r="C600" s="264">
        <v>2.02</v>
      </c>
      <c r="D600" s="265">
        <v>6.8467000000000002</v>
      </c>
      <c r="E600" s="265">
        <v>-8.1616999999999997</v>
      </c>
      <c r="F600" s="122" t="b">
        <f>IF(ISBLANK(FarmUnit[[#This Row],[1. Identifiant interne d’exploitation agricole*]]),"",IF(ISERROR(MATCH(FarmUnit[[#This Row],[1. Identifiant interne d’exploitation agricole*]],GroupMember[1. Identifiant interne d’exploitation agricole*],0)),FALSE,TRUE))</f>
        <v>1</v>
      </c>
      <c r="G600" s="4">
        <f t="shared" si="19"/>
        <v>6.8467000000000002</v>
      </c>
      <c r="H600" s="4">
        <f t="shared" si="20"/>
        <v>-8.1616999999999997</v>
      </c>
      <c r="I600" s="20" t="str">
        <f t="array" ref="I600">IF(ISBLANK(C600),"",IF(C600=MAX(IF(FarmUnit[1. Identifiant interne d’exploitation agricole*]=A600,FarmUnit[3. Superficie de l’unité agricole (ha)*])),"!","-"))</f>
        <v>!</v>
      </c>
      <c r="J600" s="9" t="str">
        <f ca="1">IFERROR(CONCATENATE(VLOOKUP(A600,GM_Table,12,FALSE)," ",(VLOOKUP(A600,GM_Table,13,FALSE))),"")</f>
        <v/>
      </c>
    </row>
    <row r="601" spans="1:10" ht="15" x14ac:dyDescent="0.2">
      <c r="A601" s="193" t="s">
        <v>2345</v>
      </c>
      <c r="B601" s="193" t="s">
        <v>2345</v>
      </c>
      <c r="C601" s="264">
        <v>1.97</v>
      </c>
      <c r="D601" s="265">
        <v>6.7069000000000001</v>
      </c>
      <c r="E601" s="265">
        <v>-8.1268999999999991</v>
      </c>
      <c r="F601" s="122" t="b">
        <f>IF(ISBLANK(FarmUnit[[#This Row],[1. Identifiant interne d’exploitation agricole*]]),"",IF(ISERROR(MATCH(FarmUnit[[#This Row],[1. Identifiant interne d’exploitation agricole*]],GroupMember[1. Identifiant interne d’exploitation agricole*],0)),FALSE,TRUE))</f>
        <v>1</v>
      </c>
      <c r="G601" s="4">
        <f t="shared" si="19"/>
        <v>6.7069000000000001</v>
      </c>
      <c r="H601" s="4">
        <f t="shared" si="20"/>
        <v>-8.1268999999999991</v>
      </c>
      <c r="I601" s="20" t="str">
        <f t="array" ref="I601">IF(ISBLANK(C601),"",IF(C601=MAX(IF(FarmUnit[1. Identifiant interne d’exploitation agricole*]=A601,FarmUnit[3. Superficie de l’unité agricole (ha)*])),"!","-"))</f>
        <v>!</v>
      </c>
      <c r="J601" s="9" t="str">
        <f ca="1">IFERROR(CONCATENATE(VLOOKUP(A601,GM_Table,12,FALSE)," ",(VLOOKUP(A601,GM_Table,13,FALSE))),"")</f>
        <v/>
      </c>
    </row>
    <row r="602" spans="1:10" ht="15" x14ac:dyDescent="0.2">
      <c r="A602" s="193" t="s">
        <v>2346</v>
      </c>
      <c r="B602" s="193" t="s">
        <v>2346</v>
      </c>
      <c r="C602" s="264">
        <v>2.0699999999999998</v>
      </c>
      <c r="D602" s="265">
        <v>6.7583000000000002</v>
      </c>
      <c r="E602" s="265">
        <v>-8.0580999999999996</v>
      </c>
      <c r="F602" s="122" t="b">
        <f>IF(ISBLANK(FarmUnit[[#This Row],[1. Identifiant interne d’exploitation agricole*]]),"",IF(ISERROR(MATCH(FarmUnit[[#This Row],[1. Identifiant interne d’exploitation agricole*]],GroupMember[1. Identifiant interne d’exploitation agricole*],0)),FALSE,TRUE))</f>
        <v>1</v>
      </c>
      <c r="G602" s="4">
        <f t="shared" si="19"/>
        <v>6.7583000000000002</v>
      </c>
      <c r="H602" s="4">
        <f t="shared" si="20"/>
        <v>-8.0580999999999996</v>
      </c>
      <c r="I602" s="20" t="str">
        <f t="array" ref="I602">IF(ISBLANK(C602),"",IF(C602=MAX(IF(FarmUnit[1. Identifiant interne d’exploitation agricole*]=A602,FarmUnit[3. Superficie de l’unité agricole (ha)*])),"!","-"))</f>
        <v>!</v>
      </c>
      <c r="J602" s="9" t="str">
        <f ca="1">IFERROR(CONCATENATE(VLOOKUP(A602,GM_Table,12,FALSE)," ",(VLOOKUP(A602,GM_Table,13,FALSE))),"")</f>
        <v/>
      </c>
    </row>
    <row r="603" spans="1:10" ht="15" x14ac:dyDescent="0.2">
      <c r="A603" s="193" t="s">
        <v>2348</v>
      </c>
      <c r="B603" s="193" t="s">
        <v>2348</v>
      </c>
      <c r="C603" s="264">
        <v>4.54</v>
      </c>
      <c r="D603" s="265">
        <v>6.6882999999999999</v>
      </c>
      <c r="E603" s="265">
        <v>-8.0211000000000006</v>
      </c>
      <c r="F603" s="122" t="b">
        <f>IF(ISBLANK(FarmUnit[[#This Row],[1. Identifiant interne d’exploitation agricole*]]),"",IF(ISERROR(MATCH(FarmUnit[[#This Row],[1. Identifiant interne d’exploitation agricole*]],GroupMember[1. Identifiant interne d’exploitation agricole*],0)),FALSE,TRUE))</f>
        <v>1</v>
      </c>
      <c r="G603" s="4">
        <f t="shared" si="19"/>
        <v>6.6882999999999999</v>
      </c>
      <c r="H603" s="4">
        <f t="shared" si="20"/>
        <v>-8.0211000000000006</v>
      </c>
      <c r="I603" s="20" t="str">
        <f t="array" ref="I603">IF(ISBLANK(C603),"",IF(C603=MAX(IF(FarmUnit[1. Identifiant interne d’exploitation agricole*]=A603,FarmUnit[3. Superficie de l’unité agricole (ha)*])),"!","-"))</f>
        <v>!</v>
      </c>
      <c r="J603" s="9" t="str">
        <f ca="1">IFERROR(CONCATENATE(VLOOKUP(A603,GM_Table,12,FALSE)," ",(VLOOKUP(A603,GM_Table,13,FALSE))),"")</f>
        <v/>
      </c>
    </row>
    <row r="604" spans="1:10" ht="15" x14ac:dyDescent="0.2">
      <c r="A604" s="193" t="s">
        <v>2352</v>
      </c>
      <c r="B604" s="193" t="s">
        <v>2352</v>
      </c>
      <c r="C604" s="264">
        <v>3.65</v>
      </c>
      <c r="D604" s="265">
        <v>6.7363999999999997</v>
      </c>
      <c r="E604" s="265">
        <v>-8.0092999999999996</v>
      </c>
      <c r="F604" s="122" t="b">
        <f>IF(ISBLANK(FarmUnit[[#This Row],[1. Identifiant interne d’exploitation agricole*]]),"",IF(ISERROR(MATCH(FarmUnit[[#This Row],[1. Identifiant interne d’exploitation agricole*]],GroupMember[1. Identifiant interne d’exploitation agricole*],0)),FALSE,TRUE))</f>
        <v>1</v>
      </c>
      <c r="G604" s="4">
        <f t="shared" si="19"/>
        <v>6.7363999999999997</v>
      </c>
      <c r="H604" s="4">
        <f t="shared" si="20"/>
        <v>-8.0092999999999996</v>
      </c>
      <c r="I604" s="20" t="str">
        <f t="array" ref="I604">IF(ISBLANK(C604),"",IF(C604=MAX(IF(FarmUnit[1. Identifiant interne d’exploitation agricole*]=A604,FarmUnit[3. Superficie de l’unité agricole (ha)*])),"!","-"))</f>
        <v>!</v>
      </c>
      <c r="J604" s="9" t="str">
        <f ca="1">IFERROR(CONCATENATE(VLOOKUP(A604,GM_Table,12,FALSE)," ",(VLOOKUP(A604,GM_Table,13,FALSE))),"")</f>
        <v/>
      </c>
    </row>
    <row r="605" spans="1:10" ht="15" x14ac:dyDescent="0.2">
      <c r="A605" s="193" t="s">
        <v>2353</v>
      </c>
      <c r="B605" s="193" t="s">
        <v>2353</v>
      </c>
      <c r="C605" s="264">
        <v>2.69</v>
      </c>
      <c r="D605" s="265">
        <v>6.7359</v>
      </c>
      <c r="E605" s="265">
        <v>-8.0152000000000001</v>
      </c>
      <c r="F605" s="122" t="b">
        <f>IF(ISBLANK(FarmUnit[[#This Row],[1. Identifiant interne d’exploitation agricole*]]),"",IF(ISERROR(MATCH(FarmUnit[[#This Row],[1. Identifiant interne d’exploitation agricole*]],GroupMember[1. Identifiant interne d’exploitation agricole*],0)),FALSE,TRUE))</f>
        <v>1</v>
      </c>
      <c r="G605" s="4">
        <f t="shared" si="19"/>
        <v>6.7359</v>
      </c>
      <c r="H605" s="4">
        <f t="shared" si="20"/>
        <v>-8.0152000000000001</v>
      </c>
      <c r="I605" s="20" t="str">
        <f t="array" ref="I605">IF(ISBLANK(C605),"",IF(C605=MAX(IF(FarmUnit[1. Identifiant interne d’exploitation agricole*]=A605,FarmUnit[3. Superficie de l’unité agricole (ha)*])),"!","-"))</f>
        <v>!</v>
      </c>
      <c r="J605" s="9" t="str">
        <f ca="1">IFERROR(CONCATENATE(VLOOKUP(A605,GM_Table,12,FALSE)," ",(VLOOKUP(A605,GM_Table,13,FALSE))),"")</f>
        <v/>
      </c>
    </row>
    <row r="606" spans="1:10" ht="15" x14ac:dyDescent="0.2">
      <c r="A606" s="193" t="s">
        <v>2355</v>
      </c>
      <c r="B606" s="193" t="s">
        <v>2355</v>
      </c>
      <c r="C606" s="264">
        <v>3.61</v>
      </c>
      <c r="D606" s="265">
        <v>6.7244999999999999</v>
      </c>
      <c r="E606" s="265">
        <v>-8.0335000000000001</v>
      </c>
      <c r="F606" s="122" t="b">
        <f>IF(ISBLANK(FarmUnit[[#This Row],[1. Identifiant interne d’exploitation agricole*]]),"",IF(ISERROR(MATCH(FarmUnit[[#This Row],[1. Identifiant interne d’exploitation agricole*]],GroupMember[1. Identifiant interne d’exploitation agricole*],0)),FALSE,TRUE))</f>
        <v>1</v>
      </c>
      <c r="G606" s="4">
        <f t="shared" si="19"/>
        <v>6.7244999999999999</v>
      </c>
      <c r="H606" s="4">
        <f t="shared" si="20"/>
        <v>-8.0335000000000001</v>
      </c>
      <c r="I606" s="20" t="str">
        <f t="array" ref="I606">IF(ISBLANK(C606),"",IF(C606=MAX(IF(FarmUnit[1. Identifiant interne d’exploitation agricole*]=A606,FarmUnit[3. Superficie de l’unité agricole (ha)*])),"!","-"))</f>
        <v>!</v>
      </c>
      <c r="J606" s="9" t="str">
        <f ca="1">IFERROR(CONCATENATE(VLOOKUP(A606,GM_Table,12,FALSE)," ",(VLOOKUP(A606,GM_Table,13,FALSE))),"")</f>
        <v/>
      </c>
    </row>
    <row r="607" spans="1:10" ht="15" x14ac:dyDescent="0.2">
      <c r="A607" s="193" t="s">
        <v>2357</v>
      </c>
      <c r="B607" s="193" t="s">
        <v>2357</v>
      </c>
      <c r="C607" s="264">
        <v>1.81</v>
      </c>
      <c r="D607" s="265">
        <v>6.7283999999999997</v>
      </c>
      <c r="E607" s="265">
        <v>-8.0335999999999999</v>
      </c>
      <c r="F607" s="122" t="b">
        <f>IF(ISBLANK(FarmUnit[[#This Row],[1. Identifiant interne d’exploitation agricole*]]),"",IF(ISERROR(MATCH(FarmUnit[[#This Row],[1. Identifiant interne d’exploitation agricole*]],GroupMember[1. Identifiant interne d’exploitation agricole*],0)),FALSE,TRUE))</f>
        <v>1</v>
      </c>
      <c r="G607" s="4">
        <f t="shared" si="19"/>
        <v>6.7283999999999997</v>
      </c>
      <c r="H607" s="4">
        <f t="shared" si="20"/>
        <v>-8.0335999999999999</v>
      </c>
      <c r="I607" s="20" t="str">
        <f t="array" ref="I607">IF(ISBLANK(C607),"",IF(C607=MAX(IF(FarmUnit[1. Identifiant interne d’exploitation agricole*]=A607,FarmUnit[3. Superficie de l’unité agricole (ha)*])),"!","-"))</f>
        <v>!</v>
      </c>
      <c r="J607" s="9" t="str">
        <f ca="1">IFERROR(CONCATENATE(VLOOKUP(A607,GM_Table,12,FALSE)," ",(VLOOKUP(A607,GM_Table,13,FALSE))),"")</f>
        <v/>
      </c>
    </row>
    <row r="608" spans="1:10" ht="15" x14ac:dyDescent="0.2">
      <c r="A608" s="193" t="s">
        <v>2359</v>
      </c>
      <c r="B608" s="193" t="s">
        <v>2359</v>
      </c>
      <c r="C608" s="264">
        <v>2.17</v>
      </c>
      <c r="D608" s="265">
        <v>6.7617000000000003</v>
      </c>
      <c r="E608" s="265">
        <v>-8.1007999999999996</v>
      </c>
      <c r="F608" s="122" t="b">
        <f>IF(ISBLANK(FarmUnit[[#This Row],[1. Identifiant interne d’exploitation agricole*]]),"",IF(ISERROR(MATCH(FarmUnit[[#This Row],[1. Identifiant interne d’exploitation agricole*]],GroupMember[1. Identifiant interne d’exploitation agricole*],0)),FALSE,TRUE))</f>
        <v>1</v>
      </c>
      <c r="G608" s="4">
        <f t="shared" si="19"/>
        <v>6.7617000000000003</v>
      </c>
      <c r="H608" s="4">
        <f t="shared" si="20"/>
        <v>-8.1007999999999996</v>
      </c>
      <c r="I608" s="20" t="str">
        <f t="array" ref="I608">IF(ISBLANK(C608),"",IF(C608=MAX(IF(FarmUnit[1. Identifiant interne d’exploitation agricole*]=A608,FarmUnit[3. Superficie de l’unité agricole (ha)*])),"!","-"))</f>
        <v>!</v>
      </c>
      <c r="J608" s="9" t="str">
        <f ca="1">IFERROR(CONCATENATE(VLOOKUP(A608,GM_Table,12,FALSE)," ",(VLOOKUP(A608,GM_Table,13,FALSE))),"")</f>
        <v/>
      </c>
    </row>
    <row r="609" spans="1:10" ht="15" x14ac:dyDescent="0.2">
      <c r="A609" s="193" t="s">
        <v>2360</v>
      </c>
      <c r="B609" s="193" t="s">
        <v>2360</v>
      </c>
      <c r="C609" s="264">
        <v>3.38</v>
      </c>
      <c r="D609" s="265">
        <v>6.7572000000000001</v>
      </c>
      <c r="E609" s="265">
        <v>-8.0861000000000001</v>
      </c>
      <c r="F609" s="122" t="b">
        <f>IF(ISBLANK(FarmUnit[[#This Row],[1. Identifiant interne d’exploitation agricole*]]),"",IF(ISERROR(MATCH(FarmUnit[[#This Row],[1. Identifiant interne d’exploitation agricole*]],GroupMember[1. Identifiant interne d’exploitation agricole*],0)),FALSE,TRUE))</f>
        <v>1</v>
      </c>
      <c r="G609" s="4">
        <f t="shared" si="19"/>
        <v>6.7572000000000001</v>
      </c>
      <c r="H609" s="4">
        <f t="shared" si="20"/>
        <v>-8.0861000000000001</v>
      </c>
      <c r="I609" s="20" t="str">
        <f t="array" ref="I609">IF(ISBLANK(C609),"",IF(C609=MAX(IF(FarmUnit[1. Identifiant interne d’exploitation agricole*]=A609,FarmUnit[3. Superficie de l’unité agricole (ha)*])),"!","-"))</f>
        <v>!</v>
      </c>
      <c r="J609" s="9" t="str">
        <f ca="1">IFERROR(CONCATENATE(VLOOKUP(A609,GM_Table,12,FALSE)," ",(VLOOKUP(A609,GM_Table,13,FALSE))),"")</f>
        <v/>
      </c>
    </row>
    <row r="610" spans="1:10" ht="15" x14ac:dyDescent="0.2">
      <c r="A610" s="193" t="s">
        <v>2362</v>
      </c>
      <c r="B610" s="193" t="s">
        <v>2362</v>
      </c>
      <c r="C610" s="264">
        <v>2.57</v>
      </c>
      <c r="D610" s="265">
        <v>6.8362999999999996</v>
      </c>
      <c r="E610" s="265">
        <v>-8.1247000000000007</v>
      </c>
      <c r="F610" s="122" t="b">
        <f>IF(ISBLANK(FarmUnit[[#This Row],[1. Identifiant interne d’exploitation agricole*]]),"",IF(ISERROR(MATCH(FarmUnit[[#This Row],[1. Identifiant interne d’exploitation agricole*]],GroupMember[1. Identifiant interne d’exploitation agricole*],0)),FALSE,TRUE))</f>
        <v>1</v>
      </c>
      <c r="G610" s="4">
        <f t="shared" si="19"/>
        <v>6.8362999999999996</v>
      </c>
      <c r="H610" s="4">
        <f t="shared" si="20"/>
        <v>-8.1247000000000007</v>
      </c>
      <c r="I610" s="20" t="str">
        <f t="array" ref="I610">IF(ISBLANK(C610),"",IF(C610=MAX(IF(FarmUnit[1. Identifiant interne d’exploitation agricole*]=A610,FarmUnit[3. Superficie de l’unité agricole (ha)*])),"!","-"))</f>
        <v>!</v>
      </c>
      <c r="J610" s="9" t="str">
        <f ca="1">IFERROR(CONCATENATE(VLOOKUP(A610,GM_Table,12,FALSE)," ",(VLOOKUP(A610,GM_Table,13,FALSE))),"")</f>
        <v/>
      </c>
    </row>
    <row r="611" spans="1:10" ht="15" x14ac:dyDescent="0.2">
      <c r="A611" s="193" t="s">
        <v>2364</v>
      </c>
      <c r="B611" s="193" t="s">
        <v>2364</v>
      </c>
      <c r="C611" s="264">
        <v>4.1500000000000004</v>
      </c>
      <c r="D611" s="265">
        <v>6.8731</v>
      </c>
      <c r="E611" s="265">
        <v>-8.0785999999999998</v>
      </c>
      <c r="F611" s="122" t="b">
        <f>IF(ISBLANK(FarmUnit[[#This Row],[1. Identifiant interne d’exploitation agricole*]]),"",IF(ISERROR(MATCH(FarmUnit[[#This Row],[1. Identifiant interne d’exploitation agricole*]],GroupMember[1. Identifiant interne d’exploitation agricole*],0)),FALSE,TRUE))</f>
        <v>1</v>
      </c>
      <c r="G611" s="4">
        <f t="shared" si="19"/>
        <v>6.8731</v>
      </c>
      <c r="H611" s="4">
        <f t="shared" si="20"/>
        <v>-8.0785999999999998</v>
      </c>
      <c r="I611" s="20" t="str">
        <f t="array" ref="I611">IF(ISBLANK(C611),"",IF(C611=MAX(IF(FarmUnit[1. Identifiant interne d’exploitation agricole*]=A611,FarmUnit[3. Superficie de l’unité agricole (ha)*])),"!","-"))</f>
        <v>!</v>
      </c>
      <c r="J611" s="9" t="str">
        <f ca="1">IFERROR(CONCATENATE(VLOOKUP(A611,GM_Table,12,FALSE)," ",(VLOOKUP(A611,GM_Table,13,FALSE))),"")</f>
        <v/>
      </c>
    </row>
    <row r="612" spans="1:10" ht="15" x14ac:dyDescent="0.2">
      <c r="A612" s="193" t="s">
        <v>2366</v>
      </c>
      <c r="B612" s="193" t="s">
        <v>2366</v>
      </c>
      <c r="C612" s="264">
        <v>2.08</v>
      </c>
      <c r="D612" s="265">
        <v>6.9603000000000002</v>
      </c>
      <c r="E612" s="265">
        <v>-8.1252999999999993</v>
      </c>
      <c r="F612" s="122" t="b">
        <f>IF(ISBLANK(FarmUnit[[#This Row],[1. Identifiant interne d’exploitation agricole*]]),"",IF(ISERROR(MATCH(FarmUnit[[#This Row],[1. Identifiant interne d’exploitation agricole*]],GroupMember[1. Identifiant interne d’exploitation agricole*],0)),FALSE,TRUE))</f>
        <v>1</v>
      </c>
      <c r="G612" s="4">
        <f t="shared" si="19"/>
        <v>6.9603000000000002</v>
      </c>
      <c r="H612" s="4">
        <f t="shared" si="20"/>
        <v>-8.1252999999999993</v>
      </c>
      <c r="I612" s="20" t="str">
        <f t="array" ref="I612">IF(ISBLANK(C612),"",IF(C612=MAX(IF(FarmUnit[1. Identifiant interne d’exploitation agricole*]=A612,FarmUnit[3. Superficie de l’unité agricole (ha)*])),"!","-"))</f>
        <v>!</v>
      </c>
      <c r="J612" s="9" t="str">
        <f ca="1">IFERROR(CONCATENATE(VLOOKUP(A612,GM_Table,12,FALSE)," ",(VLOOKUP(A612,GM_Table,13,FALSE))),"")</f>
        <v/>
      </c>
    </row>
    <row r="613" spans="1:10" ht="15" x14ac:dyDescent="0.2">
      <c r="A613" s="193" t="s">
        <v>2367</v>
      </c>
      <c r="B613" s="193" t="s">
        <v>2367</v>
      </c>
      <c r="C613" s="264">
        <v>3</v>
      </c>
      <c r="D613" s="265">
        <v>6.7366999999999999</v>
      </c>
      <c r="E613" s="265">
        <v>-8.0184999999999995</v>
      </c>
      <c r="F613" s="122" t="b">
        <f>IF(ISBLANK(FarmUnit[[#This Row],[1. Identifiant interne d’exploitation agricole*]]),"",IF(ISERROR(MATCH(FarmUnit[[#This Row],[1. Identifiant interne d’exploitation agricole*]],GroupMember[1. Identifiant interne d’exploitation agricole*],0)),FALSE,TRUE))</f>
        <v>1</v>
      </c>
      <c r="G613" s="4">
        <f t="shared" si="19"/>
        <v>6.7366999999999999</v>
      </c>
      <c r="H613" s="4">
        <f t="shared" si="20"/>
        <v>-8.0184999999999995</v>
      </c>
      <c r="I613" s="20" t="str">
        <f t="array" ref="I613">IF(ISBLANK(C613),"",IF(C613=MAX(IF(FarmUnit[1. Identifiant interne d’exploitation agricole*]=A613,FarmUnit[3. Superficie de l’unité agricole (ha)*])),"!","-"))</f>
        <v>!</v>
      </c>
      <c r="J613" s="9" t="str">
        <f ca="1">IFERROR(CONCATENATE(VLOOKUP(A613,GM_Table,12,FALSE)," ",(VLOOKUP(A613,GM_Table,13,FALSE))),"")</f>
        <v/>
      </c>
    </row>
    <row r="614" spans="1:10" ht="15" x14ac:dyDescent="0.2">
      <c r="A614" s="193" t="s">
        <v>2370</v>
      </c>
      <c r="B614" s="193" t="s">
        <v>2370</v>
      </c>
      <c r="C614" s="264">
        <v>5.19</v>
      </c>
      <c r="D614" s="265">
        <v>6.8624999999999998</v>
      </c>
      <c r="E614" s="265">
        <v>-8.1732999999999993</v>
      </c>
      <c r="F614" s="122" t="b">
        <f>IF(ISBLANK(FarmUnit[[#This Row],[1. Identifiant interne d’exploitation agricole*]]),"",IF(ISERROR(MATCH(FarmUnit[[#This Row],[1. Identifiant interne d’exploitation agricole*]],GroupMember[1. Identifiant interne d’exploitation agricole*],0)),FALSE,TRUE))</f>
        <v>1</v>
      </c>
      <c r="G614" s="4">
        <f t="shared" si="19"/>
        <v>6.8624999999999998</v>
      </c>
      <c r="H614" s="4">
        <f t="shared" si="20"/>
        <v>-8.1732999999999993</v>
      </c>
      <c r="I614" s="20" t="str">
        <f t="array" ref="I614">IF(ISBLANK(C614),"",IF(C614=MAX(IF(FarmUnit[1. Identifiant interne d’exploitation agricole*]=A614,FarmUnit[3. Superficie de l’unité agricole (ha)*])),"!","-"))</f>
        <v>!</v>
      </c>
      <c r="J614" s="9" t="str">
        <f ca="1">IFERROR(CONCATENATE(VLOOKUP(A614,GM_Table,12,FALSE)," ",(VLOOKUP(A614,GM_Table,13,FALSE))),"")</f>
        <v/>
      </c>
    </row>
    <row r="615" spans="1:10" ht="15" x14ac:dyDescent="0.2">
      <c r="A615" s="193" t="s">
        <v>2373</v>
      </c>
      <c r="B615" s="193" t="s">
        <v>2373</v>
      </c>
      <c r="C615" s="264">
        <v>2.5</v>
      </c>
      <c r="D615" s="265">
        <v>6.9241999999999999</v>
      </c>
      <c r="E615" s="265">
        <v>-8.1555999999999997</v>
      </c>
      <c r="F615" s="122" t="b">
        <f>IF(ISBLANK(FarmUnit[[#This Row],[1. Identifiant interne d’exploitation agricole*]]),"",IF(ISERROR(MATCH(FarmUnit[[#This Row],[1. Identifiant interne d’exploitation agricole*]],GroupMember[1. Identifiant interne d’exploitation agricole*],0)),FALSE,TRUE))</f>
        <v>1</v>
      </c>
      <c r="G615" s="4">
        <f t="shared" si="19"/>
        <v>6.9241999999999999</v>
      </c>
      <c r="H615" s="4">
        <f t="shared" si="20"/>
        <v>-8.1555999999999997</v>
      </c>
      <c r="I615" s="20" t="str">
        <f t="array" ref="I615">IF(ISBLANK(C615),"",IF(C615=MAX(IF(FarmUnit[1. Identifiant interne d’exploitation agricole*]=A615,FarmUnit[3. Superficie de l’unité agricole (ha)*])),"!","-"))</f>
        <v>!</v>
      </c>
      <c r="J615" s="9" t="str">
        <f ca="1">IFERROR(CONCATENATE(VLOOKUP(A615,GM_Table,12,FALSE)," ",(VLOOKUP(A615,GM_Table,13,FALSE))),"")</f>
        <v/>
      </c>
    </row>
    <row r="616" spans="1:10" ht="15" x14ac:dyDescent="0.2">
      <c r="A616" s="193" t="s">
        <v>2375</v>
      </c>
      <c r="B616" s="193" t="s">
        <v>2375</v>
      </c>
      <c r="C616" s="264">
        <v>8.25</v>
      </c>
      <c r="D616" s="265">
        <v>7.1089000000000002</v>
      </c>
      <c r="E616" s="265">
        <v>-8.1531000000000002</v>
      </c>
      <c r="F616" s="122" t="b">
        <f>IF(ISBLANK(FarmUnit[[#This Row],[1. Identifiant interne d’exploitation agricole*]]),"",IF(ISERROR(MATCH(FarmUnit[[#This Row],[1. Identifiant interne d’exploitation agricole*]],GroupMember[1. Identifiant interne d’exploitation agricole*],0)),FALSE,TRUE))</f>
        <v>1</v>
      </c>
      <c r="G616" s="4">
        <f t="shared" si="19"/>
        <v>7.1089000000000002</v>
      </c>
      <c r="H616" s="4">
        <f t="shared" si="20"/>
        <v>-8.1531000000000002</v>
      </c>
      <c r="I616" s="20" t="str">
        <f t="array" ref="I616">IF(ISBLANK(C616),"",IF(C616=MAX(IF(FarmUnit[1. Identifiant interne d’exploitation agricole*]=A616,FarmUnit[3. Superficie de l’unité agricole (ha)*])),"!","-"))</f>
        <v>!</v>
      </c>
      <c r="J616" s="9" t="str">
        <f ca="1">IFERROR(CONCATENATE(VLOOKUP(A616,GM_Table,12,FALSE)," ",(VLOOKUP(A616,GM_Table,13,FALSE))),"")</f>
        <v/>
      </c>
    </row>
    <row r="617" spans="1:10" ht="15" x14ac:dyDescent="0.2">
      <c r="A617" s="193" t="s">
        <v>2377</v>
      </c>
      <c r="B617" s="193" t="s">
        <v>2377</v>
      </c>
      <c r="C617" s="264">
        <v>1.33</v>
      </c>
      <c r="D617" s="266">
        <v>7.0263999999999998</v>
      </c>
      <c r="E617" s="266">
        <v>-8.1655999999999995</v>
      </c>
      <c r="F617" s="122" t="b">
        <f>IF(ISBLANK(FarmUnit[[#This Row],[1. Identifiant interne d’exploitation agricole*]]),"",IF(ISERROR(MATCH(FarmUnit[[#This Row],[1. Identifiant interne d’exploitation agricole*]],GroupMember[1. Identifiant interne d’exploitation agricole*],0)),FALSE,TRUE))</f>
        <v>1</v>
      </c>
      <c r="G617" s="4">
        <f t="shared" si="19"/>
        <v>7.0263999999999998</v>
      </c>
      <c r="H617" s="4">
        <f t="shared" si="20"/>
        <v>-8.1655999999999995</v>
      </c>
      <c r="I617" s="20" t="str">
        <f t="array" ref="I617">IF(ISBLANK(C617),"",IF(C617=MAX(IF(FarmUnit[1. Identifiant interne d’exploitation agricole*]=A617,FarmUnit[3. Superficie de l’unité agricole (ha)*])),"!","-"))</f>
        <v>!</v>
      </c>
      <c r="J617" s="9" t="str">
        <f ca="1">IFERROR(CONCATENATE(VLOOKUP(A617,GM_Table,12,FALSE)," ",(VLOOKUP(A617,GM_Table,13,FALSE))),"")</f>
        <v/>
      </c>
    </row>
    <row r="618" spans="1:10" ht="15" x14ac:dyDescent="0.2">
      <c r="A618" s="193" t="s">
        <v>2380</v>
      </c>
      <c r="B618" s="193" t="s">
        <v>2380</v>
      </c>
      <c r="C618" s="264">
        <v>2.2000000000000002</v>
      </c>
      <c r="D618" s="265">
        <v>6.9061000000000003</v>
      </c>
      <c r="E618" s="265">
        <v>-7.9768999999999997</v>
      </c>
      <c r="F618" s="122" t="b">
        <f>IF(ISBLANK(FarmUnit[[#This Row],[1. Identifiant interne d’exploitation agricole*]]),"",IF(ISERROR(MATCH(FarmUnit[[#This Row],[1. Identifiant interne d’exploitation agricole*]],GroupMember[1. Identifiant interne d’exploitation agricole*],0)),FALSE,TRUE))</f>
        <v>1</v>
      </c>
      <c r="G618" s="4">
        <f t="shared" si="19"/>
        <v>6.9061000000000003</v>
      </c>
      <c r="H618" s="4">
        <f t="shared" si="20"/>
        <v>-7.9768999999999997</v>
      </c>
      <c r="I618" s="20" t="str">
        <f t="array" ref="I618">IF(ISBLANK(C618),"",IF(C618=MAX(IF(FarmUnit[1. Identifiant interne d’exploitation agricole*]=A618,FarmUnit[3. Superficie de l’unité agricole (ha)*])),"!","-"))</f>
        <v>!</v>
      </c>
      <c r="J618" s="9" t="str">
        <f ca="1">IFERROR(CONCATENATE(VLOOKUP(A618,GM_Table,12,FALSE)," ",(VLOOKUP(A618,GM_Table,13,FALSE))),"")</f>
        <v/>
      </c>
    </row>
    <row r="619" spans="1:10" ht="15" x14ac:dyDescent="0.2">
      <c r="A619" s="193" t="s">
        <v>2382</v>
      </c>
      <c r="B619" s="193" t="s">
        <v>2382</v>
      </c>
      <c r="C619" s="264">
        <v>0.51</v>
      </c>
      <c r="D619" s="265">
        <v>6.9311999999999996</v>
      </c>
      <c r="E619" s="265">
        <v>-7.9606000000000003</v>
      </c>
      <c r="F619" s="122" t="b">
        <f>IF(ISBLANK(FarmUnit[[#This Row],[1. Identifiant interne d’exploitation agricole*]]),"",IF(ISERROR(MATCH(FarmUnit[[#This Row],[1. Identifiant interne d’exploitation agricole*]],GroupMember[1. Identifiant interne d’exploitation agricole*],0)),FALSE,TRUE))</f>
        <v>1</v>
      </c>
      <c r="G619" s="4">
        <f t="shared" si="19"/>
        <v>6.9311999999999996</v>
      </c>
      <c r="H619" s="4">
        <f t="shared" si="20"/>
        <v>-7.9606000000000003</v>
      </c>
      <c r="I619" s="20" t="str">
        <f t="array" ref="I619">IF(ISBLANK(C619),"",IF(C619=MAX(IF(FarmUnit[1. Identifiant interne d’exploitation agricole*]=A619,FarmUnit[3. Superficie de l’unité agricole (ha)*])),"!","-"))</f>
        <v>!</v>
      </c>
      <c r="J619" s="9" t="str">
        <f ca="1">IFERROR(CONCATENATE(VLOOKUP(A619,GM_Table,12,FALSE)," ",(VLOOKUP(A619,GM_Table,13,FALSE))),"")</f>
        <v/>
      </c>
    </row>
    <row r="620" spans="1:10" ht="15" x14ac:dyDescent="0.2">
      <c r="A620" s="193" t="s">
        <v>2384</v>
      </c>
      <c r="B620" s="193" t="s">
        <v>2384</v>
      </c>
      <c r="C620" s="264">
        <v>11.32</v>
      </c>
      <c r="D620" s="265">
        <v>7.1807999999999996</v>
      </c>
      <c r="E620" s="265">
        <v>-8.1333000000000002</v>
      </c>
      <c r="F620" s="122" t="b">
        <f>IF(ISBLANK(FarmUnit[[#This Row],[1. Identifiant interne d’exploitation agricole*]]),"",IF(ISERROR(MATCH(FarmUnit[[#This Row],[1. Identifiant interne d’exploitation agricole*]],GroupMember[1. Identifiant interne d’exploitation agricole*],0)),FALSE,TRUE))</f>
        <v>1</v>
      </c>
      <c r="G620" s="4">
        <f t="shared" si="19"/>
        <v>7.1807999999999996</v>
      </c>
      <c r="H620" s="4">
        <f t="shared" si="20"/>
        <v>-8.1333000000000002</v>
      </c>
      <c r="I620" s="20" t="str">
        <f t="array" ref="I620">IF(ISBLANK(C620),"",IF(C620=MAX(IF(FarmUnit[1. Identifiant interne d’exploitation agricole*]=A620,FarmUnit[3. Superficie de l’unité agricole (ha)*])),"!","-"))</f>
        <v>!</v>
      </c>
      <c r="J620" s="9" t="str">
        <f ca="1">IFERROR(CONCATENATE(VLOOKUP(A620,GM_Table,12,FALSE)," ",(VLOOKUP(A620,GM_Table,13,FALSE))),"")</f>
        <v/>
      </c>
    </row>
    <row r="621" spans="1:10" ht="15" x14ac:dyDescent="0.2">
      <c r="A621" s="193" t="s">
        <v>2386</v>
      </c>
      <c r="B621" s="193" t="s">
        <v>2386</v>
      </c>
      <c r="C621" s="264">
        <v>0.9</v>
      </c>
      <c r="D621" s="265">
        <v>6.9359000000000002</v>
      </c>
      <c r="E621" s="265">
        <v>-7.9606000000000003</v>
      </c>
      <c r="F621" s="122" t="b">
        <f>IF(ISBLANK(FarmUnit[[#This Row],[1. Identifiant interne d’exploitation agricole*]]),"",IF(ISERROR(MATCH(FarmUnit[[#This Row],[1. Identifiant interne d’exploitation agricole*]],GroupMember[1. Identifiant interne d’exploitation agricole*],0)),FALSE,TRUE))</f>
        <v>1</v>
      </c>
      <c r="G621" s="4">
        <f t="shared" si="19"/>
        <v>6.9359000000000002</v>
      </c>
      <c r="H621" s="4">
        <f t="shared" si="20"/>
        <v>-7.9606000000000003</v>
      </c>
      <c r="I621" s="20" t="str">
        <f t="array" ref="I621">IF(ISBLANK(C621),"",IF(C621=MAX(IF(FarmUnit[1. Identifiant interne d’exploitation agricole*]=A621,FarmUnit[3. Superficie de l’unité agricole (ha)*])),"!","-"))</f>
        <v>!</v>
      </c>
      <c r="J621" s="9" t="str">
        <f ca="1">IFERROR(CONCATENATE(VLOOKUP(A621,GM_Table,12,FALSE)," ",(VLOOKUP(A621,GM_Table,13,FALSE))),"")</f>
        <v/>
      </c>
    </row>
    <row r="622" spans="1:10" ht="15" x14ac:dyDescent="0.2">
      <c r="A622" s="193" t="s">
        <v>2389</v>
      </c>
      <c r="B622" s="193" t="s">
        <v>2389</v>
      </c>
      <c r="C622" s="264">
        <v>1.64</v>
      </c>
      <c r="D622" s="265">
        <v>7.1261999999999999</v>
      </c>
      <c r="E622" s="265">
        <v>-8.0691000000000006</v>
      </c>
      <c r="F622" s="122" t="b">
        <f>IF(ISBLANK(FarmUnit[[#This Row],[1. Identifiant interne d’exploitation agricole*]]),"",IF(ISERROR(MATCH(FarmUnit[[#This Row],[1. Identifiant interne d’exploitation agricole*]],GroupMember[1. Identifiant interne d’exploitation agricole*],0)),FALSE,TRUE))</f>
        <v>1</v>
      </c>
      <c r="G622" s="4">
        <f t="shared" si="19"/>
        <v>7.1261999999999999</v>
      </c>
      <c r="H622" s="4">
        <f t="shared" si="20"/>
        <v>-8.0691000000000006</v>
      </c>
      <c r="I622" s="20" t="str">
        <f t="array" ref="I622">IF(ISBLANK(C622),"",IF(C622=MAX(IF(FarmUnit[1. Identifiant interne d’exploitation agricole*]=A622,FarmUnit[3. Superficie de l’unité agricole (ha)*])),"!","-"))</f>
        <v>!</v>
      </c>
      <c r="J622" s="9" t="str">
        <f ca="1">IFERROR(CONCATENATE(VLOOKUP(A622,GM_Table,12,FALSE)," ",(VLOOKUP(A622,GM_Table,13,FALSE))),"")</f>
        <v/>
      </c>
    </row>
    <row r="623" spans="1:10" ht="15" x14ac:dyDescent="0.2">
      <c r="A623" s="193" t="s">
        <v>2390</v>
      </c>
      <c r="B623" s="193" t="s">
        <v>2390</v>
      </c>
      <c r="C623" s="264">
        <v>1.47</v>
      </c>
      <c r="D623" s="265">
        <v>6.9939</v>
      </c>
      <c r="E623" s="265">
        <v>-8.0281000000000002</v>
      </c>
      <c r="F623" s="122" t="b">
        <f>IF(ISBLANK(FarmUnit[[#This Row],[1. Identifiant interne d’exploitation agricole*]]),"",IF(ISERROR(MATCH(FarmUnit[[#This Row],[1. Identifiant interne d’exploitation agricole*]],GroupMember[1. Identifiant interne d’exploitation agricole*],0)),FALSE,TRUE))</f>
        <v>1</v>
      </c>
      <c r="G623" s="4">
        <f t="shared" si="19"/>
        <v>6.9939</v>
      </c>
      <c r="H623" s="4">
        <f t="shared" si="20"/>
        <v>-8.0281000000000002</v>
      </c>
      <c r="I623" s="20" t="str">
        <f t="array" ref="I623">IF(ISBLANK(C623),"",IF(C623=MAX(IF(FarmUnit[1. Identifiant interne d’exploitation agricole*]=A623,FarmUnit[3. Superficie de l’unité agricole (ha)*])),"!","-"))</f>
        <v>!</v>
      </c>
      <c r="J623" s="9" t="str">
        <f ca="1">IFERROR(CONCATENATE(VLOOKUP(A623,GM_Table,12,FALSE)," ",(VLOOKUP(A623,GM_Table,13,FALSE))),"")</f>
        <v/>
      </c>
    </row>
    <row r="624" spans="1:10" ht="15" x14ac:dyDescent="0.2">
      <c r="A624" s="193" t="s">
        <v>2392</v>
      </c>
      <c r="B624" s="193" t="s">
        <v>2392</v>
      </c>
      <c r="C624" s="264">
        <v>2.83</v>
      </c>
      <c r="D624" s="265">
        <v>6.9013999999999998</v>
      </c>
      <c r="E624" s="265">
        <v>-7.96</v>
      </c>
      <c r="F624" s="122" t="b">
        <f>IF(ISBLANK(FarmUnit[[#This Row],[1. Identifiant interne d’exploitation agricole*]]),"",IF(ISERROR(MATCH(FarmUnit[[#This Row],[1. Identifiant interne d’exploitation agricole*]],GroupMember[1. Identifiant interne d’exploitation agricole*],0)),FALSE,TRUE))</f>
        <v>1</v>
      </c>
      <c r="G624" s="4">
        <f t="shared" si="19"/>
        <v>6.9013999999999998</v>
      </c>
      <c r="H624" s="4">
        <f t="shared" si="20"/>
        <v>-7.96</v>
      </c>
      <c r="I624" s="20" t="str">
        <f t="array" ref="I624">IF(ISBLANK(C624),"",IF(C624=MAX(IF(FarmUnit[1. Identifiant interne d’exploitation agricole*]=A624,FarmUnit[3. Superficie de l’unité agricole (ha)*])),"!","-"))</f>
        <v>!</v>
      </c>
      <c r="J624" s="9" t="str">
        <f ca="1">IFERROR(CONCATENATE(VLOOKUP(A624,GM_Table,12,FALSE)," ",(VLOOKUP(A624,GM_Table,13,FALSE))),"")</f>
        <v/>
      </c>
    </row>
    <row r="625" spans="1:10" ht="15" x14ac:dyDescent="0.2">
      <c r="A625" s="193" t="s">
        <v>2395</v>
      </c>
      <c r="B625" s="193" t="s">
        <v>2395</v>
      </c>
      <c r="C625" s="264">
        <v>3.46</v>
      </c>
      <c r="D625" s="265">
        <v>6.9733000000000001</v>
      </c>
      <c r="E625" s="265">
        <v>-8.0388999999999999</v>
      </c>
      <c r="F625" s="122" t="b">
        <f>IF(ISBLANK(FarmUnit[[#This Row],[1. Identifiant interne d’exploitation agricole*]]),"",IF(ISERROR(MATCH(FarmUnit[[#This Row],[1. Identifiant interne d’exploitation agricole*]],GroupMember[1. Identifiant interne d’exploitation agricole*],0)),FALSE,TRUE))</f>
        <v>1</v>
      </c>
      <c r="G625" s="4">
        <f t="shared" si="19"/>
        <v>6.9733000000000001</v>
      </c>
      <c r="H625" s="4">
        <f t="shared" si="20"/>
        <v>-8.0388999999999999</v>
      </c>
      <c r="I625" s="20" t="str">
        <f t="array" ref="I625">IF(ISBLANK(C625),"",IF(C625=MAX(IF(FarmUnit[1. Identifiant interne d’exploitation agricole*]=A625,FarmUnit[3. Superficie de l’unité agricole (ha)*])),"!","-"))</f>
        <v>!</v>
      </c>
      <c r="J625" s="9" t="str">
        <f ca="1">IFERROR(CONCATENATE(VLOOKUP(A625,GM_Table,12,FALSE)," ",(VLOOKUP(A625,GM_Table,13,FALSE))),"")</f>
        <v/>
      </c>
    </row>
    <row r="626" spans="1:10" ht="15" x14ac:dyDescent="0.2">
      <c r="A626" s="193" t="s">
        <v>2397</v>
      </c>
      <c r="B626" s="193" t="s">
        <v>2397</v>
      </c>
      <c r="C626" s="264">
        <v>1.66</v>
      </c>
      <c r="D626" s="265">
        <v>6.9592000000000001</v>
      </c>
      <c r="E626" s="265">
        <v>-8.0433000000000003</v>
      </c>
      <c r="F626" s="122" t="b">
        <f>IF(ISBLANK(FarmUnit[[#This Row],[1. Identifiant interne d’exploitation agricole*]]),"",IF(ISERROR(MATCH(FarmUnit[[#This Row],[1. Identifiant interne d’exploitation agricole*]],GroupMember[1. Identifiant interne d’exploitation agricole*],0)),FALSE,TRUE))</f>
        <v>1</v>
      </c>
      <c r="G626" s="4">
        <f t="shared" si="19"/>
        <v>6.9592000000000001</v>
      </c>
      <c r="H626" s="4">
        <f t="shared" si="20"/>
        <v>-8.0433000000000003</v>
      </c>
      <c r="I626" s="20" t="str">
        <f t="array" ref="I626">IF(ISBLANK(C626),"",IF(C626=MAX(IF(FarmUnit[1. Identifiant interne d’exploitation agricole*]=A626,FarmUnit[3. Superficie de l’unité agricole (ha)*])),"!","-"))</f>
        <v>!</v>
      </c>
      <c r="J626" s="9" t="str">
        <f ca="1">IFERROR(CONCATENATE(VLOOKUP(A626,GM_Table,12,FALSE)," ",(VLOOKUP(A626,GM_Table,13,FALSE))),"")</f>
        <v/>
      </c>
    </row>
    <row r="627" spans="1:10" ht="15" x14ac:dyDescent="0.2">
      <c r="A627" s="193" t="s">
        <v>2399</v>
      </c>
      <c r="B627" s="193" t="s">
        <v>2399</v>
      </c>
      <c r="C627" s="264">
        <v>2.0099999999999998</v>
      </c>
      <c r="D627" s="265">
        <v>6.9977999999999998</v>
      </c>
      <c r="E627" s="265">
        <v>-8.0494000000000003</v>
      </c>
      <c r="F627" s="122" t="b">
        <f>IF(ISBLANK(FarmUnit[[#This Row],[1. Identifiant interne d’exploitation agricole*]]),"",IF(ISERROR(MATCH(FarmUnit[[#This Row],[1. Identifiant interne d’exploitation agricole*]],GroupMember[1. Identifiant interne d’exploitation agricole*],0)),FALSE,TRUE))</f>
        <v>1</v>
      </c>
      <c r="G627" s="4">
        <f t="shared" ref="G627:G690" si="21">IF(D627=0,"",D627)</f>
        <v>6.9977999999999998</v>
      </c>
      <c r="H627" s="4">
        <f t="shared" ref="H627:H690" si="22">IF(E627=0,"",E627)</f>
        <v>-8.0494000000000003</v>
      </c>
      <c r="I627" s="20" t="str">
        <f t="array" ref="I627">IF(ISBLANK(C627),"",IF(C627=MAX(IF(FarmUnit[1. Identifiant interne d’exploitation agricole*]=A627,FarmUnit[3. Superficie de l’unité agricole (ha)*])),"!","-"))</f>
        <v>!</v>
      </c>
      <c r="J627" s="9" t="str">
        <f ca="1">IFERROR(CONCATENATE(VLOOKUP(A627,GM_Table,12,FALSE)," ",(VLOOKUP(A627,GM_Table,13,FALSE))),"")</f>
        <v/>
      </c>
    </row>
    <row r="628" spans="1:10" ht="15" x14ac:dyDescent="0.2">
      <c r="A628" s="193" t="s">
        <v>2402</v>
      </c>
      <c r="B628" s="193" t="s">
        <v>2402</v>
      </c>
      <c r="C628" s="264">
        <v>2.17</v>
      </c>
      <c r="D628" s="265">
        <v>6.9981999999999998</v>
      </c>
      <c r="E628" s="265">
        <v>-8.0492000000000008</v>
      </c>
      <c r="F628" s="122" t="b">
        <f>IF(ISBLANK(FarmUnit[[#This Row],[1. Identifiant interne d’exploitation agricole*]]),"",IF(ISERROR(MATCH(FarmUnit[[#This Row],[1. Identifiant interne d’exploitation agricole*]],GroupMember[1. Identifiant interne d’exploitation agricole*],0)),FALSE,TRUE))</f>
        <v>1</v>
      </c>
      <c r="G628" s="4">
        <f t="shared" si="21"/>
        <v>6.9981999999999998</v>
      </c>
      <c r="H628" s="4">
        <f t="shared" si="22"/>
        <v>-8.0492000000000008</v>
      </c>
      <c r="I628" s="20" t="str">
        <f t="array" ref="I628">IF(ISBLANK(C628),"",IF(C628=MAX(IF(FarmUnit[1. Identifiant interne d’exploitation agricole*]=A628,FarmUnit[3. Superficie de l’unité agricole (ha)*])),"!","-"))</f>
        <v>!</v>
      </c>
      <c r="J628" s="9" t="str">
        <f ca="1">IFERROR(CONCATENATE(VLOOKUP(A628,GM_Table,12,FALSE)," ",(VLOOKUP(A628,GM_Table,13,FALSE))),"")</f>
        <v/>
      </c>
    </row>
    <row r="629" spans="1:10" ht="15" x14ac:dyDescent="0.2">
      <c r="A629" s="193" t="s">
        <v>2404</v>
      </c>
      <c r="B629" s="193" t="s">
        <v>2404</v>
      </c>
      <c r="C629" s="264">
        <v>2.62</v>
      </c>
      <c r="D629" s="265">
        <v>7.0613999999999999</v>
      </c>
      <c r="E629" s="265">
        <v>-8.1171000000000006</v>
      </c>
      <c r="F629" s="122" t="b">
        <f>IF(ISBLANK(FarmUnit[[#This Row],[1. Identifiant interne d’exploitation agricole*]]),"",IF(ISERROR(MATCH(FarmUnit[[#This Row],[1. Identifiant interne d’exploitation agricole*]],GroupMember[1. Identifiant interne d’exploitation agricole*],0)),FALSE,TRUE))</f>
        <v>1</v>
      </c>
      <c r="G629" s="4">
        <f t="shared" si="21"/>
        <v>7.0613999999999999</v>
      </c>
      <c r="H629" s="4">
        <f t="shared" si="22"/>
        <v>-8.1171000000000006</v>
      </c>
      <c r="I629" s="20" t="str">
        <f t="array" ref="I629">IF(ISBLANK(C629),"",IF(C629=MAX(IF(FarmUnit[1. Identifiant interne d’exploitation agricole*]=A629,FarmUnit[3. Superficie de l’unité agricole (ha)*])),"!","-"))</f>
        <v>!</v>
      </c>
      <c r="J629" s="9" t="str">
        <f ca="1">IFERROR(CONCATENATE(VLOOKUP(A629,GM_Table,12,FALSE)," ",(VLOOKUP(A629,GM_Table,13,FALSE))),"")</f>
        <v/>
      </c>
    </row>
    <row r="630" spans="1:10" ht="15" x14ac:dyDescent="0.2">
      <c r="A630" s="193" t="s">
        <v>2407</v>
      </c>
      <c r="B630" s="193" t="s">
        <v>2407</v>
      </c>
      <c r="C630" s="264">
        <v>2.65</v>
      </c>
      <c r="D630" s="265">
        <v>7.0747</v>
      </c>
      <c r="E630" s="265">
        <v>-8.1265000000000001</v>
      </c>
      <c r="F630" s="122" t="b">
        <f>IF(ISBLANK(FarmUnit[[#This Row],[1. Identifiant interne d’exploitation agricole*]]),"",IF(ISERROR(MATCH(FarmUnit[[#This Row],[1. Identifiant interne d’exploitation agricole*]],GroupMember[1. Identifiant interne d’exploitation agricole*],0)),FALSE,TRUE))</f>
        <v>1</v>
      </c>
      <c r="G630" s="4">
        <f t="shared" si="21"/>
        <v>7.0747</v>
      </c>
      <c r="H630" s="4">
        <f t="shared" si="22"/>
        <v>-8.1265000000000001</v>
      </c>
      <c r="I630" s="20" t="str">
        <f t="array" ref="I630">IF(ISBLANK(C630),"",IF(C630=MAX(IF(FarmUnit[1. Identifiant interne d’exploitation agricole*]=A630,FarmUnit[3. Superficie de l’unité agricole (ha)*])),"!","-"))</f>
        <v>!</v>
      </c>
      <c r="J630" s="9" t="str">
        <f ca="1">IFERROR(CONCATENATE(VLOOKUP(A630,GM_Table,12,FALSE)," ",(VLOOKUP(A630,GM_Table,13,FALSE))),"")</f>
        <v/>
      </c>
    </row>
    <row r="631" spans="1:10" ht="15" x14ac:dyDescent="0.2">
      <c r="A631" s="193" t="s">
        <v>2408</v>
      </c>
      <c r="B631" s="193" t="s">
        <v>2408</v>
      </c>
      <c r="C631" s="264">
        <v>2.1800000000000002</v>
      </c>
      <c r="D631" s="265">
        <v>7.0944000000000003</v>
      </c>
      <c r="E631" s="265">
        <v>-8.1793999999999993</v>
      </c>
      <c r="F631" s="122" t="b">
        <f>IF(ISBLANK(FarmUnit[[#This Row],[1. Identifiant interne d’exploitation agricole*]]),"",IF(ISERROR(MATCH(FarmUnit[[#This Row],[1. Identifiant interne d’exploitation agricole*]],GroupMember[1. Identifiant interne d’exploitation agricole*],0)),FALSE,TRUE))</f>
        <v>1</v>
      </c>
      <c r="G631" s="4">
        <f t="shared" si="21"/>
        <v>7.0944000000000003</v>
      </c>
      <c r="H631" s="4">
        <f t="shared" si="22"/>
        <v>-8.1793999999999993</v>
      </c>
      <c r="I631" s="20" t="str">
        <f t="array" ref="I631">IF(ISBLANK(C631),"",IF(C631=MAX(IF(FarmUnit[1. Identifiant interne d’exploitation agricole*]=A631,FarmUnit[3. Superficie de l’unité agricole (ha)*])),"!","-"))</f>
        <v>!</v>
      </c>
      <c r="J631" s="9" t="str">
        <f ca="1">IFERROR(CONCATENATE(VLOOKUP(A631,GM_Table,12,FALSE)," ",(VLOOKUP(A631,GM_Table,13,FALSE))),"")</f>
        <v/>
      </c>
    </row>
    <row r="632" spans="1:10" ht="15" x14ac:dyDescent="0.2">
      <c r="A632" s="193" t="s">
        <v>2410</v>
      </c>
      <c r="B632" s="193" t="s">
        <v>2410</v>
      </c>
      <c r="C632" s="264">
        <v>3.84</v>
      </c>
      <c r="D632" s="267">
        <v>6.9078999999999997</v>
      </c>
      <c r="E632" s="267">
        <v>-7.9588000000000001</v>
      </c>
      <c r="F632" s="122" t="b">
        <f>IF(ISBLANK(FarmUnit[[#This Row],[1. Identifiant interne d’exploitation agricole*]]),"",IF(ISERROR(MATCH(FarmUnit[[#This Row],[1. Identifiant interne d’exploitation agricole*]],GroupMember[1. Identifiant interne d’exploitation agricole*],0)),FALSE,TRUE))</f>
        <v>1</v>
      </c>
      <c r="G632" s="4">
        <f t="shared" si="21"/>
        <v>6.9078999999999997</v>
      </c>
      <c r="H632" s="4">
        <f t="shared" si="22"/>
        <v>-7.9588000000000001</v>
      </c>
      <c r="I632" s="20" t="str">
        <f t="array" ref="I632">IF(ISBLANK(C632),"",IF(C632=MAX(IF(FarmUnit[1. Identifiant interne d’exploitation agricole*]=A632,FarmUnit[3. Superficie de l’unité agricole (ha)*])),"!","-"))</f>
        <v>!</v>
      </c>
      <c r="J632" s="9" t="str">
        <f ca="1">IFERROR(CONCATENATE(VLOOKUP(A632,GM_Table,12,FALSE)," ",(VLOOKUP(A632,GM_Table,13,FALSE))),"")</f>
        <v/>
      </c>
    </row>
    <row r="633" spans="1:10" ht="15" x14ac:dyDescent="0.2">
      <c r="A633" s="193" t="s">
        <v>2412</v>
      </c>
      <c r="B633" s="193" t="s">
        <v>2412</v>
      </c>
      <c r="C633" s="264">
        <v>1.48</v>
      </c>
      <c r="D633" s="265">
        <v>7.0339</v>
      </c>
      <c r="E633" s="265">
        <v>-8.1165000000000003</v>
      </c>
      <c r="F633" s="122" t="b">
        <f>IF(ISBLANK(FarmUnit[[#This Row],[1. Identifiant interne d’exploitation agricole*]]),"",IF(ISERROR(MATCH(FarmUnit[[#This Row],[1. Identifiant interne d’exploitation agricole*]],GroupMember[1. Identifiant interne d’exploitation agricole*],0)),FALSE,TRUE))</f>
        <v>1</v>
      </c>
      <c r="G633" s="4">
        <f t="shared" si="21"/>
        <v>7.0339</v>
      </c>
      <c r="H633" s="4">
        <f t="shared" si="22"/>
        <v>-8.1165000000000003</v>
      </c>
      <c r="I633" s="20" t="str">
        <f t="array" ref="I633">IF(ISBLANK(C633),"",IF(C633=MAX(IF(FarmUnit[1. Identifiant interne d’exploitation agricole*]=A633,FarmUnit[3. Superficie de l’unité agricole (ha)*])),"!","-"))</f>
        <v>!</v>
      </c>
      <c r="J633" s="9" t="str">
        <f ca="1">IFERROR(CONCATENATE(VLOOKUP(A633,GM_Table,12,FALSE)," ",(VLOOKUP(A633,GM_Table,13,FALSE))),"")</f>
        <v/>
      </c>
    </row>
    <row r="634" spans="1:10" ht="15" x14ac:dyDescent="0.2">
      <c r="A634" s="193" t="s">
        <v>2414</v>
      </c>
      <c r="B634" s="193" t="s">
        <v>2414</v>
      </c>
      <c r="C634" s="264">
        <v>2.67</v>
      </c>
      <c r="D634" s="265">
        <v>6.9614000000000003</v>
      </c>
      <c r="E634" s="265">
        <v>-8.1097000000000001</v>
      </c>
      <c r="F634" s="122" t="b">
        <f>IF(ISBLANK(FarmUnit[[#This Row],[1. Identifiant interne d’exploitation agricole*]]),"",IF(ISERROR(MATCH(FarmUnit[[#This Row],[1. Identifiant interne d’exploitation agricole*]],GroupMember[1. Identifiant interne d’exploitation agricole*],0)),FALSE,TRUE))</f>
        <v>1</v>
      </c>
      <c r="G634" s="4">
        <f t="shared" si="21"/>
        <v>6.9614000000000003</v>
      </c>
      <c r="H634" s="4">
        <f t="shared" si="22"/>
        <v>-8.1097000000000001</v>
      </c>
      <c r="I634" s="20" t="str">
        <f t="array" ref="I634">IF(ISBLANK(C634),"",IF(C634=MAX(IF(FarmUnit[1. Identifiant interne d’exploitation agricole*]=A634,FarmUnit[3. Superficie de l’unité agricole (ha)*])),"!","-"))</f>
        <v>!</v>
      </c>
      <c r="J634" s="9" t="str">
        <f ca="1">IFERROR(CONCATENATE(VLOOKUP(A634,GM_Table,12,FALSE)," ",(VLOOKUP(A634,GM_Table,13,FALSE))),"")</f>
        <v/>
      </c>
    </row>
    <row r="635" spans="1:10" ht="15" x14ac:dyDescent="0.2">
      <c r="A635" s="193" t="s">
        <v>2416</v>
      </c>
      <c r="B635" s="193" t="s">
        <v>2416</v>
      </c>
      <c r="C635" s="264">
        <v>3.06</v>
      </c>
      <c r="D635" s="265">
        <v>7.0332999999999997</v>
      </c>
      <c r="E635" s="265">
        <v>-8.0932999999999993</v>
      </c>
      <c r="F635" s="122" t="b">
        <f>IF(ISBLANK(FarmUnit[[#This Row],[1. Identifiant interne d’exploitation agricole*]]),"",IF(ISERROR(MATCH(FarmUnit[[#This Row],[1. Identifiant interne d’exploitation agricole*]],GroupMember[1. Identifiant interne d’exploitation agricole*],0)),FALSE,TRUE))</f>
        <v>1</v>
      </c>
      <c r="G635" s="4">
        <f t="shared" si="21"/>
        <v>7.0332999999999997</v>
      </c>
      <c r="H635" s="4">
        <f t="shared" si="22"/>
        <v>-8.0932999999999993</v>
      </c>
      <c r="I635" s="20" t="str">
        <f t="array" ref="I635">IF(ISBLANK(C635),"",IF(C635=MAX(IF(FarmUnit[1. Identifiant interne d’exploitation agricole*]=A635,FarmUnit[3. Superficie de l’unité agricole (ha)*])),"!","-"))</f>
        <v>!</v>
      </c>
      <c r="J635" s="9" t="str">
        <f ca="1">IFERROR(CONCATENATE(VLOOKUP(A635,GM_Table,12,FALSE)," ",(VLOOKUP(A635,GM_Table,13,FALSE))),"")</f>
        <v/>
      </c>
    </row>
    <row r="636" spans="1:10" ht="15" x14ac:dyDescent="0.2">
      <c r="A636" s="193" t="s">
        <v>2418</v>
      </c>
      <c r="B636" s="193" t="s">
        <v>2418</v>
      </c>
      <c r="C636" s="264">
        <v>9.56</v>
      </c>
      <c r="D636" s="265">
        <v>7.13</v>
      </c>
      <c r="E636" s="265">
        <v>-8.0510999999999999</v>
      </c>
      <c r="F636" s="122" t="b">
        <f>IF(ISBLANK(FarmUnit[[#This Row],[1. Identifiant interne d’exploitation agricole*]]),"",IF(ISERROR(MATCH(FarmUnit[[#This Row],[1. Identifiant interne d’exploitation agricole*]],GroupMember[1. Identifiant interne d’exploitation agricole*],0)),FALSE,TRUE))</f>
        <v>1</v>
      </c>
      <c r="G636" s="4">
        <f t="shared" si="21"/>
        <v>7.13</v>
      </c>
      <c r="H636" s="4">
        <f t="shared" si="22"/>
        <v>-8.0510999999999999</v>
      </c>
      <c r="I636" s="20" t="str">
        <f t="array" ref="I636">IF(ISBLANK(C636),"",IF(C636=MAX(IF(FarmUnit[1. Identifiant interne d’exploitation agricole*]=A636,FarmUnit[3. Superficie de l’unité agricole (ha)*])),"!","-"))</f>
        <v>!</v>
      </c>
      <c r="J636" s="9" t="str">
        <f ca="1">IFERROR(CONCATENATE(VLOOKUP(A636,GM_Table,12,FALSE)," ",(VLOOKUP(A636,GM_Table,13,FALSE))),"")</f>
        <v/>
      </c>
    </row>
    <row r="637" spans="1:10" ht="15" x14ac:dyDescent="0.2">
      <c r="A637" s="193" t="s">
        <v>2420</v>
      </c>
      <c r="B637" s="193" t="s">
        <v>2420</v>
      </c>
      <c r="C637" s="264">
        <v>2.54</v>
      </c>
      <c r="D637" s="265">
        <v>6.9301000000000004</v>
      </c>
      <c r="E637" s="265">
        <v>-7.9690000000000003</v>
      </c>
      <c r="F637" s="122" t="b">
        <f>IF(ISBLANK(FarmUnit[[#This Row],[1. Identifiant interne d’exploitation agricole*]]),"",IF(ISERROR(MATCH(FarmUnit[[#This Row],[1. Identifiant interne d’exploitation agricole*]],GroupMember[1. Identifiant interne d’exploitation agricole*],0)),FALSE,TRUE))</f>
        <v>1</v>
      </c>
      <c r="G637" s="4">
        <f t="shared" si="21"/>
        <v>6.9301000000000004</v>
      </c>
      <c r="H637" s="4">
        <f t="shared" si="22"/>
        <v>-7.9690000000000003</v>
      </c>
      <c r="I637" s="20" t="str">
        <f t="array" ref="I637">IF(ISBLANK(C637),"",IF(C637=MAX(IF(FarmUnit[1. Identifiant interne d’exploitation agricole*]=A637,FarmUnit[3. Superficie de l’unité agricole (ha)*])),"!","-"))</f>
        <v>!</v>
      </c>
      <c r="J637" s="9" t="str">
        <f ca="1">IFERROR(CONCATENATE(VLOOKUP(A637,GM_Table,12,FALSE)," ",(VLOOKUP(A637,GM_Table,13,FALSE))),"")</f>
        <v/>
      </c>
    </row>
    <row r="638" spans="1:10" ht="15" x14ac:dyDescent="0.2">
      <c r="A638" s="193" t="s">
        <v>2423</v>
      </c>
      <c r="B638" s="193" t="s">
        <v>2423</v>
      </c>
      <c r="C638" s="264">
        <v>1.86</v>
      </c>
      <c r="D638" s="265">
        <v>6.931</v>
      </c>
      <c r="E638" s="265">
        <v>-7.9687000000000001</v>
      </c>
      <c r="F638" s="122" t="b">
        <f>IF(ISBLANK(FarmUnit[[#This Row],[1. Identifiant interne d’exploitation agricole*]]),"",IF(ISERROR(MATCH(FarmUnit[[#This Row],[1. Identifiant interne d’exploitation agricole*]],GroupMember[1. Identifiant interne d’exploitation agricole*],0)),FALSE,TRUE))</f>
        <v>1</v>
      </c>
      <c r="G638" s="4">
        <f t="shared" si="21"/>
        <v>6.931</v>
      </c>
      <c r="H638" s="4">
        <f t="shared" si="22"/>
        <v>-7.9687000000000001</v>
      </c>
      <c r="I638" s="20" t="str">
        <f t="array" ref="I638">IF(ISBLANK(C638),"",IF(C638=MAX(IF(FarmUnit[1. Identifiant interne d’exploitation agricole*]=A638,FarmUnit[3. Superficie de l’unité agricole (ha)*])),"!","-"))</f>
        <v>!</v>
      </c>
      <c r="J638" s="9" t="str">
        <f ca="1">IFERROR(CONCATENATE(VLOOKUP(A638,GM_Table,12,FALSE)," ",(VLOOKUP(A638,GM_Table,13,FALSE))),"")</f>
        <v/>
      </c>
    </row>
    <row r="639" spans="1:10" ht="15" x14ac:dyDescent="0.2">
      <c r="A639" s="193" t="s">
        <v>2425</v>
      </c>
      <c r="B639" s="193" t="s">
        <v>2425</v>
      </c>
      <c r="C639" s="264">
        <v>1.49</v>
      </c>
      <c r="D639" s="265">
        <v>6.9241000000000001</v>
      </c>
      <c r="E639" s="265">
        <v>-8.0140999999999991</v>
      </c>
      <c r="F639" s="122" t="b">
        <f>IF(ISBLANK(FarmUnit[[#This Row],[1. Identifiant interne d’exploitation agricole*]]),"",IF(ISERROR(MATCH(FarmUnit[[#This Row],[1. Identifiant interne d’exploitation agricole*]],GroupMember[1. Identifiant interne d’exploitation agricole*],0)),FALSE,TRUE))</f>
        <v>1</v>
      </c>
      <c r="G639" s="4">
        <f t="shared" si="21"/>
        <v>6.9241000000000001</v>
      </c>
      <c r="H639" s="4">
        <f t="shared" si="22"/>
        <v>-8.0140999999999991</v>
      </c>
      <c r="I639" s="20" t="str">
        <f t="array" ref="I639">IF(ISBLANK(C639),"",IF(C639=MAX(IF(FarmUnit[1. Identifiant interne d’exploitation agricole*]=A639,FarmUnit[3. Superficie de l’unité agricole (ha)*])),"!","-"))</f>
        <v>!</v>
      </c>
      <c r="J639" s="9" t="str">
        <f ca="1">IFERROR(CONCATENATE(VLOOKUP(A639,GM_Table,12,FALSE)," ",(VLOOKUP(A639,GM_Table,13,FALSE))),"")</f>
        <v/>
      </c>
    </row>
    <row r="640" spans="1:10" ht="15" x14ac:dyDescent="0.2">
      <c r="A640" s="193" t="s">
        <v>2428</v>
      </c>
      <c r="B640" s="193" t="s">
        <v>2428</v>
      </c>
      <c r="C640" s="264">
        <v>2.04</v>
      </c>
      <c r="D640" s="265">
        <v>6.8962000000000003</v>
      </c>
      <c r="E640" s="265">
        <v>-8.0100999999999996</v>
      </c>
      <c r="F640" s="122" t="b">
        <f>IF(ISBLANK(FarmUnit[[#This Row],[1. Identifiant interne d’exploitation agricole*]]),"",IF(ISERROR(MATCH(FarmUnit[[#This Row],[1. Identifiant interne d’exploitation agricole*]],GroupMember[1. Identifiant interne d’exploitation agricole*],0)),FALSE,TRUE))</f>
        <v>1</v>
      </c>
      <c r="G640" s="4">
        <f t="shared" si="21"/>
        <v>6.8962000000000003</v>
      </c>
      <c r="H640" s="4">
        <f t="shared" si="22"/>
        <v>-8.0100999999999996</v>
      </c>
      <c r="I640" s="20" t="str">
        <f t="array" ref="I640">IF(ISBLANK(C640),"",IF(C640=MAX(IF(FarmUnit[1. Identifiant interne d’exploitation agricole*]=A640,FarmUnit[3. Superficie de l’unité agricole (ha)*])),"!","-"))</f>
        <v>!</v>
      </c>
      <c r="J640" s="9" t="str">
        <f ca="1">IFERROR(CONCATENATE(VLOOKUP(A640,GM_Table,12,FALSE)," ",(VLOOKUP(A640,GM_Table,13,FALSE))),"")</f>
        <v/>
      </c>
    </row>
    <row r="641" spans="1:10" ht="15" x14ac:dyDescent="0.2">
      <c r="A641" s="193" t="s">
        <v>2430</v>
      </c>
      <c r="B641" s="193" t="s">
        <v>2430</v>
      </c>
      <c r="C641" s="264">
        <v>1.66</v>
      </c>
      <c r="D641" s="265">
        <v>6.8963999999999999</v>
      </c>
      <c r="E641" s="265">
        <v>-8.0111000000000008</v>
      </c>
      <c r="F641" s="122" t="b">
        <f>IF(ISBLANK(FarmUnit[[#This Row],[1. Identifiant interne d’exploitation agricole*]]),"",IF(ISERROR(MATCH(FarmUnit[[#This Row],[1. Identifiant interne d’exploitation agricole*]],GroupMember[1. Identifiant interne d’exploitation agricole*],0)),FALSE,TRUE))</f>
        <v>1</v>
      </c>
      <c r="G641" s="4">
        <f t="shared" si="21"/>
        <v>6.8963999999999999</v>
      </c>
      <c r="H641" s="4">
        <f t="shared" si="22"/>
        <v>-8.0111000000000008</v>
      </c>
      <c r="I641" s="20" t="str">
        <f t="array" ref="I641">IF(ISBLANK(C641),"",IF(C641=MAX(IF(FarmUnit[1. Identifiant interne d’exploitation agricole*]=A641,FarmUnit[3. Superficie de l’unité agricole (ha)*])),"!","-"))</f>
        <v>!</v>
      </c>
      <c r="J641" s="9" t="str">
        <f ca="1">IFERROR(CONCATENATE(VLOOKUP(A641,GM_Table,12,FALSE)," ",(VLOOKUP(A641,GM_Table,13,FALSE))),"")</f>
        <v/>
      </c>
    </row>
    <row r="642" spans="1:10" ht="15" x14ac:dyDescent="0.2">
      <c r="A642" s="193" t="s">
        <v>2433</v>
      </c>
      <c r="B642" s="193" t="s">
        <v>2433</v>
      </c>
      <c r="C642" s="264">
        <v>1.79</v>
      </c>
      <c r="D642" s="265">
        <v>6.9307999999999996</v>
      </c>
      <c r="E642" s="265">
        <v>-8.0061999999999998</v>
      </c>
      <c r="F642" s="122" t="b">
        <f>IF(ISBLANK(FarmUnit[[#This Row],[1. Identifiant interne d’exploitation agricole*]]),"",IF(ISERROR(MATCH(FarmUnit[[#This Row],[1. Identifiant interne d’exploitation agricole*]],GroupMember[1. Identifiant interne d’exploitation agricole*],0)),FALSE,TRUE))</f>
        <v>1</v>
      </c>
      <c r="G642" s="4">
        <f t="shared" si="21"/>
        <v>6.9307999999999996</v>
      </c>
      <c r="H642" s="4">
        <f t="shared" si="22"/>
        <v>-8.0061999999999998</v>
      </c>
      <c r="I642" s="20" t="str">
        <f t="array" ref="I642">IF(ISBLANK(C642),"",IF(C642=MAX(IF(FarmUnit[1. Identifiant interne d’exploitation agricole*]=A642,FarmUnit[3. Superficie de l’unité agricole (ha)*])),"!","-"))</f>
        <v>!</v>
      </c>
      <c r="J642" s="9" t="str">
        <f ca="1">IFERROR(CONCATENATE(VLOOKUP(A642,GM_Table,12,FALSE)," ",(VLOOKUP(A642,GM_Table,13,FALSE))),"")</f>
        <v/>
      </c>
    </row>
    <row r="643" spans="1:10" ht="15" x14ac:dyDescent="0.2">
      <c r="A643" s="193" t="s">
        <v>2435</v>
      </c>
      <c r="B643" s="193" t="s">
        <v>2435</v>
      </c>
      <c r="C643" s="264">
        <v>1.45</v>
      </c>
      <c r="D643" s="265">
        <v>6.9414999999999996</v>
      </c>
      <c r="E643" s="265">
        <v>-8.0221999999999998</v>
      </c>
      <c r="F643" s="122" t="b">
        <f>IF(ISBLANK(FarmUnit[[#This Row],[1. Identifiant interne d’exploitation agricole*]]),"",IF(ISERROR(MATCH(FarmUnit[[#This Row],[1. Identifiant interne d’exploitation agricole*]],GroupMember[1. Identifiant interne d’exploitation agricole*],0)),FALSE,TRUE))</f>
        <v>1</v>
      </c>
      <c r="G643" s="4">
        <f t="shared" si="21"/>
        <v>6.9414999999999996</v>
      </c>
      <c r="H643" s="4">
        <f t="shared" si="22"/>
        <v>-8.0221999999999998</v>
      </c>
      <c r="I643" s="20" t="str">
        <f t="array" ref="I643">IF(ISBLANK(C643),"",IF(C643=MAX(IF(FarmUnit[1. Identifiant interne d’exploitation agricole*]=A643,FarmUnit[3. Superficie de l’unité agricole (ha)*])),"!","-"))</f>
        <v>!</v>
      </c>
      <c r="J643" s="9" t="str">
        <f ca="1">IFERROR(CONCATENATE(VLOOKUP(A643,GM_Table,12,FALSE)," ",(VLOOKUP(A643,GM_Table,13,FALSE))),"")</f>
        <v/>
      </c>
    </row>
    <row r="644" spans="1:10" ht="15" x14ac:dyDescent="0.2">
      <c r="A644" s="193" t="s">
        <v>2438</v>
      </c>
      <c r="B644" s="193" t="s">
        <v>2438</v>
      </c>
      <c r="C644" s="264">
        <v>1.18</v>
      </c>
      <c r="D644" s="265">
        <v>6.8898999999999999</v>
      </c>
      <c r="E644" s="265">
        <v>-7.9973000000000001</v>
      </c>
      <c r="F644" s="122" t="b">
        <f>IF(ISBLANK(FarmUnit[[#This Row],[1. Identifiant interne d’exploitation agricole*]]),"",IF(ISERROR(MATCH(FarmUnit[[#This Row],[1. Identifiant interne d’exploitation agricole*]],GroupMember[1. Identifiant interne d’exploitation agricole*],0)),FALSE,TRUE))</f>
        <v>1</v>
      </c>
      <c r="G644" s="4">
        <f t="shared" si="21"/>
        <v>6.8898999999999999</v>
      </c>
      <c r="H644" s="4">
        <f t="shared" si="22"/>
        <v>-7.9973000000000001</v>
      </c>
      <c r="I644" s="20" t="str">
        <f t="array" ref="I644">IF(ISBLANK(C644),"",IF(C644=MAX(IF(FarmUnit[1. Identifiant interne d’exploitation agricole*]=A644,FarmUnit[3. Superficie de l’unité agricole (ha)*])),"!","-"))</f>
        <v>!</v>
      </c>
      <c r="J644" s="9" t="str">
        <f ca="1">IFERROR(CONCATENATE(VLOOKUP(A644,GM_Table,12,FALSE)," ",(VLOOKUP(A644,GM_Table,13,FALSE))),"")</f>
        <v/>
      </c>
    </row>
    <row r="645" spans="1:10" ht="15" x14ac:dyDescent="0.2">
      <c r="A645" s="193" t="s">
        <v>2441</v>
      </c>
      <c r="B645" s="193" t="s">
        <v>2441</v>
      </c>
      <c r="C645" s="264">
        <v>0.93</v>
      </c>
      <c r="D645" s="265">
        <v>6.9217000000000004</v>
      </c>
      <c r="E645" s="265">
        <v>-7.9972000000000003</v>
      </c>
      <c r="F645" s="122" t="b">
        <f>IF(ISBLANK(FarmUnit[[#This Row],[1. Identifiant interne d’exploitation agricole*]]),"",IF(ISERROR(MATCH(FarmUnit[[#This Row],[1. Identifiant interne d’exploitation agricole*]],GroupMember[1. Identifiant interne d’exploitation agricole*],0)),FALSE,TRUE))</f>
        <v>1</v>
      </c>
      <c r="G645" s="4">
        <f t="shared" si="21"/>
        <v>6.9217000000000004</v>
      </c>
      <c r="H645" s="4">
        <f t="shared" si="22"/>
        <v>-7.9972000000000003</v>
      </c>
      <c r="I645" s="20" t="str">
        <f t="array" ref="I645">IF(ISBLANK(C645),"",IF(C645=MAX(IF(FarmUnit[1. Identifiant interne d’exploitation agricole*]=A645,FarmUnit[3. Superficie de l’unité agricole (ha)*])),"!","-"))</f>
        <v>!</v>
      </c>
      <c r="J645" s="9" t="str">
        <f ca="1">IFERROR(CONCATENATE(VLOOKUP(A645,GM_Table,12,FALSE)," ",(VLOOKUP(A645,GM_Table,13,FALSE))),"")</f>
        <v/>
      </c>
    </row>
    <row r="646" spans="1:10" ht="15" x14ac:dyDescent="0.2">
      <c r="A646" s="193" t="s">
        <v>2443</v>
      </c>
      <c r="B646" s="193" t="s">
        <v>2443</v>
      </c>
      <c r="C646" s="264">
        <v>2.76</v>
      </c>
      <c r="D646" s="265">
        <v>6.9291</v>
      </c>
      <c r="E646" s="265">
        <v>-8.0159000000000002</v>
      </c>
      <c r="F646" s="122" t="b">
        <f>IF(ISBLANK(FarmUnit[[#This Row],[1. Identifiant interne d’exploitation agricole*]]),"",IF(ISERROR(MATCH(FarmUnit[[#This Row],[1. Identifiant interne d’exploitation agricole*]],GroupMember[1. Identifiant interne d’exploitation agricole*],0)),FALSE,TRUE))</f>
        <v>1</v>
      </c>
      <c r="G646" s="4">
        <f t="shared" si="21"/>
        <v>6.9291</v>
      </c>
      <c r="H646" s="4">
        <f t="shared" si="22"/>
        <v>-8.0159000000000002</v>
      </c>
      <c r="I646" s="20" t="str">
        <f t="array" ref="I646">IF(ISBLANK(C646),"",IF(C646=MAX(IF(FarmUnit[1. Identifiant interne d’exploitation agricole*]=A646,FarmUnit[3. Superficie de l’unité agricole (ha)*])),"!","-"))</f>
        <v>!</v>
      </c>
      <c r="J646" s="9" t="str">
        <f ca="1">IFERROR(CONCATENATE(VLOOKUP(A646,GM_Table,12,FALSE)," ",(VLOOKUP(A646,GM_Table,13,FALSE))),"")</f>
        <v/>
      </c>
    </row>
    <row r="647" spans="1:10" ht="15" x14ac:dyDescent="0.2">
      <c r="A647" s="193" t="s">
        <v>2447</v>
      </c>
      <c r="B647" s="193" t="s">
        <v>2447</v>
      </c>
      <c r="C647" s="264">
        <v>2.54</v>
      </c>
      <c r="D647" s="265">
        <v>6.9272</v>
      </c>
      <c r="E647" s="265">
        <v>-8.0152000000000001</v>
      </c>
      <c r="F647" s="122" t="b">
        <f>IF(ISBLANK(FarmUnit[[#This Row],[1. Identifiant interne d’exploitation agricole*]]),"",IF(ISERROR(MATCH(FarmUnit[[#This Row],[1. Identifiant interne d’exploitation agricole*]],GroupMember[1. Identifiant interne d’exploitation agricole*],0)),FALSE,TRUE))</f>
        <v>1</v>
      </c>
      <c r="G647" s="4">
        <f t="shared" si="21"/>
        <v>6.9272</v>
      </c>
      <c r="H647" s="4">
        <f t="shared" si="22"/>
        <v>-8.0152000000000001</v>
      </c>
      <c r="I647" s="20" t="str">
        <f t="array" ref="I647">IF(ISBLANK(C647),"",IF(C647=MAX(IF(FarmUnit[1. Identifiant interne d’exploitation agricole*]=A647,FarmUnit[3. Superficie de l’unité agricole (ha)*])),"!","-"))</f>
        <v>!</v>
      </c>
      <c r="J647" s="9" t="str">
        <f ca="1">IFERROR(CONCATENATE(VLOOKUP(A647,GM_Table,12,FALSE)," ",(VLOOKUP(A647,GM_Table,13,FALSE))),"")</f>
        <v/>
      </c>
    </row>
    <row r="648" spans="1:10" ht="15" x14ac:dyDescent="0.2">
      <c r="A648" s="193" t="s">
        <v>2450</v>
      </c>
      <c r="B648" s="193" t="s">
        <v>2450</v>
      </c>
      <c r="C648" s="264">
        <v>2.0099999999999998</v>
      </c>
      <c r="D648" s="265">
        <v>6.9089</v>
      </c>
      <c r="E648" s="265">
        <v>-7.9898999999999996</v>
      </c>
      <c r="F648" s="122" t="b">
        <f>IF(ISBLANK(FarmUnit[[#This Row],[1. Identifiant interne d’exploitation agricole*]]),"",IF(ISERROR(MATCH(FarmUnit[[#This Row],[1. Identifiant interne d’exploitation agricole*]],GroupMember[1. Identifiant interne d’exploitation agricole*],0)),FALSE,TRUE))</f>
        <v>1</v>
      </c>
      <c r="G648" s="4">
        <f t="shared" si="21"/>
        <v>6.9089</v>
      </c>
      <c r="H648" s="4">
        <f t="shared" si="22"/>
        <v>-7.9898999999999996</v>
      </c>
      <c r="I648" s="20" t="str">
        <f t="array" ref="I648">IF(ISBLANK(C648),"",IF(C648=MAX(IF(FarmUnit[1. Identifiant interne d’exploitation agricole*]=A648,FarmUnit[3. Superficie de l’unité agricole (ha)*])),"!","-"))</f>
        <v>!</v>
      </c>
      <c r="J648" s="9" t="str">
        <f ca="1">IFERROR(CONCATENATE(VLOOKUP(A648,GM_Table,12,FALSE)," ",(VLOOKUP(A648,GM_Table,13,FALSE))),"")</f>
        <v/>
      </c>
    </row>
    <row r="649" spans="1:10" ht="15" x14ac:dyDescent="0.2">
      <c r="A649" s="193" t="s">
        <v>2454</v>
      </c>
      <c r="B649" s="193" t="s">
        <v>2454</v>
      </c>
      <c r="C649" s="264">
        <v>1.88</v>
      </c>
      <c r="D649" s="265">
        <v>6.8979999999999997</v>
      </c>
      <c r="E649" s="265">
        <v>-7.9889999999999999</v>
      </c>
      <c r="F649" s="122" t="b">
        <f>IF(ISBLANK(FarmUnit[[#This Row],[1. Identifiant interne d’exploitation agricole*]]),"",IF(ISERROR(MATCH(FarmUnit[[#This Row],[1. Identifiant interne d’exploitation agricole*]],GroupMember[1. Identifiant interne d’exploitation agricole*],0)),FALSE,TRUE))</f>
        <v>1</v>
      </c>
      <c r="G649" s="4">
        <f t="shared" si="21"/>
        <v>6.8979999999999997</v>
      </c>
      <c r="H649" s="4">
        <f t="shared" si="22"/>
        <v>-7.9889999999999999</v>
      </c>
      <c r="I649" s="20" t="str">
        <f t="array" ref="I649">IF(ISBLANK(C649),"",IF(C649=MAX(IF(FarmUnit[1. Identifiant interne d’exploitation agricole*]=A649,FarmUnit[3. Superficie de l’unité agricole (ha)*])),"!","-"))</f>
        <v>!</v>
      </c>
      <c r="J649" s="9" t="str">
        <f ca="1">IFERROR(CONCATENATE(VLOOKUP(A649,GM_Table,12,FALSE)," ",(VLOOKUP(A649,GM_Table,13,FALSE))),"")</f>
        <v/>
      </c>
    </row>
    <row r="650" spans="1:10" ht="15" x14ac:dyDescent="0.2">
      <c r="A650" s="193" t="s">
        <v>2457</v>
      </c>
      <c r="B650" s="193" t="s">
        <v>2457</v>
      </c>
      <c r="C650" s="264">
        <v>1.6</v>
      </c>
      <c r="D650" s="265">
        <v>6.9005999999999998</v>
      </c>
      <c r="E650" s="265">
        <v>-7.9892000000000003</v>
      </c>
      <c r="F650" s="122" t="b">
        <f>IF(ISBLANK(FarmUnit[[#This Row],[1. Identifiant interne d’exploitation agricole*]]),"",IF(ISERROR(MATCH(FarmUnit[[#This Row],[1. Identifiant interne d’exploitation agricole*]],GroupMember[1. Identifiant interne d’exploitation agricole*],0)),FALSE,TRUE))</f>
        <v>1</v>
      </c>
      <c r="G650" s="4">
        <f t="shared" si="21"/>
        <v>6.9005999999999998</v>
      </c>
      <c r="H650" s="4">
        <f t="shared" si="22"/>
        <v>-7.9892000000000003</v>
      </c>
      <c r="I650" s="20" t="str">
        <f t="array" ref="I650">IF(ISBLANK(C650),"",IF(C650=MAX(IF(FarmUnit[1. Identifiant interne d’exploitation agricole*]=A650,FarmUnit[3. Superficie de l’unité agricole (ha)*])),"!","-"))</f>
        <v>!</v>
      </c>
      <c r="J650" s="9" t="str">
        <f ca="1">IFERROR(CONCATENATE(VLOOKUP(A650,GM_Table,12,FALSE)," ",(VLOOKUP(A650,GM_Table,13,FALSE))),"")</f>
        <v/>
      </c>
    </row>
    <row r="651" spans="1:10" ht="15" x14ac:dyDescent="0.2">
      <c r="A651" s="193" t="s">
        <v>2460</v>
      </c>
      <c r="B651" s="193" t="s">
        <v>2460</v>
      </c>
      <c r="C651" s="264">
        <v>1.84</v>
      </c>
      <c r="D651" s="265">
        <v>6.9276999999999997</v>
      </c>
      <c r="E651" s="265">
        <v>-8.0155999999999992</v>
      </c>
      <c r="F651" s="122" t="b">
        <f>IF(ISBLANK(FarmUnit[[#This Row],[1. Identifiant interne d’exploitation agricole*]]),"",IF(ISERROR(MATCH(FarmUnit[[#This Row],[1. Identifiant interne d’exploitation agricole*]],GroupMember[1. Identifiant interne d’exploitation agricole*],0)),FALSE,TRUE))</f>
        <v>1</v>
      </c>
      <c r="G651" s="4">
        <f t="shared" si="21"/>
        <v>6.9276999999999997</v>
      </c>
      <c r="H651" s="4">
        <f t="shared" si="22"/>
        <v>-8.0155999999999992</v>
      </c>
      <c r="I651" s="20" t="str">
        <f t="array" ref="I651">IF(ISBLANK(C651),"",IF(C651=MAX(IF(FarmUnit[1. Identifiant interne d’exploitation agricole*]=A651,FarmUnit[3. Superficie de l’unité agricole (ha)*])),"!","-"))</f>
        <v>!</v>
      </c>
      <c r="J651" s="9" t="str">
        <f ca="1">IFERROR(CONCATENATE(VLOOKUP(A651,GM_Table,12,FALSE)," ",(VLOOKUP(A651,GM_Table,13,FALSE))),"")</f>
        <v/>
      </c>
    </row>
    <row r="652" spans="1:10" ht="15" x14ac:dyDescent="0.2">
      <c r="A652" s="193" t="s">
        <v>2464</v>
      </c>
      <c r="B652" s="193" t="s">
        <v>2464</v>
      </c>
      <c r="C652" s="264">
        <v>1.23</v>
      </c>
      <c r="D652" s="265">
        <v>6.9099000000000004</v>
      </c>
      <c r="E652" s="265">
        <v>-7.9938000000000002</v>
      </c>
      <c r="F652" s="122" t="b">
        <f>IF(ISBLANK(FarmUnit[[#This Row],[1. Identifiant interne d’exploitation agricole*]]),"",IF(ISERROR(MATCH(FarmUnit[[#This Row],[1. Identifiant interne d’exploitation agricole*]],GroupMember[1. Identifiant interne d’exploitation agricole*],0)),FALSE,TRUE))</f>
        <v>1</v>
      </c>
      <c r="G652" s="4">
        <f t="shared" si="21"/>
        <v>6.9099000000000004</v>
      </c>
      <c r="H652" s="4">
        <f t="shared" si="22"/>
        <v>-7.9938000000000002</v>
      </c>
      <c r="I652" s="20" t="str">
        <f t="array" ref="I652">IF(ISBLANK(C652),"",IF(C652=MAX(IF(FarmUnit[1. Identifiant interne d’exploitation agricole*]=A652,FarmUnit[3. Superficie de l’unité agricole (ha)*])),"!","-"))</f>
        <v>!</v>
      </c>
      <c r="J652" s="9" t="str">
        <f ca="1">IFERROR(CONCATENATE(VLOOKUP(A652,GM_Table,12,FALSE)," ",(VLOOKUP(A652,GM_Table,13,FALSE))),"")</f>
        <v/>
      </c>
    </row>
    <row r="653" spans="1:10" ht="15" x14ac:dyDescent="0.2">
      <c r="A653" s="193" t="s">
        <v>2465</v>
      </c>
      <c r="B653" s="193" t="s">
        <v>2465</v>
      </c>
      <c r="C653" s="264">
        <v>1.01</v>
      </c>
      <c r="D653" s="265">
        <v>6.9090999999999996</v>
      </c>
      <c r="E653" s="265">
        <v>-7.9942000000000002</v>
      </c>
      <c r="F653" s="122" t="b">
        <f>IF(ISBLANK(FarmUnit[[#This Row],[1. Identifiant interne d’exploitation agricole*]]),"",IF(ISERROR(MATCH(FarmUnit[[#This Row],[1. Identifiant interne d’exploitation agricole*]],GroupMember[1. Identifiant interne d’exploitation agricole*],0)),FALSE,TRUE))</f>
        <v>1</v>
      </c>
      <c r="G653" s="4">
        <f t="shared" si="21"/>
        <v>6.9090999999999996</v>
      </c>
      <c r="H653" s="4">
        <f t="shared" si="22"/>
        <v>-7.9942000000000002</v>
      </c>
      <c r="I653" s="20" t="str">
        <f t="array" ref="I653">IF(ISBLANK(C653),"",IF(C653=MAX(IF(FarmUnit[1. Identifiant interne d’exploitation agricole*]=A653,FarmUnit[3. Superficie de l’unité agricole (ha)*])),"!","-"))</f>
        <v>!</v>
      </c>
      <c r="J653" s="9" t="str">
        <f ca="1">IFERROR(CONCATENATE(VLOOKUP(A653,GM_Table,12,FALSE)," ",(VLOOKUP(A653,GM_Table,13,FALSE))),"")</f>
        <v/>
      </c>
    </row>
    <row r="654" spans="1:10" ht="15" x14ac:dyDescent="0.2">
      <c r="A654" s="193" t="s">
        <v>2469</v>
      </c>
      <c r="B654" s="193" t="s">
        <v>2469</v>
      </c>
      <c r="C654" s="264">
        <v>2.11</v>
      </c>
      <c r="D654" s="265">
        <v>6.8906999999999998</v>
      </c>
      <c r="E654" s="265">
        <v>-7.9867999999999997</v>
      </c>
      <c r="F654" s="122" t="b">
        <f>IF(ISBLANK(FarmUnit[[#This Row],[1. Identifiant interne d’exploitation agricole*]]),"",IF(ISERROR(MATCH(FarmUnit[[#This Row],[1. Identifiant interne d’exploitation agricole*]],GroupMember[1. Identifiant interne d’exploitation agricole*],0)),FALSE,TRUE))</f>
        <v>1</v>
      </c>
      <c r="G654" s="4">
        <f t="shared" si="21"/>
        <v>6.8906999999999998</v>
      </c>
      <c r="H654" s="4">
        <f t="shared" si="22"/>
        <v>-7.9867999999999997</v>
      </c>
      <c r="I654" s="20" t="str">
        <f t="array" ref="I654">IF(ISBLANK(C654),"",IF(C654=MAX(IF(FarmUnit[1. Identifiant interne d’exploitation agricole*]=A654,FarmUnit[3. Superficie de l’unité agricole (ha)*])),"!","-"))</f>
        <v>!</v>
      </c>
      <c r="J654" s="9" t="str">
        <f ca="1">IFERROR(CONCATENATE(VLOOKUP(A654,GM_Table,12,FALSE)," ",(VLOOKUP(A654,GM_Table,13,FALSE))),"")</f>
        <v/>
      </c>
    </row>
    <row r="655" spans="1:10" ht="15" x14ac:dyDescent="0.2">
      <c r="A655" s="193" t="s">
        <v>2472</v>
      </c>
      <c r="B655" s="193" t="s">
        <v>2472</v>
      </c>
      <c r="C655" s="264">
        <v>2.0699999999999998</v>
      </c>
      <c r="D655" s="265">
        <v>6.9181999999999997</v>
      </c>
      <c r="E655" s="265">
        <v>-8.0077999999999996</v>
      </c>
      <c r="F655" s="122" t="b">
        <f>IF(ISBLANK(FarmUnit[[#This Row],[1. Identifiant interne d’exploitation agricole*]]),"",IF(ISERROR(MATCH(FarmUnit[[#This Row],[1. Identifiant interne d’exploitation agricole*]],GroupMember[1. Identifiant interne d’exploitation agricole*],0)),FALSE,TRUE))</f>
        <v>1</v>
      </c>
      <c r="G655" s="4">
        <f t="shared" si="21"/>
        <v>6.9181999999999997</v>
      </c>
      <c r="H655" s="4">
        <f t="shared" si="22"/>
        <v>-8.0077999999999996</v>
      </c>
      <c r="I655" s="20" t="str">
        <f t="array" ref="I655">IF(ISBLANK(C655),"",IF(C655=MAX(IF(FarmUnit[1. Identifiant interne d’exploitation agricole*]=A655,FarmUnit[3. Superficie de l’unité agricole (ha)*])),"!","-"))</f>
        <v>!</v>
      </c>
      <c r="J655" s="9" t="str">
        <f ca="1">IFERROR(CONCATENATE(VLOOKUP(A655,GM_Table,12,FALSE)," ",(VLOOKUP(A655,GM_Table,13,FALSE))),"")</f>
        <v/>
      </c>
    </row>
    <row r="656" spans="1:10" ht="15" x14ac:dyDescent="0.2">
      <c r="A656" s="193" t="s">
        <v>2475</v>
      </c>
      <c r="B656" s="193" t="s">
        <v>2475</v>
      </c>
      <c r="C656" s="264">
        <v>4.04</v>
      </c>
      <c r="D656" s="265">
        <v>6.9199000000000002</v>
      </c>
      <c r="E656" s="265">
        <v>-8.0088000000000008</v>
      </c>
      <c r="F656" s="122" t="b">
        <f>IF(ISBLANK(FarmUnit[[#This Row],[1. Identifiant interne d’exploitation agricole*]]),"",IF(ISERROR(MATCH(FarmUnit[[#This Row],[1. Identifiant interne d’exploitation agricole*]],GroupMember[1. Identifiant interne d’exploitation agricole*],0)),FALSE,TRUE))</f>
        <v>1</v>
      </c>
      <c r="G656" s="4">
        <f t="shared" si="21"/>
        <v>6.9199000000000002</v>
      </c>
      <c r="H656" s="4">
        <f t="shared" si="22"/>
        <v>-8.0088000000000008</v>
      </c>
      <c r="I656" s="20" t="str">
        <f t="array" ref="I656">IF(ISBLANK(C656),"",IF(C656=MAX(IF(FarmUnit[1. Identifiant interne d’exploitation agricole*]=A656,FarmUnit[3. Superficie de l’unité agricole (ha)*])),"!","-"))</f>
        <v>!</v>
      </c>
      <c r="J656" s="9" t="str">
        <f ca="1">IFERROR(CONCATENATE(VLOOKUP(A656,GM_Table,12,FALSE)," ",(VLOOKUP(A656,GM_Table,13,FALSE))),"")</f>
        <v/>
      </c>
    </row>
    <row r="657" spans="1:10" ht="15" x14ac:dyDescent="0.2">
      <c r="A657" s="193" t="s">
        <v>2478</v>
      </c>
      <c r="B657" s="193" t="s">
        <v>2478</v>
      </c>
      <c r="C657" s="264">
        <v>4.26</v>
      </c>
      <c r="D657" s="265">
        <v>6.9219999999999997</v>
      </c>
      <c r="E657" s="265">
        <v>-8.0076000000000001</v>
      </c>
      <c r="F657" s="122" t="b">
        <f>IF(ISBLANK(FarmUnit[[#This Row],[1. Identifiant interne d’exploitation agricole*]]),"",IF(ISERROR(MATCH(FarmUnit[[#This Row],[1. Identifiant interne d’exploitation agricole*]],GroupMember[1. Identifiant interne d’exploitation agricole*],0)),FALSE,TRUE))</f>
        <v>1</v>
      </c>
      <c r="G657" s="4">
        <f t="shared" si="21"/>
        <v>6.9219999999999997</v>
      </c>
      <c r="H657" s="4">
        <f t="shared" si="22"/>
        <v>-8.0076000000000001</v>
      </c>
      <c r="I657" s="20" t="str">
        <f t="array" ref="I657">IF(ISBLANK(C657),"",IF(C657=MAX(IF(FarmUnit[1. Identifiant interne d’exploitation agricole*]=A657,FarmUnit[3. Superficie de l’unité agricole (ha)*])),"!","-"))</f>
        <v>!</v>
      </c>
      <c r="J657" s="9" t="str">
        <f ca="1">IFERROR(CONCATENATE(VLOOKUP(A657,GM_Table,12,FALSE)," ",(VLOOKUP(A657,GM_Table,13,FALSE))),"")</f>
        <v/>
      </c>
    </row>
    <row r="658" spans="1:10" ht="15" x14ac:dyDescent="0.2">
      <c r="A658" s="193" t="s">
        <v>2481</v>
      </c>
      <c r="B658" s="193" t="s">
        <v>2481</v>
      </c>
      <c r="C658" s="264">
        <v>2.0099999999999998</v>
      </c>
      <c r="D658" s="265">
        <v>6.9225000000000003</v>
      </c>
      <c r="E658" s="265">
        <v>-8.0075000000000003</v>
      </c>
      <c r="F658" s="122" t="b">
        <f>IF(ISBLANK(FarmUnit[[#This Row],[1. Identifiant interne d’exploitation agricole*]]),"",IF(ISERROR(MATCH(FarmUnit[[#This Row],[1. Identifiant interne d’exploitation agricole*]],GroupMember[1. Identifiant interne d’exploitation agricole*],0)),FALSE,TRUE))</f>
        <v>1</v>
      </c>
      <c r="G658" s="4">
        <f t="shared" si="21"/>
        <v>6.9225000000000003</v>
      </c>
      <c r="H658" s="4">
        <f t="shared" si="22"/>
        <v>-8.0075000000000003</v>
      </c>
      <c r="I658" s="20" t="str">
        <f t="array" ref="I658">IF(ISBLANK(C658),"",IF(C658=MAX(IF(FarmUnit[1. Identifiant interne d’exploitation agricole*]=A658,FarmUnit[3. Superficie de l’unité agricole (ha)*])),"!","-"))</f>
        <v>!</v>
      </c>
      <c r="J658" s="9" t="str">
        <f ca="1">IFERROR(CONCATENATE(VLOOKUP(A658,GM_Table,12,FALSE)," ",(VLOOKUP(A658,GM_Table,13,FALSE))),"")</f>
        <v/>
      </c>
    </row>
    <row r="659" spans="1:10" ht="15" x14ac:dyDescent="0.2">
      <c r="A659" s="193" t="s">
        <v>2483</v>
      </c>
      <c r="B659" s="193" t="s">
        <v>2483</v>
      </c>
      <c r="C659" s="264">
        <v>1.46</v>
      </c>
      <c r="D659" s="265">
        <v>6.9173999999999998</v>
      </c>
      <c r="E659" s="265">
        <v>-8.0096000000000007</v>
      </c>
      <c r="F659" s="122" t="b">
        <f>IF(ISBLANK(FarmUnit[[#This Row],[1. Identifiant interne d’exploitation agricole*]]),"",IF(ISERROR(MATCH(FarmUnit[[#This Row],[1. Identifiant interne d’exploitation agricole*]],GroupMember[1. Identifiant interne d’exploitation agricole*],0)),FALSE,TRUE))</f>
        <v>1</v>
      </c>
      <c r="G659" s="4">
        <f t="shared" si="21"/>
        <v>6.9173999999999998</v>
      </c>
      <c r="H659" s="4">
        <f t="shared" si="22"/>
        <v>-8.0096000000000007</v>
      </c>
      <c r="I659" s="20" t="str">
        <f t="array" ref="I659">IF(ISBLANK(C659),"",IF(C659=MAX(IF(FarmUnit[1. Identifiant interne d’exploitation agricole*]=A659,FarmUnit[3. Superficie de l’unité agricole (ha)*])),"!","-"))</f>
        <v>!</v>
      </c>
      <c r="J659" s="9" t="str">
        <f ca="1">IFERROR(CONCATENATE(VLOOKUP(A659,GM_Table,12,FALSE)," ",(VLOOKUP(A659,GM_Table,13,FALSE))),"")</f>
        <v/>
      </c>
    </row>
    <row r="660" spans="1:10" ht="15" x14ac:dyDescent="0.2">
      <c r="A660" s="193" t="s">
        <v>2486</v>
      </c>
      <c r="B660" s="193" t="s">
        <v>2486</v>
      </c>
      <c r="C660" s="264">
        <v>4.09</v>
      </c>
      <c r="D660" s="265">
        <v>6.9362000000000004</v>
      </c>
      <c r="E660" s="265">
        <v>-8.0100999999999996</v>
      </c>
      <c r="F660" s="122" t="b">
        <f>IF(ISBLANK(FarmUnit[[#This Row],[1. Identifiant interne d’exploitation agricole*]]),"",IF(ISERROR(MATCH(FarmUnit[[#This Row],[1. Identifiant interne d’exploitation agricole*]],GroupMember[1. Identifiant interne d’exploitation agricole*],0)),FALSE,TRUE))</f>
        <v>1</v>
      </c>
      <c r="G660" s="4">
        <f t="shared" si="21"/>
        <v>6.9362000000000004</v>
      </c>
      <c r="H660" s="4">
        <f t="shared" si="22"/>
        <v>-8.0100999999999996</v>
      </c>
      <c r="I660" s="20" t="str">
        <f t="array" ref="I660">IF(ISBLANK(C660),"",IF(C660=MAX(IF(FarmUnit[1. Identifiant interne d’exploitation agricole*]=A660,FarmUnit[3. Superficie de l’unité agricole (ha)*])),"!","-"))</f>
        <v>!</v>
      </c>
      <c r="J660" s="9" t="str">
        <f ca="1">IFERROR(CONCATENATE(VLOOKUP(A660,GM_Table,12,FALSE)," ",(VLOOKUP(A660,GM_Table,13,FALSE))),"")</f>
        <v/>
      </c>
    </row>
    <row r="661" spans="1:10" ht="15" x14ac:dyDescent="0.2">
      <c r="A661" s="193" t="s">
        <v>2488</v>
      </c>
      <c r="B661" s="193" t="s">
        <v>2488</v>
      </c>
      <c r="C661" s="264">
        <v>6.2</v>
      </c>
      <c r="D661" s="265">
        <v>6.9321999999999999</v>
      </c>
      <c r="E661" s="265">
        <v>-8.0091000000000001</v>
      </c>
      <c r="F661" s="122" t="b">
        <f>IF(ISBLANK(FarmUnit[[#This Row],[1. Identifiant interne d’exploitation agricole*]]),"",IF(ISERROR(MATCH(FarmUnit[[#This Row],[1. Identifiant interne d’exploitation agricole*]],GroupMember[1. Identifiant interne d’exploitation agricole*],0)),FALSE,TRUE))</f>
        <v>1</v>
      </c>
      <c r="G661" s="4">
        <f t="shared" si="21"/>
        <v>6.9321999999999999</v>
      </c>
      <c r="H661" s="4">
        <f t="shared" si="22"/>
        <v>-8.0091000000000001</v>
      </c>
      <c r="I661" s="20" t="str">
        <f t="array" ref="I661">IF(ISBLANK(C661),"",IF(C661=MAX(IF(FarmUnit[1. Identifiant interne d’exploitation agricole*]=A661,FarmUnit[3. Superficie de l’unité agricole (ha)*])),"!","-"))</f>
        <v>!</v>
      </c>
      <c r="J661" s="9" t="str">
        <f ca="1">IFERROR(CONCATENATE(VLOOKUP(A661,GM_Table,12,FALSE)," ",(VLOOKUP(A661,GM_Table,13,FALSE))),"")</f>
        <v/>
      </c>
    </row>
    <row r="662" spans="1:10" ht="15" x14ac:dyDescent="0.2">
      <c r="A662" s="193" t="s">
        <v>2491</v>
      </c>
      <c r="B662" s="193" t="s">
        <v>2491</v>
      </c>
      <c r="C662" s="264">
        <v>4.95</v>
      </c>
      <c r="D662" s="265">
        <v>6.9595000000000002</v>
      </c>
      <c r="E662" s="265">
        <v>-8.0051000000000005</v>
      </c>
      <c r="F662" s="122" t="b">
        <f>IF(ISBLANK(FarmUnit[[#This Row],[1. Identifiant interne d’exploitation agricole*]]),"",IF(ISERROR(MATCH(FarmUnit[[#This Row],[1. Identifiant interne d’exploitation agricole*]],GroupMember[1. Identifiant interne d’exploitation agricole*],0)),FALSE,TRUE))</f>
        <v>1</v>
      </c>
      <c r="G662" s="4">
        <f t="shared" si="21"/>
        <v>6.9595000000000002</v>
      </c>
      <c r="H662" s="4">
        <f t="shared" si="22"/>
        <v>-8.0051000000000005</v>
      </c>
      <c r="I662" s="20" t="str">
        <f t="array" ref="I662">IF(ISBLANK(C662),"",IF(C662=MAX(IF(FarmUnit[1. Identifiant interne d’exploitation agricole*]=A662,FarmUnit[3. Superficie de l’unité agricole (ha)*])),"!","-"))</f>
        <v>!</v>
      </c>
      <c r="J662" s="9" t="str">
        <f ca="1">IFERROR(CONCATENATE(VLOOKUP(A662,GM_Table,12,FALSE)," ",(VLOOKUP(A662,GM_Table,13,FALSE))),"")</f>
        <v/>
      </c>
    </row>
    <row r="663" spans="1:10" ht="15" x14ac:dyDescent="0.2">
      <c r="A663" s="193" t="s">
        <v>2494</v>
      </c>
      <c r="B663" s="193" t="s">
        <v>2494</v>
      </c>
      <c r="C663" s="264">
        <v>1.46</v>
      </c>
      <c r="D663" s="265">
        <v>6.9150999999999998</v>
      </c>
      <c r="E663" s="265">
        <v>-7.9901999999999997</v>
      </c>
      <c r="F663" s="122" t="b">
        <f>IF(ISBLANK(FarmUnit[[#This Row],[1. Identifiant interne d’exploitation agricole*]]),"",IF(ISERROR(MATCH(FarmUnit[[#This Row],[1. Identifiant interne d’exploitation agricole*]],GroupMember[1. Identifiant interne d’exploitation agricole*],0)),FALSE,TRUE))</f>
        <v>1</v>
      </c>
      <c r="G663" s="4">
        <f t="shared" si="21"/>
        <v>6.9150999999999998</v>
      </c>
      <c r="H663" s="4">
        <f t="shared" si="22"/>
        <v>-7.9901999999999997</v>
      </c>
      <c r="I663" s="20" t="str">
        <f t="array" ref="I663">IF(ISBLANK(C663),"",IF(C663=MAX(IF(FarmUnit[1. Identifiant interne d’exploitation agricole*]=A663,FarmUnit[3. Superficie de l’unité agricole (ha)*])),"!","-"))</f>
        <v>!</v>
      </c>
      <c r="J663" s="9" t="str">
        <f ca="1">IFERROR(CONCATENATE(VLOOKUP(A663,GM_Table,12,FALSE)," ",(VLOOKUP(A663,GM_Table,13,FALSE))),"")</f>
        <v/>
      </c>
    </row>
    <row r="664" spans="1:10" ht="15" x14ac:dyDescent="0.2">
      <c r="A664" s="193" t="s">
        <v>2498</v>
      </c>
      <c r="B664" s="193" t="s">
        <v>2498</v>
      </c>
      <c r="C664" s="264">
        <v>3.73</v>
      </c>
      <c r="D664" s="265">
        <v>6.8917000000000002</v>
      </c>
      <c r="E664" s="265">
        <v>-7.9970999999999997</v>
      </c>
      <c r="F664" s="122" t="b">
        <f>IF(ISBLANK(FarmUnit[[#This Row],[1. Identifiant interne d’exploitation agricole*]]),"",IF(ISERROR(MATCH(FarmUnit[[#This Row],[1. Identifiant interne d’exploitation agricole*]],GroupMember[1. Identifiant interne d’exploitation agricole*],0)),FALSE,TRUE))</f>
        <v>1</v>
      </c>
      <c r="G664" s="4">
        <f t="shared" si="21"/>
        <v>6.8917000000000002</v>
      </c>
      <c r="H664" s="4">
        <f t="shared" si="22"/>
        <v>-7.9970999999999997</v>
      </c>
      <c r="I664" s="20" t="str">
        <f t="array" ref="I664">IF(ISBLANK(C664),"",IF(C664=MAX(IF(FarmUnit[1. Identifiant interne d’exploitation agricole*]=A664,FarmUnit[3. Superficie de l’unité agricole (ha)*])),"!","-"))</f>
        <v>!</v>
      </c>
      <c r="J664" s="9" t="str">
        <f ca="1">IFERROR(CONCATENATE(VLOOKUP(A664,GM_Table,12,FALSE)," ",(VLOOKUP(A664,GM_Table,13,FALSE))),"")</f>
        <v/>
      </c>
    </row>
    <row r="665" spans="1:10" ht="15" x14ac:dyDescent="0.2">
      <c r="A665" s="193" t="s">
        <v>2500</v>
      </c>
      <c r="B665" s="193" t="s">
        <v>2500</v>
      </c>
      <c r="C665" s="264">
        <v>1.87</v>
      </c>
      <c r="D665" s="265">
        <v>6.8978000000000002</v>
      </c>
      <c r="E665" s="265">
        <v>-7.9934000000000003</v>
      </c>
      <c r="F665" s="122" t="b">
        <f>IF(ISBLANK(FarmUnit[[#This Row],[1. Identifiant interne d’exploitation agricole*]]),"",IF(ISERROR(MATCH(FarmUnit[[#This Row],[1. Identifiant interne d’exploitation agricole*]],GroupMember[1. Identifiant interne d’exploitation agricole*],0)),FALSE,TRUE))</f>
        <v>1</v>
      </c>
      <c r="G665" s="4">
        <f t="shared" si="21"/>
        <v>6.8978000000000002</v>
      </c>
      <c r="H665" s="4">
        <f t="shared" si="22"/>
        <v>-7.9934000000000003</v>
      </c>
      <c r="I665" s="20" t="str">
        <f t="array" ref="I665">IF(ISBLANK(C665),"",IF(C665=MAX(IF(FarmUnit[1. Identifiant interne d’exploitation agricole*]=A665,FarmUnit[3. Superficie de l’unité agricole (ha)*])),"!","-"))</f>
        <v>!</v>
      </c>
      <c r="J665" s="9" t="str">
        <f ca="1">IFERROR(CONCATENATE(VLOOKUP(A665,GM_Table,12,FALSE)," ",(VLOOKUP(A665,GM_Table,13,FALSE))),"")</f>
        <v/>
      </c>
    </row>
    <row r="666" spans="1:10" ht="15" x14ac:dyDescent="0.2">
      <c r="A666" s="193" t="s">
        <v>2504</v>
      </c>
      <c r="B666" s="193" t="s">
        <v>2504</v>
      </c>
      <c r="C666" s="264">
        <v>1.84</v>
      </c>
      <c r="D666" s="265">
        <v>6.8977000000000004</v>
      </c>
      <c r="E666" s="265">
        <v>-7.9935999999999998</v>
      </c>
      <c r="F666" s="122" t="b">
        <f>IF(ISBLANK(FarmUnit[[#This Row],[1. Identifiant interne d’exploitation agricole*]]),"",IF(ISERROR(MATCH(FarmUnit[[#This Row],[1. Identifiant interne d’exploitation agricole*]],GroupMember[1. Identifiant interne d’exploitation agricole*],0)),FALSE,TRUE))</f>
        <v>1</v>
      </c>
      <c r="G666" s="4">
        <f t="shared" si="21"/>
        <v>6.8977000000000004</v>
      </c>
      <c r="H666" s="4">
        <f t="shared" si="22"/>
        <v>-7.9935999999999998</v>
      </c>
      <c r="I666" s="20" t="str">
        <f t="array" ref="I666">IF(ISBLANK(C666),"",IF(C666=MAX(IF(FarmUnit[1. Identifiant interne d’exploitation agricole*]=A666,FarmUnit[3. Superficie de l’unité agricole (ha)*])),"!","-"))</f>
        <v>!</v>
      </c>
      <c r="J666" s="9" t="str">
        <f ca="1">IFERROR(CONCATENATE(VLOOKUP(A666,GM_Table,12,FALSE)," ",(VLOOKUP(A666,GM_Table,13,FALSE))),"")</f>
        <v/>
      </c>
    </row>
    <row r="667" spans="1:10" ht="15" x14ac:dyDescent="0.2">
      <c r="A667" s="193" t="s">
        <v>2506</v>
      </c>
      <c r="B667" s="193" t="s">
        <v>2506</v>
      </c>
      <c r="C667" s="264">
        <v>2.31</v>
      </c>
      <c r="D667" s="265">
        <v>6.9169</v>
      </c>
      <c r="E667" s="265">
        <v>-8.0106999999999999</v>
      </c>
      <c r="F667" s="122" t="b">
        <f>IF(ISBLANK(FarmUnit[[#This Row],[1. Identifiant interne d’exploitation agricole*]]),"",IF(ISERROR(MATCH(FarmUnit[[#This Row],[1. Identifiant interne d’exploitation agricole*]],GroupMember[1. Identifiant interne d’exploitation agricole*],0)),FALSE,TRUE))</f>
        <v>1</v>
      </c>
      <c r="G667" s="4">
        <f t="shared" si="21"/>
        <v>6.9169</v>
      </c>
      <c r="H667" s="4">
        <f t="shared" si="22"/>
        <v>-8.0106999999999999</v>
      </c>
      <c r="I667" s="20" t="str">
        <f t="array" ref="I667">IF(ISBLANK(C667),"",IF(C667=MAX(IF(FarmUnit[1. Identifiant interne d’exploitation agricole*]=A667,FarmUnit[3. Superficie de l’unité agricole (ha)*])),"!","-"))</f>
        <v>!</v>
      </c>
      <c r="J667" s="9" t="str">
        <f ca="1">IFERROR(CONCATENATE(VLOOKUP(A667,GM_Table,12,FALSE)," ",(VLOOKUP(A667,GM_Table,13,FALSE))),"")</f>
        <v/>
      </c>
    </row>
    <row r="668" spans="1:10" ht="15" x14ac:dyDescent="0.2">
      <c r="A668" s="193" t="s">
        <v>2509</v>
      </c>
      <c r="B668" s="193" t="s">
        <v>2509</v>
      </c>
      <c r="C668" s="264">
        <v>2.35</v>
      </c>
      <c r="D668" s="265">
        <v>6.9184999999999999</v>
      </c>
      <c r="E668" s="265">
        <v>-8.0127000000000006</v>
      </c>
      <c r="F668" s="122" t="b">
        <f>IF(ISBLANK(FarmUnit[[#This Row],[1. Identifiant interne d’exploitation agricole*]]),"",IF(ISERROR(MATCH(FarmUnit[[#This Row],[1. Identifiant interne d’exploitation agricole*]],GroupMember[1. Identifiant interne d’exploitation agricole*],0)),FALSE,TRUE))</f>
        <v>1</v>
      </c>
      <c r="G668" s="4">
        <f t="shared" si="21"/>
        <v>6.9184999999999999</v>
      </c>
      <c r="H668" s="4">
        <f t="shared" si="22"/>
        <v>-8.0127000000000006</v>
      </c>
      <c r="I668" s="20" t="str">
        <f t="array" ref="I668">IF(ISBLANK(C668),"",IF(C668=MAX(IF(FarmUnit[1. Identifiant interne d’exploitation agricole*]=A668,FarmUnit[3. Superficie de l’unité agricole (ha)*])),"!","-"))</f>
        <v>!</v>
      </c>
      <c r="J668" s="9" t="str">
        <f ca="1">IFERROR(CONCATENATE(VLOOKUP(A668,GM_Table,12,FALSE)," ",(VLOOKUP(A668,GM_Table,13,FALSE))),"")</f>
        <v/>
      </c>
    </row>
    <row r="669" spans="1:10" ht="15" x14ac:dyDescent="0.2">
      <c r="A669" s="193" t="s">
        <v>2513</v>
      </c>
      <c r="B669" s="193" t="s">
        <v>2513</v>
      </c>
      <c r="C669" s="264">
        <v>1.99</v>
      </c>
      <c r="D669" s="265">
        <v>6.9112</v>
      </c>
      <c r="E669" s="265">
        <v>-7.9985999999999997</v>
      </c>
      <c r="F669" s="122" t="b">
        <f>IF(ISBLANK(FarmUnit[[#This Row],[1. Identifiant interne d’exploitation agricole*]]),"",IF(ISERROR(MATCH(FarmUnit[[#This Row],[1. Identifiant interne d’exploitation agricole*]],GroupMember[1. Identifiant interne d’exploitation agricole*],0)),FALSE,TRUE))</f>
        <v>1</v>
      </c>
      <c r="G669" s="4">
        <f t="shared" si="21"/>
        <v>6.9112</v>
      </c>
      <c r="H669" s="4">
        <f t="shared" si="22"/>
        <v>-7.9985999999999997</v>
      </c>
      <c r="I669" s="20" t="str">
        <f t="array" ref="I669">IF(ISBLANK(C669),"",IF(C669=MAX(IF(FarmUnit[1. Identifiant interne d’exploitation agricole*]=A669,FarmUnit[3. Superficie de l’unité agricole (ha)*])),"!","-"))</f>
        <v>!</v>
      </c>
      <c r="J669" s="9" t="str">
        <f ca="1">IFERROR(CONCATENATE(VLOOKUP(A669,GM_Table,12,FALSE)," ",(VLOOKUP(A669,GM_Table,13,FALSE))),"")</f>
        <v/>
      </c>
    </row>
    <row r="670" spans="1:10" ht="15" x14ac:dyDescent="0.2">
      <c r="A670" s="193" t="s">
        <v>2515</v>
      </c>
      <c r="B670" s="193" t="s">
        <v>2515</v>
      </c>
      <c r="C670" s="264">
        <v>6.96</v>
      </c>
      <c r="D670" s="265">
        <v>6.899</v>
      </c>
      <c r="E670" s="265">
        <v>-7.9890999999999996</v>
      </c>
      <c r="F670" s="122" t="b">
        <f>IF(ISBLANK(FarmUnit[[#This Row],[1. Identifiant interne d’exploitation agricole*]]),"",IF(ISERROR(MATCH(FarmUnit[[#This Row],[1. Identifiant interne d’exploitation agricole*]],GroupMember[1. Identifiant interne d’exploitation agricole*],0)),FALSE,TRUE))</f>
        <v>1</v>
      </c>
      <c r="G670" s="4">
        <f t="shared" si="21"/>
        <v>6.899</v>
      </c>
      <c r="H670" s="4">
        <f t="shared" si="22"/>
        <v>-7.9890999999999996</v>
      </c>
      <c r="I670" s="20" t="str">
        <f t="array" ref="I670">IF(ISBLANK(C670),"",IF(C670=MAX(IF(FarmUnit[1. Identifiant interne d’exploitation agricole*]=A670,FarmUnit[3. Superficie de l’unité agricole (ha)*])),"!","-"))</f>
        <v>!</v>
      </c>
      <c r="J670" s="9" t="str">
        <f ca="1">IFERROR(CONCATENATE(VLOOKUP(A670,GM_Table,12,FALSE)," ",(VLOOKUP(A670,GM_Table,13,FALSE))),"")</f>
        <v/>
      </c>
    </row>
    <row r="671" spans="1:10" ht="15" x14ac:dyDescent="0.2">
      <c r="A671" s="193" t="s">
        <v>2517</v>
      </c>
      <c r="B671" s="193" t="s">
        <v>2517</v>
      </c>
      <c r="C671" s="264">
        <v>1.53</v>
      </c>
      <c r="D671" s="265">
        <v>6.9267000000000003</v>
      </c>
      <c r="E671" s="265">
        <v>-7.9908999999999999</v>
      </c>
      <c r="F671" s="122" t="b">
        <f>IF(ISBLANK(FarmUnit[[#This Row],[1. Identifiant interne d’exploitation agricole*]]),"",IF(ISERROR(MATCH(FarmUnit[[#This Row],[1. Identifiant interne d’exploitation agricole*]],GroupMember[1. Identifiant interne d’exploitation agricole*],0)),FALSE,TRUE))</f>
        <v>1</v>
      </c>
      <c r="G671" s="4">
        <f t="shared" si="21"/>
        <v>6.9267000000000003</v>
      </c>
      <c r="H671" s="4">
        <f t="shared" si="22"/>
        <v>-7.9908999999999999</v>
      </c>
      <c r="I671" s="20" t="str">
        <f t="array" ref="I671">IF(ISBLANK(C671),"",IF(C671=MAX(IF(FarmUnit[1. Identifiant interne d’exploitation agricole*]=A671,FarmUnit[3. Superficie de l’unité agricole (ha)*])),"!","-"))</f>
        <v>!</v>
      </c>
      <c r="J671" s="9" t="str">
        <f ca="1">IFERROR(CONCATENATE(VLOOKUP(A671,GM_Table,12,FALSE)," ",(VLOOKUP(A671,GM_Table,13,FALSE))),"")</f>
        <v/>
      </c>
    </row>
    <row r="672" spans="1:10" ht="15" x14ac:dyDescent="0.2">
      <c r="A672" s="193" t="s">
        <v>2519</v>
      </c>
      <c r="B672" s="193" t="s">
        <v>2519</v>
      </c>
      <c r="C672" s="264">
        <v>1.87</v>
      </c>
      <c r="D672" s="265">
        <v>6.9054000000000002</v>
      </c>
      <c r="E672" s="265">
        <v>-7.9920999999999998</v>
      </c>
      <c r="F672" s="122" t="b">
        <f>IF(ISBLANK(FarmUnit[[#This Row],[1. Identifiant interne d’exploitation agricole*]]),"",IF(ISERROR(MATCH(FarmUnit[[#This Row],[1. Identifiant interne d’exploitation agricole*]],GroupMember[1. Identifiant interne d’exploitation agricole*],0)),FALSE,TRUE))</f>
        <v>1</v>
      </c>
      <c r="G672" s="4">
        <f t="shared" si="21"/>
        <v>6.9054000000000002</v>
      </c>
      <c r="H672" s="4">
        <f t="shared" si="22"/>
        <v>-7.9920999999999998</v>
      </c>
      <c r="I672" s="20" t="str">
        <f t="array" ref="I672">IF(ISBLANK(C672),"",IF(C672=MAX(IF(FarmUnit[1. Identifiant interne d’exploitation agricole*]=A672,FarmUnit[3. Superficie de l’unité agricole (ha)*])),"!","-"))</f>
        <v>!</v>
      </c>
      <c r="J672" s="9" t="str">
        <f ca="1">IFERROR(CONCATENATE(VLOOKUP(A672,GM_Table,12,FALSE)," ",(VLOOKUP(A672,GM_Table,13,FALSE))),"")</f>
        <v/>
      </c>
    </row>
    <row r="673" spans="1:10" ht="15" x14ac:dyDescent="0.2">
      <c r="A673" s="193" t="s">
        <v>2522</v>
      </c>
      <c r="B673" s="193" t="s">
        <v>2522</v>
      </c>
      <c r="C673" s="264">
        <v>2.37</v>
      </c>
      <c r="D673" s="265">
        <v>6.9226999999999999</v>
      </c>
      <c r="E673" s="265">
        <v>-8.0119000000000007</v>
      </c>
      <c r="F673" s="122" t="b">
        <f>IF(ISBLANK(FarmUnit[[#This Row],[1. Identifiant interne d’exploitation agricole*]]),"",IF(ISERROR(MATCH(FarmUnit[[#This Row],[1. Identifiant interne d’exploitation agricole*]],GroupMember[1. Identifiant interne d’exploitation agricole*],0)),FALSE,TRUE))</f>
        <v>1</v>
      </c>
      <c r="G673" s="4">
        <f t="shared" si="21"/>
        <v>6.9226999999999999</v>
      </c>
      <c r="H673" s="4">
        <f t="shared" si="22"/>
        <v>-8.0119000000000007</v>
      </c>
      <c r="I673" s="20" t="str">
        <f t="array" ref="I673">IF(ISBLANK(C673),"",IF(C673=MAX(IF(FarmUnit[1. Identifiant interne d’exploitation agricole*]=A673,FarmUnit[3. Superficie de l’unité agricole (ha)*])),"!","-"))</f>
        <v>!</v>
      </c>
      <c r="J673" s="9" t="str">
        <f ca="1">IFERROR(CONCATENATE(VLOOKUP(A673,GM_Table,12,FALSE)," ",(VLOOKUP(A673,GM_Table,13,FALSE))),"")</f>
        <v/>
      </c>
    </row>
    <row r="674" spans="1:10" ht="15" x14ac:dyDescent="0.2">
      <c r="A674" s="193" t="s">
        <v>2525</v>
      </c>
      <c r="B674" s="193" t="s">
        <v>2525</v>
      </c>
      <c r="C674" s="264">
        <v>2.95</v>
      </c>
      <c r="D674" s="265">
        <v>6.8998999999999997</v>
      </c>
      <c r="E674" s="265">
        <v>-7.9535</v>
      </c>
      <c r="F674" s="122" t="b">
        <f>IF(ISBLANK(FarmUnit[[#This Row],[1. Identifiant interne d’exploitation agricole*]]),"",IF(ISERROR(MATCH(FarmUnit[[#This Row],[1. Identifiant interne d’exploitation agricole*]],GroupMember[1. Identifiant interne d’exploitation agricole*],0)),FALSE,TRUE))</f>
        <v>1</v>
      </c>
      <c r="G674" s="4">
        <f t="shared" si="21"/>
        <v>6.8998999999999997</v>
      </c>
      <c r="H674" s="4">
        <f t="shared" si="22"/>
        <v>-7.9535</v>
      </c>
      <c r="I674" s="20" t="str">
        <f t="array" ref="I674">IF(ISBLANK(C674),"",IF(C674=MAX(IF(FarmUnit[1. Identifiant interne d’exploitation agricole*]=A674,FarmUnit[3. Superficie de l’unité agricole (ha)*])),"!","-"))</f>
        <v>!</v>
      </c>
      <c r="J674" s="9" t="str">
        <f ca="1">IFERROR(CONCATENATE(VLOOKUP(A674,GM_Table,12,FALSE)," ",(VLOOKUP(A674,GM_Table,13,FALSE))),"")</f>
        <v/>
      </c>
    </row>
    <row r="675" spans="1:10" ht="15" x14ac:dyDescent="0.2">
      <c r="A675" s="193" t="s">
        <v>2529</v>
      </c>
      <c r="B675" s="193" t="s">
        <v>2529</v>
      </c>
      <c r="C675" s="264">
        <v>0.93</v>
      </c>
      <c r="D675" s="265">
        <v>6.9322999999999997</v>
      </c>
      <c r="E675" s="265">
        <v>-7.9569000000000001</v>
      </c>
      <c r="F675" s="122" t="b">
        <f>IF(ISBLANK(FarmUnit[[#This Row],[1. Identifiant interne d’exploitation agricole*]]),"",IF(ISERROR(MATCH(FarmUnit[[#This Row],[1. Identifiant interne d’exploitation agricole*]],GroupMember[1. Identifiant interne d’exploitation agricole*],0)),FALSE,TRUE))</f>
        <v>1</v>
      </c>
      <c r="G675" s="4">
        <f t="shared" si="21"/>
        <v>6.9322999999999997</v>
      </c>
      <c r="H675" s="4">
        <f t="shared" si="22"/>
        <v>-7.9569000000000001</v>
      </c>
      <c r="I675" s="20" t="str">
        <f t="array" ref="I675">IF(ISBLANK(C675),"",IF(C675=MAX(IF(FarmUnit[1. Identifiant interne d’exploitation agricole*]=A675,FarmUnit[3. Superficie de l’unité agricole (ha)*])),"!","-"))</f>
        <v>!</v>
      </c>
      <c r="J675" s="9" t="str">
        <f ca="1">IFERROR(CONCATENATE(VLOOKUP(A675,GM_Table,12,FALSE)," ",(VLOOKUP(A675,GM_Table,13,FALSE))),"")</f>
        <v/>
      </c>
    </row>
    <row r="676" spans="1:10" ht="15" x14ac:dyDescent="0.2">
      <c r="A676" s="193" t="s">
        <v>2532</v>
      </c>
      <c r="B676" s="193" t="s">
        <v>2532</v>
      </c>
      <c r="C676" s="264">
        <v>1.05</v>
      </c>
      <c r="D676" s="265">
        <v>6.8975999999999997</v>
      </c>
      <c r="E676" s="265">
        <v>-7.9722</v>
      </c>
      <c r="F676" s="122" t="b">
        <f>IF(ISBLANK(FarmUnit[[#This Row],[1. Identifiant interne d’exploitation agricole*]]),"",IF(ISERROR(MATCH(FarmUnit[[#This Row],[1. Identifiant interne d’exploitation agricole*]],GroupMember[1. Identifiant interne d’exploitation agricole*],0)),FALSE,TRUE))</f>
        <v>1</v>
      </c>
      <c r="G676" s="4">
        <f t="shared" si="21"/>
        <v>6.8975999999999997</v>
      </c>
      <c r="H676" s="4">
        <f t="shared" si="22"/>
        <v>-7.9722</v>
      </c>
      <c r="I676" s="20" t="str">
        <f t="array" ref="I676">IF(ISBLANK(C676),"",IF(C676=MAX(IF(FarmUnit[1. Identifiant interne d’exploitation agricole*]=A676,FarmUnit[3. Superficie de l’unité agricole (ha)*])),"!","-"))</f>
        <v>!</v>
      </c>
      <c r="J676" s="9" t="str">
        <f ca="1">IFERROR(CONCATENATE(VLOOKUP(A676,GM_Table,12,FALSE)," ",(VLOOKUP(A676,GM_Table,13,FALSE))),"")</f>
        <v/>
      </c>
    </row>
    <row r="677" spans="1:10" ht="15" x14ac:dyDescent="0.2">
      <c r="A677" s="193" t="s">
        <v>2535</v>
      </c>
      <c r="B677" s="193" t="s">
        <v>2535</v>
      </c>
      <c r="C677" s="264">
        <v>1.57</v>
      </c>
      <c r="D677" s="265">
        <v>6.9108999999999998</v>
      </c>
      <c r="E677" s="265">
        <v>-7.9425999999999997</v>
      </c>
      <c r="F677" s="122" t="b">
        <f>IF(ISBLANK(FarmUnit[[#This Row],[1. Identifiant interne d’exploitation agricole*]]),"",IF(ISERROR(MATCH(FarmUnit[[#This Row],[1. Identifiant interne d’exploitation agricole*]],GroupMember[1. Identifiant interne d’exploitation agricole*],0)),FALSE,TRUE))</f>
        <v>1</v>
      </c>
      <c r="G677" s="4">
        <f t="shared" si="21"/>
        <v>6.9108999999999998</v>
      </c>
      <c r="H677" s="4">
        <f t="shared" si="22"/>
        <v>-7.9425999999999997</v>
      </c>
      <c r="I677" s="20" t="str">
        <f t="array" ref="I677">IF(ISBLANK(C677),"",IF(C677=MAX(IF(FarmUnit[1. Identifiant interne d’exploitation agricole*]=A677,FarmUnit[3. Superficie de l’unité agricole (ha)*])),"!","-"))</f>
        <v>!</v>
      </c>
      <c r="J677" s="9" t="str">
        <f ca="1">IFERROR(CONCATENATE(VLOOKUP(A677,GM_Table,12,FALSE)," ",(VLOOKUP(A677,GM_Table,13,FALSE))),"")</f>
        <v/>
      </c>
    </row>
    <row r="678" spans="1:10" ht="15" x14ac:dyDescent="0.2">
      <c r="A678" s="193" t="s">
        <v>2537</v>
      </c>
      <c r="B678" s="193" t="s">
        <v>2537</v>
      </c>
      <c r="C678" s="264">
        <v>3.67</v>
      </c>
      <c r="D678" s="265">
        <v>6.9061000000000003</v>
      </c>
      <c r="E678" s="265">
        <v>-7.9404000000000003</v>
      </c>
      <c r="F678" s="122" t="b">
        <f>IF(ISBLANK(FarmUnit[[#This Row],[1. Identifiant interne d’exploitation agricole*]]),"",IF(ISERROR(MATCH(FarmUnit[[#This Row],[1. Identifiant interne d’exploitation agricole*]],GroupMember[1. Identifiant interne d’exploitation agricole*],0)),FALSE,TRUE))</f>
        <v>1</v>
      </c>
      <c r="G678" s="4">
        <f t="shared" si="21"/>
        <v>6.9061000000000003</v>
      </c>
      <c r="H678" s="4">
        <f t="shared" si="22"/>
        <v>-7.9404000000000003</v>
      </c>
      <c r="I678" s="20" t="str">
        <f t="array" ref="I678">IF(ISBLANK(C678),"",IF(C678=MAX(IF(FarmUnit[1. Identifiant interne d’exploitation agricole*]=A678,FarmUnit[3. Superficie de l’unité agricole (ha)*])),"!","-"))</f>
        <v>!</v>
      </c>
      <c r="J678" s="9" t="str">
        <f ca="1">IFERROR(CONCATENATE(VLOOKUP(A678,GM_Table,12,FALSE)," ",(VLOOKUP(A678,GM_Table,13,FALSE))),"")</f>
        <v/>
      </c>
    </row>
    <row r="679" spans="1:10" ht="15" x14ac:dyDescent="0.2">
      <c r="A679" s="193" t="s">
        <v>2538</v>
      </c>
      <c r="B679" s="193" t="s">
        <v>2538</v>
      </c>
      <c r="C679" s="264">
        <v>6.79</v>
      </c>
      <c r="D679" s="265">
        <v>6.9067999999999996</v>
      </c>
      <c r="E679" s="265">
        <v>-7.9381000000000004</v>
      </c>
      <c r="F679" s="122" t="b">
        <f>IF(ISBLANK(FarmUnit[[#This Row],[1. Identifiant interne d’exploitation agricole*]]),"",IF(ISERROR(MATCH(FarmUnit[[#This Row],[1. Identifiant interne d’exploitation agricole*]],GroupMember[1. Identifiant interne d’exploitation agricole*],0)),FALSE,TRUE))</f>
        <v>1</v>
      </c>
      <c r="G679" s="4">
        <f t="shared" si="21"/>
        <v>6.9067999999999996</v>
      </c>
      <c r="H679" s="4">
        <f t="shared" si="22"/>
        <v>-7.9381000000000004</v>
      </c>
      <c r="I679" s="20" t="str">
        <f t="array" ref="I679">IF(ISBLANK(C679),"",IF(C679=MAX(IF(FarmUnit[1. Identifiant interne d’exploitation agricole*]=A679,FarmUnit[3. Superficie de l’unité agricole (ha)*])),"!","-"))</f>
        <v>!</v>
      </c>
      <c r="J679" s="9" t="str">
        <f ca="1">IFERROR(CONCATENATE(VLOOKUP(A679,GM_Table,12,FALSE)," ",(VLOOKUP(A679,GM_Table,13,FALSE))),"")</f>
        <v/>
      </c>
    </row>
    <row r="680" spans="1:10" ht="15" x14ac:dyDescent="0.2">
      <c r="A680" s="193" t="s">
        <v>2542</v>
      </c>
      <c r="B680" s="193" t="s">
        <v>2542</v>
      </c>
      <c r="C680" s="264">
        <v>9.6199999999999992</v>
      </c>
      <c r="D680" s="265">
        <v>6.8876999999999997</v>
      </c>
      <c r="E680" s="265">
        <v>-7.9492000000000003</v>
      </c>
      <c r="F680" s="122" t="b">
        <f>IF(ISBLANK(FarmUnit[[#This Row],[1. Identifiant interne d’exploitation agricole*]]),"",IF(ISERROR(MATCH(FarmUnit[[#This Row],[1. Identifiant interne d’exploitation agricole*]],GroupMember[1. Identifiant interne d’exploitation agricole*],0)),FALSE,TRUE))</f>
        <v>1</v>
      </c>
      <c r="G680" s="4">
        <f t="shared" si="21"/>
        <v>6.8876999999999997</v>
      </c>
      <c r="H680" s="4">
        <f t="shared" si="22"/>
        <v>-7.9492000000000003</v>
      </c>
      <c r="I680" s="20" t="str">
        <f t="array" ref="I680">IF(ISBLANK(C680),"",IF(C680=MAX(IF(FarmUnit[1. Identifiant interne d’exploitation agricole*]=A680,FarmUnit[3. Superficie de l’unité agricole (ha)*])),"!","-"))</f>
        <v>!</v>
      </c>
      <c r="J680" s="9" t="str">
        <f ca="1">IFERROR(CONCATENATE(VLOOKUP(A680,GM_Table,12,FALSE)," ",(VLOOKUP(A680,GM_Table,13,FALSE))),"")</f>
        <v/>
      </c>
    </row>
    <row r="681" spans="1:10" ht="15" x14ac:dyDescent="0.2">
      <c r="A681" s="193" t="s">
        <v>2544</v>
      </c>
      <c r="B681" s="193" t="s">
        <v>2544</v>
      </c>
      <c r="C681" s="264">
        <v>4.4400000000000004</v>
      </c>
      <c r="D681" s="265">
        <v>6.9255000000000004</v>
      </c>
      <c r="E681" s="265">
        <v>-8.0173000000000005</v>
      </c>
      <c r="F681" s="122" t="b">
        <f>IF(ISBLANK(FarmUnit[[#This Row],[1. Identifiant interne d’exploitation agricole*]]),"",IF(ISERROR(MATCH(FarmUnit[[#This Row],[1. Identifiant interne d’exploitation agricole*]],GroupMember[1. Identifiant interne d’exploitation agricole*],0)),FALSE,TRUE))</f>
        <v>1</v>
      </c>
      <c r="G681" s="4">
        <f t="shared" si="21"/>
        <v>6.9255000000000004</v>
      </c>
      <c r="H681" s="4">
        <f t="shared" si="22"/>
        <v>-8.0173000000000005</v>
      </c>
      <c r="I681" s="20" t="str">
        <f t="array" ref="I681">IF(ISBLANK(C681),"",IF(C681=MAX(IF(FarmUnit[1. Identifiant interne d’exploitation agricole*]=A681,FarmUnit[3. Superficie de l’unité agricole (ha)*])),"!","-"))</f>
        <v>!</v>
      </c>
      <c r="J681" s="9" t="str">
        <f ca="1">IFERROR(CONCATENATE(VLOOKUP(A681,GM_Table,12,FALSE)," ",(VLOOKUP(A681,GM_Table,13,FALSE))),"")</f>
        <v/>
      </c>
    </row>
    <row r="682" spans="1:10" ht="15" x14ac:dyDescent="0.2">
      <c r="A682" s="193" t="s">
        <v>2546</v>
      </c>
      <c r="B682" s="193" t="s">
        <v>2546</v>
      </c>
      <c r="C682" s="264">
        <v>2.99</v>
      </c>
      <c r="D682" s="265">
        <v>6.9191000000000003</v>
      </c>
      <c r="E682" s="265">
        <v>-7.9893999999999998</v>
      </c>
      <c r="F682" s="122" t="b">
        <f>IF(ISBLANK(FarmUnit[[#This Row],[1. Identifiant interne d’exploitation agricole*]]),"",IF(ISERROR(MATCH(FarmUnit[[#This Row],[1. Identifiant interne d’exploitation agricole*]],GroupMember[1. Identifiant interne d’exploitation agricole*],0)),FALSE,TRUE))</f>
        <v>1</v>
      </c>
      <c r="G682" s="4">
        <f t="shared" si="21"/>
        <v>6.9191000000000003</v>
      </c>
      <c r="H682" s="4">
        <f t="shared" si="22"/>
        <v>-7.9893999999999998</v>
      </c>
      <c r="I682" s="20" t="str">
        <f t="array" ref="I682">IF(ISBLANK(C682),"",IF(C682=MAX(IF(FarmUnit[1. Identifiant interne d’exploitation agricole*]=A682,FarmUnit[3. Superficie de l’unité agricole (ha)*])),"!","-"))</f>
        <v>!</v>
      </c>
      <c r="J682" s="9" t="str">
        <f ca="1">IFERROR(CONCATENATE(VLOOKUP(A682,GM_Table,12,FALSE)," ",(VLOOKUP(A682,GM_Table,13,FALSE))),"")</f>
        <v/>
      </c>
    </row>
    <row r="683" spans="1:10" ht="15" x14ac:dyDescent="0.2">
      <c r="A683" s="193" t="s">
        <v>2549</v>
      </c>
      <c r="B683" s="193" t="s">
        <v>2549</v>
      </c>
      <c r="C683" s="264">
        <v>1.18</v>
      </c>
      <c r="D683" s="265">
        <v>6.9283999999999999</v>
      </c>
      <c r="E683" s="265">
        <v>-8.0178999999999991</v>
      </c>
      <c r="F683" s="122" t="b">
        <f>IF(ISBLANK(FarmUnit[[#This Row],[1. Identifiant interne d’exploitation agricole*]]),"",IF(ISERROR(MATCH(FarmUnit[[#This Row],[1. Identifiant interne d’exploitation agricole*]],GroupMember[1. Identifiant interne d’exploitation agricole*],0)),FALSE,TRUE))</f>
        <v>1</v>
      </c>
      <c r="G683" s="4">
        <f t="shared" si="21"/>
        <v>6.9283999999999999</v>
      </c>
      <c r="H683" s="4">
        <f t="shared" si="22"/>
        <v>-8.0178999999999991</v>
      </c>
      <c r="I683" s="20" t="str">
        <f t="array" ref="I683">IF(ISBLANK(C683),"",IF(C683=MAX(IF(FarmUnit[1. Identifiant interne d’exploitation agricole*]=A683,FarmUnit[3. Superficie de l’unité agricole (ha)*])),"!","-"))</f>
        <v>!</v>
      </c>
      <c r="J683" s="9" t="str">
        <f ca="1">IFERROR(CONCATENATE(VLOOKUP(A683,GM_Table,12,FALSE)," ",(VLOOKUP(A683,GM_Table,13,FALSE))),"")</f>
        <v/>
      </c>
    </row>
    <row r="684" spans="1:10" ht="15" x14ac:dyDescent="0.2">
      <c r="A684" s="193" t="s">
        <v>2551</v>
      </c>
      <c r="B684" s="193" t="s">
        <v>2551</v>
      </c>
      <c r="C684" s="264">
        <v>2.63</v>
      </c>
      <c r="D684" s="265">
        <v>6.9477000000000002</v>
      </c>
      <c r="E684" s="265">
        <v>-8.0137999999999998</v>
      </c>
      <c r="F684" s="122" t="b">
        <f>IF(ISBLANK(FarmUnit[[#This Row],[1. Identifiant interne d’exploitation agricole*]]),"",IF(ISERROR(MATCH(FarmUnit[[#This Row],[1. Identifiant interne d’exploitation agricole*]],GroupMember[1. Identifiant interne d’exploitation agricole*],0)),FALSE,TRUE))</f>
        <v>1</v>
      </c>
      <c r="G684" s="4">
        <f t="shared" si="21"/>
        <v>6.9477000000000002</v>
      </c>
      <c r="H684" s="4">
        <f t="shared" si="22"/>
        <v>-8.0137999999999998</v>
      </c>
      <c r="I684" s="20" t="str">
        <f t="array" ref="I684">IF(ISBLANK(C684),"",IF(C684=MAX(IF(FarmUnit[1. Identifiant interne d’exploitation agricole*]=A684,FarmUnit[3. Superficie de l’unité agricole (ha)*])),"!","-"))</f>
        <v>!</v>
      </c>
      <c r="J684" s="9" t="str">
        <f ca="1">IFERROR(CONCATENATE(VLOOKUP(A684,GM_Table,12,FALSE)," ",(VLOOKUP(A684,GM_Table,13,FALSE))),"")</f>
        <v/>
      </c>
    </row>
    <row r="685" spans="1:10" ht="15" x14ac:dyDescent="0.2">
      <c r="A685" s="193" t="s">
        <v>2553</v>
      </c>
      <c r="B685" s="193" t="s">
        <v>2553</v>
      </c>
      <c r="C685" s="264">
        <v>2.11</v>
      </c>
      <c r="D685" s="265">
        <v>6.9006999999999996</v>
      </c>
      <c r="E685" s="265">
        <v>-7.9839000000000002</v>
      </c>
      <c r="F685" s="122" t="b">
        <f>IF(ISBLANK(FarmUnit[[#This Row],[1. Identifiant interne d’exploitation agricole*]]),"",IF(ISERROR(MATCH(FarmUnit[[#This Row],[1. Identifiant interne d’exploitation agricole*]],GroupMember[1. Identifiant interne d’exploitation agricole*],0)),FALSE,TRUE))</f>
        <v>1</v>
      </c>
      <c r="G685" s="4">
        <f t="shared" si="21"/>
        <v>6.9006999999999996</v>
      </c>
      <c r="H685" s="4">
        <f t="shared" si="22"/>
        <v>-7.9839000000000002</v>
      </c>
      <c r="I685" s="20" t="str">
        <f t="array" ref="I685">IF(ISBLANK(C685),"",IF(C685=MAX(IF(FarmUnit[1. Identifiant interne d’exploitation agricole*]=A685,FarmUnit[3. Superficie de l’unité agricole (ha)*])),"!","-"))</f>
        <v>!</v>
      </c>
      <c r="J685" s="9" t="str">
        <f ca="1">IFERROR(CONCATENATE(VLOOKUP(A685,GM_Table,12,FALSE)," ",(VLOOKUP(A685,GM_Table,13,FALSE))),"")</f>
        <v/>
      </c>
    </row>
    <row r="686" spans="1:10" ht="15" x14ac:dyDescent="0.2">
      <c r="A686" s="193" t="s">
        <v>2554</v>
      </c>
      <c r="B686" s="193" t="s">
        <v>2554</v>
      </c>
      <c r="C686" s="264">
        <v>1.28</v>
      </c>
      <c r="D686" s="270">
        <v>6.9177999999999997</v>
      </c>
      <c r="E686" s="270">
        <v>-7.9633000000000003</v>
      </c>
      <c r="F686" s="122" t="b">
        <f>IF(ISBLANK(FarmUnit[[#This Row],[1. Identifiant interne d’exploitation agricole*]]),"",IF(ISERROR(MATCH(FarmUnit[[#This Row],[1. Identifiant interne d’exploitation agricole*]],GroupMember[1. Identifiant interne d’exploitation agricole*],0)),FALSE,TRUE))</f>
        <v>1</v>
      </c>
      <c r="G686" s="4">
        <f t="shared" si="21"/>
        <v>6.9177999999999997</v>
      </c>
      <c r="H686" s="4">
        <f t="shared" si="22"/>
        <v>-7.9633000000000003</v>
      </c>
      <c r="I686" s="20" t="str">
        <f t="array" ref="I686">IF(ISBLANK(C686),"",IF(C686=MAX(IF(FarmUnit[1. Identifiant interne d’exploitation agricole*]=A686,FarmUnit[3. Superficie de l’unité agricole (ha)*])),"!","-"))</f>
        <v>!</v>
      </c>
      <c r="J686" s="9" t="str">
        <f ca="1">IFERROR(CONCATENATE(VLOOKUP(A686,GM_Table,12,FALSE)," ",(VLOOKUP(A686,GM_Table,13,FALSE))),"")</f>
        <v/>
      </c>
    </row>
    <row r="687" spans="1:10" ht="15" x14ac:dyDescent="0.2">
      <c r="A687" s="193" t="s">
        <v>2556</v>
      </c>
      <c r="B687" s="193" t="s">
        <v>2556</v>
      </c>
      <c r="C687" s="264">
        <v>1.91</v>
      </c>
      <c r="D687" s="270">
        <v>6.9226999999999999</v>
      </c>
      <c r="E687" s="270">
        <v>-7.9714</v>
      </c>
      <c r="F687" s="122" t="b">
        <f>IF(ISBLANK(FarmUnit[[#This Row],[1. Identifiant interne d’exploitation agricole*]]),"",IF(ISERROR(MATCH(FarmUnit[[#This Row],[1. Identifiant interne d’exploitation agricole*]],GroupMember[1. Identifiant interne d’exploitation agricole*],0)),FALSE,TRUE))</f>
        <v>1</v>
      </c>
      <c r="G687" s="4">
        <f t="shared" si="21"/>
        <v>6.9226999999999999</v>
      </c>
      <c r="H687" s="4">
        <f t="shared" si="22"/>
        <v>-7.9714</v>
      </c>
      <c r="I687" s="20" t="str">
        <f t="array" ref="I687">IF(ISBLANK(C687),"",IF(C687=MAX(IF(FarmUnit[1. Identifiant interne d’exploitation agricole*]=A687,FarmUnit[3. Superficie de l’unité agricole (ha)*])),"!","-"))</f>
        <v>!</v>
      </c>
      <c r="J687" s="9" t="str">
        <f ca="1">IFERROR(CONCATENATE(VLOOKUP(A687,GM_Table,12,FALSE)," ",(VLOOKUP(A687,GM_Table,13,FALSE))),"")</f>
        <v/>
      </c>
    </row>
    <row r="688" spans="1:10" ht="15" x14ac:dyDescent="0.2">
      <c r="A688" s="193" t="s">
        <v>2559</v>
      </c>
      <c r="B688" s="193" t="s">
        <v>2559</v>
      </c>
      <c r="C688" s="264">
        <v>3.31</v>
      </c>
      <c r="D688" s="270">
        <v>6.9189999999999996</v>
      </c>
      <c r="E688" s="270">
        <v>-7.9728000000000003</v>
      </c>
      <c r="F688" s="122" t="b">
        <f>IF(ISBLANK(FarmUnit[[#This Row],[1. Identifiant interne d’exploitation agricole*]]),"",IF(ISERROR(MATCH(FarmUnit[[#This Row],[1. Identifiant interne d’exploitation agricole*]],GroupMember[1. Identifiant interne d’exploitation agricole*],0)),FALSE,TRUE))</f>
        <v>1</v>
      </c>
      <c r="G688" s="4">
        <f t="shared" si="21"/>
        <v>6.9189999999999996</v>
      </c>
      <c r="H688" s="4">
        <f t="shared" si="22"/>
        <v>-7.9728000000000003</v>
      </c>
      <c r="I688" s="20" t="str">
        <f t="array" ref="I688">IF(ISBLANK(C688),"",IF(C688=MAX(IF(FarmUnit[1. Identifiant interne d’exploitation agricole*]=A688,FarmUnit[3. Superficie de l’unité agricole (ha)*])),"!","-"))</f>
        <v>!</v>
      </c>
      <c r="J688" s="9" t="str">
        <f ca="1">IFERROR(CONCATENATE(VLOOKUP(A688,GM_Table,12,FALSE)," ",(VLOOKUP(A688,GM_Table,13,FALSE))),"")</f>
        <v/>
      </c>
    </row>
    <row r="689" spans="1:10" ht="15" x14ac:dyDescent="0.2">
      <c r="A689" s="193" t="s">
        <v>2562</v>
      </c>
      <c r="B689" s="193" t="s">
        <v>2562</v>
      </c>
      <c r="C689" s="264">
        <v>4.91</v>
      </c>
      <c r="D689" s="270">
        <v>6.7366999999999999</v>
      </c>
      <c r="E689" s="270">
        <v>-8.0094999999999992</v>
      </c>
      <c r="F689" s="122" t="b">
        <f>IF(ISBLANK(FarmUnit[[#This Row],[1. Identifiant interne d’exploitation agricole*]]),"",IF(ISERROR(MATCH(FarmUnit[[#This Row],[1. Identifiant interne d’exploitation agricole*]],GroupMember[1. Identifiant interne d’exploitation agricole*],0)),FALSE,TRUE))</f>
        <v>1</v>
      </c>
      <c r="G689" s="4">
        <f t="shared" si="21"/>
        <v>6.7366999999999999</v>
      </c>
      <c r="H689" s="4">
        <f t="shared" si="22"/>
        <v>-8.0094999999999992</v>
      </c>
      <c r="I689" s="20" t="str">
        <f t="array" ref="I689">IF(ISBLANK(C689),"",IF(C689=MAX(IF(FarmUnit[1. Identifiant interne d’exploitation agricole*]=A689,FarmUnit[3. Superficie de l’unité agricole (ha)*])),"!","-"))</f>
        <v>!</v>
      </c>
      <c r="J689" s="9" t="str">
        <f ca="1">IFERROR(CONCATENATE(VLOOKUP(A689,GM_Table,12,FALSE)," ",(VLOOKUP(A689,GM_Table,13,FALSE))),"")</f>
        <v/>
      </c>
    </row>
    <row r="690" spans="1:10" ht="15" x14ac:dyDescent="0.2">
      <c r="A690" s="193" t="s">
        <v>2564</v>
      </c>
      <c r="B690" s="193" t="s">
        <v>2564</v>
      </c>
      <c r="C690" s="264">
        <v>1.38</v>
      </c>
      <c r="D690" s="270">
        <v>6.7369000000000003</v>
      </c>
      <c r="E690" s="270">
        <v>-8.0088000000000008</v>
      </c>
      <c r="F690" s="122" t="b">
        <f>IF(ISBLANK(FarmUnit[[#This Row],[1. Identifiant interne d’exploitation agricole*]]),"",IF(ISERROR(MATCH(FarmUnit[[#This Row],[1. Identifiant interne d’exploitation agricole*]],GroupMember[1. Identifiant interne d’exploitation agricole*],0)),FALSE,TRUE))</f>
        <v>1</v>
      </c>
      <c r="G690" s="4">
        <f t="shared" si="21"/>
        <v>6.7369000000000003</v>
      </c>
      <c r="H690" s="4">
        <f t="shared" si="22"/>
        <v>-8.0088000000000008</v>
      </c>
      <c r="I690" s="20" t="str">
        <f t="array" ref="I690">IF(ISBLANK(C690),"",IF(C690=MAX(IF(FarmUnit[1. Identifiant interne d’exploitation agricole*]=A690,FarmUnit[3. Superficie de l’unité agricole (ha)*])),"!","-"))</f>
        <v>!</v>
      </c>
      <c r="J690" s="9" t="str">
        <f ca="1">IFERROR(CONCATENATE(VLOOKUP(A690,GM_Table,12,FALSE)," ",(VLOOKUP(A690,GM_Table,13,FALSE))),"")</f>
        <v/>
      </c>
    </row>
    <row r="691" spans="1:10" ht="15" x14ac:dyDescent="0.2">
      <c r="A691" s="193" t="s">
        <v>2566</v>
      </c>
      <c r="B691" s="193" t="s">
        <v>2566</v>
      </c>
      <c r="C691" s="264">
        <v>2.4500000000000002</v>
      </c>
      <c r="D691" s="270">
        <v>6.7214</v>
      </c>
      <c r="E691" s="270">
        <v>-8.0106000000000002</v>
      </c>
      <c r="F691" s="122" t="b">
        <f>IF(ISBLANK(FarmUnit[[#This Row],[1. Identifiant interne d’exploitation agricole*]]),"",IF(ISERROR(MATCH(FarmUnit[[#This Row],[1. Identifiant interne d’exploitation agricole*]],GroupMember[1. Identifiant interne d’exploitation agricole*],0)),FALSE,TRUE))</f>
        <v>1</v>
      </c>
      <c r="G691" s="4">
        <f t="shared" ref="G691:G754" si="23">IF(D691=0,"",D691)</f>
        <v>6.7214</v>
      </c>
      <c r="H691" s="4">
        <f t="shared" ref="H691:H754" si="24">IF(E691=0,"",E691)</f>
        <v>-8.0106000000000002</v>
      </c>
      <c r="I691" s="20" t="str">
        <f t="array" ref="I691">IF(ISBLANK(C691),"",IF(C691=MAX(IF(FarmUnit[1. Identifiant interne d’exploitation agricole*]=A691,FarmUnit[3. Superficie de l’unité agricole (ha)*])),"!","-"))</f>
        <v>!</v>
      </c>
      <c r="J691" s="9" t="str">
        <f ca="1">IFERROR(CONCATENATE(VLOOKUP(A691,GM_Table,12,FALSE)," ",(VLOOKUP(A691,GM_Table,13,FALSE))),"")</f>
        <v/>
      </c>
    </row>
    <row r="692" spans="1:10" ht="15" x14ac:dyDescent="0.2">
      <c r="A692" s="193" t="s">
        <v>2569</v>
      </c>
      <c r="B692" s="193" t="s">
        <v>2569</v>
      </c>
      <c r="C692" s="264">
        <v>0.92</v>
      </c>
      <c r="D692" s="270">
        <v>6.7507000000000001</v>
      </c>
      <c r="E692" s="270">
        <v>-8.0371000000000006</v>
      </c>
      <c r="F692" s="122" t="b">
        <f>IF(ISBLANK(FarmUnit[[#This Row],[1. Identifiant interne d’exploitation agricole*]]),"",IF(ISERROR(MATCH(FarmUnit[[#This Row],[1. Identifiant interne d’exploitation agricole*]],GroupMember[1. Identifiant interne d’exploitation agricole*],0)),FALSE,TRUE))</f>
        <v>1</v>
      </c>
      <c r="G692" s="4">
        <f t="shared" si="23"/>
        <v>6.7507000000000001</v>
      </c>
      <c r="H692" s="4">
        <f t="shared" si="24"/>
        <v>-8.0371000000000006</v>
      </c>
      <c r="I692" s="20" t="str">
        <f t="array" ref="I692">IF(ISBLANK(C692),"",IF(C692=MAX(IF(FarmUnit[1. Identifiant interne d’exploitation agricole*]=A692,FarmUnit[3. Superficie de l’unité agricole (ha)*])),"!","-"))</f>
        <v>!</v>
      </c>
      <c r="J692" s="9" t="str">
        <f ca="1">IFERROR(CONCATENATE(VLOOKUP(A692,GM_Table,12,FALSE)," ",(VLOOKUP(A692,GM_Table,13,FALSE))),"")</f>
        <v/>
      </c>
    </row>
    <row r="693" spans="1:10" ht="15" x14ac:dyDescent="0.2">
      <c r="A693" s="193" t="s">
        <v>2571</v>
      </c>
      <c r="B693" s="193" t="s">
        <v>2571</v>
      </c>
      <c r="C693" s="264">
        <v>3.31</v>
      </c>
      <c r="D693" s="270">
        <v>6.7179000000000002</v>
      </c>
      <c r="E693" s="270">
        <v>-8.0076999999999998</v>
      </c>
      <c r="F693" s="122" t="b">
        <f>IF(ISBLANK(FarmUnit[[#This Row],[1. Identifiant interne d’exploitation agricole*]]),"",IF(ISERROR(MATCH(FarmUnit[[#This Row],[1. Identifiant interne d’exploitation agricole*]],GroupMember[1. Identifiant interne d’exploitation agricole*],0)),FALSE,TRUE))</f>
        <v>1</v>
      </c>
      <c r="G693" s="4">
        <f t="shared" si="23"/>
        <v>6.7179000000000002</v>
      </c>
      <c r="H693" s="4">
        <f t="shared" si="24"/>
        <v>-8.0076999999999998</v>
      </c>
      <c r="I693" s="20" t="str">
        <f t="array" ref="I693">IF(ISBLANK(C693),"",IF(C693=MAX(IF(FarmUnit[1. Identifiant interne d’exploitation agricole*]=A693,FarmUnit[3. Superficie de l’unité agricole (ha)*])),"!","-"))</f>
        <v>!</v>
      </c>
      <c r="J693" s="9" t="str">
        <f ca="1">IFERROR(CONCATENATE(VLOOKUP(A693,GM_Table,12,FALSE)," ",(VLOOKUP(A693,GM_Table,13,FALSE))),"")</f>
        <v/>
      </c>
    </row>
    <row r="694" spans="1:10" ht="15" x14ac:dyDescent="0.2">
      <c r="A694" s="193" t="s">
        <v>2574</v>
      </c>
      <c r="B694" s="193" t="s">
        <v>2574</v>
      </c>
      <c r="C694" s="264">
        <v>3.86</v>
      </c>
      <c r="D694" s="270">
        <v>6.7222999999999997</v>
      </c>
      <c r="E694" s="270">
        <v>-8.0333000000000006</v>
      </c>
      <c r="F694" s="122" t="b">
        <f>IF(ISBLANK(FarmUnit[[#This Row],[1. Identifiant interne d’exploitation agricole*]]),"",IF(ISERROR(MATCH(FarmUnit[[#This Row],[1. Identifiant interne d’exploitation agricole*]],GroupMember[1. Identifiant interne d’exploitation agricole*],0)),FALSE,TRUE))</f>
        <v>1</v>
      </c>
      <c r="G694" s="4">
        <f t="shared" si="23"/>
        <v>6.7222999999999997</v>
      </c>
      <c r="H694" s="4">
        <f t="shared" si="24"/>
        <v>-8.0333000000000006</v>
      </c>
      <c r="I694" s="20" t="str">
        <f t="array" ref="I694">IF(ISBLANK(C694),"",IF(C694=MAX(IF(FarmUnit[1. Identifiant interne d’exploitation agricole*]=A694,FarmUnit[3. Superficie de l’unité agricole (ha)*])),"!","-"))</f>
        <v>!</v>
      </c>
      <c r="J694" s="9" t="str">
        <f ca="1">IFERROR(CONCATENATE(VLOOKUP(A694,GM_Table,12,FALSE)," ",(VLOOKUP(A694,GM_Table,13,FALSE))),"")</f>
        <v/>
      </c>
    </row>
    <row r="695" spans="1:10" ht="15" x14ac:dyDescent="0.2">
      <c r="A695" s="193" t="s">
        <v>2577</v>
      </c>
      <c r="B695" s="193" t="s">
        <v>2577</v>
      </c>
      <c r="C695" s="264">
        <v>1.93</v>
      </c>
      <c r="D695" s="270">
        <v>6.7477</v>
      </c>
      <c r="E695" s="270">
        <v>-8.0249000000000006</v>
      </c>
      <c r="F695" s="122" t="b">
        <f>IF(ISBLANK(FarmUnit[[#This Row],[1. Identifiant interne d’exploitation agricole*]]),"",IF(ISERROR(MATCH(FarmUnit[[#This Row],[1. Identifiant interne d’exploitation agricole*]],GroupMember[1. Identifiant interne d’exploitation agricole*],0)),FALSE,TRUE))</f>
        <v>1</v>
      </c>
      <c r="G695" s="4">
        <f t="shared" si="23"/>
        <v>6.7477</v>
      </c>
      <c r="H695" s="4">
        <f t="shared" si="24"/>
        <v>-8.0249000000000006</v>
      </c>
      <c r="I695" s="20" t="str">
        <f t="array" ref="I695">IF(ISBLANK(C695),"",IF(C695=MAX(IF(FarmUnit[1. Identifiant interne d’exploitation agricole*]=A695,FarmUnit[3. Superficie de l’unité agricole (ha)*])),"!","-"))</f>
        <v>!</v>
      </c>
      <c r="J695" s="9" t="str">
        <f ca="1">IFERROR(CONCATENATE(VLOOKUP(A695,GM_Table,12,FALSE)," ",(VLOOKUP(A695,GM_Table,13,FALSE))),"")</f>
        <v/>
      </c>
    </row>
    <row r="696" spans="1:10" ht="15" x14ac:dyDescent="0.2">
      <c r="A696" s="193" t="s">
        <v>2580</v>
      </c>
      <c r="B696" s="193" t="s">
        <v>2580</v>
      </c>
      <c r="C696" s="264">
        <v>3.21</v>
      </c>
      <c r="D696" s="270">
        <v>6.7622</v>
      </c>
      <c r="E696" s="270">
        <v>-8.0183999999999997</v>
      </c>
      <c r="F696" s="122" t="b">
        <f>IF(ISBLANK(FarmUnit[[#This Row],[1. Identifiant interne d’exploitation agricole*]]),"",IF(ISERROR(MATCH(FarmUnit[[#This Row],[1. Identifiant interne d’exploitation agricole*]],GroupMember[1. Identifiant interne d’exploitation agricole*],0)),FALSE,TRUE))</f>
        <v>1</v>
      </c>
      <c r="G696" s="4">
        <f t="shared" si="23"/>
        <v>6.7622</v>
      </c>
      <c r="H696" s="4">
        <f t="shared" si="24"/>
        <v>-8.0183999999999997</v>
      </c>
      <c r="I696" s="20" t="str">
        <f t="array" ref="I696">IF(ISBLANK(C696),"",IF(C696=MAX(IF(FarmUnit[1. Identifiant interne d’exploitation agricole*]=A696,FarmUnit[3. Superficie de l’unité agricole (ha)*])),"!","-"))</f>
        <v>!</v>
      </c>
      <c r="J696" s="9" t="str">
        <f ca="1">IFERROR(CONCATENATE(VLOOKUP(A696,GM_Table,12,FALSE)," ",(VLOOKUP(A696,GM_Table,13,FALSE))),"")</f>
        <v/>
      </c>
    </row>
    <row r="697" spans="1:10" ht="15" x14ac:dyDescent="0.2">
      <c r="A697" s="193" t="s">
        <v>2582</v>
      </c>
      <c r="B697" s="193" t="s">
        <v>2582</v>
      </c>
      <c r="C697" s="264">
        <v>1.25</v>
      </c>
      <c r="D697" s="270">
        <v>6.7447999999999997</v>
      </c>
      <c r="E697" s="270">
        <v>-8.0277999999999992</v>
      </c>
      <c r="F697" s="122" t="b">
        <f>IF(ISBLANK(FarmUnit[[#This Row],[1. Identifiant interne d’exploitation agricole*]]),"",IF(ISERROR(MATCH(FarmUnit[[#This Row],[1. Identifiant interne d’exploitation agricole*]],GroupMember[1. Identifiant interne d’exploitation agricole*],0)),FALSE,TRUE))</f>
        <v>1</v>
      </c>
      <c r="G697" s="4">
        <f t="shared" si="23"/>
        <v>6.7447999999999997</v>
      </c>
      <c r="H697" s="4">
        <f t="shared" si="24"/>
        <v>-8.0277999999999992</v>
      </c>
      <c r="I697" s="20" t="str">
        <f t="array" ref="I697">IF(ISBLANK(C697),"",IF(C697=MAX(IF(FarmUnit[1. Identifiant interne d’exploitation agricole*]=A697,FarmUnit[3. Superficie de l’unité agricole (ha)*])),"!","-"))</f>
        <v>!</v>
      </c>
      <c r="J697" s="9" t="str">
        <f ca="1">IFERROR(CONCATENATE(VLOOKUP(A697,GM_Table,12,FALSE)," ",(VLOOKUP(A697,GM_Table,13,FALSE))),"")</f>
        <v/>
      </c>
    </row>
    <row r="698" spans="1:10" ht="15" x14ac:dyDescent="0.2">
      <c r="A698" s="193" t="s">
        <v>2585</v>
      </c>
      <c r="B698" s="193" t="s">
        <v>2585</v>
      </c>
      <c r="C698" s="264">
        <v>1.89</v>
      </c>
      <c r="D698" s="270">
        <v>6.7450999999999999</v>
      </c>
      <c r="E698" s="270">
        <v>-8.0282</v>
      </c>
      <c r="F698" s="122" t="b">
        <f>IF(ISBLANK(FarmUnit[[#This Row],[1. Identifiant interne d’exploitation agricole*]]),"",IF(ISERROR(MATCH(FarmUnit[[#This Row],[1. Identifiant interne d’exploitation agricole*]],GroupMember[1. Identifiant interne d’exploitation agricole*],0)),FALSE,TRUE))</f>
        <v>1</v>
      </c>
      <c r="G698" s="4">
        <f t="shared" si="23"/>
        <v>6.7450999999999999</v>
      </c>
      <c r="H698" s="4">
        <f t="shared" si="24"/>
        <v>-8.0282</v>
      </c>
      <c r="I698" s="20" t="str">
        <f t="array" ref="I698">IF(ISBLANK(C698),"",IF(C698=MAX(IF(FarmUnit[1. Identifiant interne d’exploitation agricole*]=A698,FarmUnit[3. Superficie de l’unité agricole (ha)*])),"!","-"))</f>
        <v>!</v>
      </c>
      <c r="J698" s="9" t="str">
        <f ca="1">IFERROR(CONCATENATE(VLOOKUP(A698,GM_Table,12,FALSE)," ",(VLOOKUP(A698,GM_Table,13,FALSE))),"")</f>
        <v/>
      </c>
    </row>
    <row r="699" spans="1:10" ht="15" x14ac:dyDescent="0.2">
      <c r="A699" s="193" t="s">
        <v>2587</v>
      </c>
      <c r="B699" s="193" t="s">
        <v>2587</v>
      </c>
      <c r="C699" s="264">
        <v>1.29</v>
      </c>
      <c r="D699" s="270">
        <v>6.7234999999999996</v>
      </c>
      <c r="E699" s="270">
        <v>-8.0271000000000008</v>
      </c>
      <c r="F699" s="122" t="b">
        <f>IF(ISBLANK(FarmUnit[[#This Row],[1. Identifiant interne d’exploitation agricole*]]),"",IF(ISERROR(MATCH(FarmUnit[[#This Row],[1. Identifiant interne d’exploitation agricole*]],GroupMember[1. Identifiant interne d’exploitation agricole*],0)),FALSE,TRUE))</f>
        <v>1</v>
      </c>
      <c r="G699" s="4">
        <f t="shared" si="23"/>
        <v>6.7234999999999996</v>
      </c>
      <c r="H699" s="4">
        <f t="shared" si="24"/>
        <v>-8.0271000000000008</v>
      </c>
      <c r="I699" s="20" t="str">
        <f t="array" ref="I699">IF(ISBLANK(C699),"",IF(C699=MAX(IF(FarmUnit[1. Identifiant interne d’exploitation agricole*]=A699,FarmUnit[3. Superficie de l’unité agricole (ha)*])),"!","-"))</f>
        <v>!</v>
      </c>
      <c r="J699" s="9" t="str">
        <f ca="1">IFERROR(CONCATENATE(VLOOKUP(A699,GM_Table,12,FALSE)," ",(VLOOKUP(A699,GM_Table,13,FALSE))),"")</f>
        <v/>
      </c>
    </row>
    <row r="700" spans="1:10" ht="15" x14ac:dyDescent="0.2">
      <c r="A700" s="193" t="s">
        <v>2589</v>
      </c>
      <c r="B700" s="193" t="s">
        <v>2589</v>
      </c>
      <c r="C700" s="264">
        <v>2.13</v>
      </c>
      <c r="D700" s="270">
        <v>6.7350000000000003</v>
      </c>
      <c r="E700" s="270">
        <v>-8.0215999999999994</v>
      </c>
      <c r="F700" s="122" t="b">
        <f>IF(ISBLANK(FarmUnit[[#This Row],[1. Identifiant interne d’exploitation agricole*]]),"",IF(ISERROR(MATCH(FarmUnit[[#This Row],[1. Identifiant interne d’exploitation agricole*]],GroupMember[1. Identifiant interne d’exploitation agricole*],0)),FALSE,TRUE))</f>
        <v>1</v>
      </c>
      <c r="G700" s="4">
        <f t="shared" si="23"/>
        <v>6.7350000000000003</v>
      </c>
      <c r="H700" s="4">
        <f t="shared" si="24"/>
        <v>-8.0215999999999994</v>
      </c>
      <c r="I700" s="20" t="str">
        <f t="array" ref="I700">IF(ISBLANK(C700),"",IF(C700=MAX(IF(FarmUnit[1. Identifiant interne d’exploitation agricole*]=A700,FarmUnit[3. Superficie de l’unité agricole (ha)*])),"!","-"))</f>
        <v>!</v>
      </c>
      <c r="J700" s="9" t="str">
        <f ca="1">IFERROR(CONCATENATE(VLOOKUP(A700,GM_Table,12,FALSE)," ",(VLOOKUP(A700,GM_Table,13,FALSE))),"")</f>
        <v/>
      </c>
    </row>
    <row r="701" spans="1:10" ht="15" x14ac:dyDescent="0.2">
      <c r="A701" s="193" t="s">
        <v>2592</v>
      </c>
      <c r="B701" s="193" t="s">
        <v>2592</v>
      </c>
      <c r="C701" s="264">
        <v>3.23</v>
      </c>
      <c r="D701" s="270">
        <v>6.7346000000000004</v>
      </c>
      <c r="E701" s="270">
        <v>-8.0207999999999995</v>
      </c>
      <c r="F701" s="122" t="b">
        <f>IF(ISBLANK(FarmUnit[[#This Row],[1. Identifiant interne d’exploitation agricole*]]),"",IF(ISERROR(MATCH(FarmUnit[[#This Row],[1. Identifiant interne d’exploitation agricole*]],GroupMember[1. Identifiant interne d’exploitation agricole*],0)),FALSE,TRUE))</f>
        <v>1</v>
      </c>
      <c r="G701" s="4">
        <f t="shared" si="23"/>
        <v>6.7346000000000004</v>
      </c>
      <c r="H701" s="4">
        <f t="shared" si="24"/>
        <v>-8.0207999999999995</v>
      </c>
      <c r="I701" s="20" t="str">
        <f t="array" ref="I701">IF(ISBLANK(C701),"",IF(C701=MAX(IF(FarmUnit[1. Identifiant interne d’exploitation agricole*]=A701,FarmUnit[3. Superficie de l’unité agricole (ha)*])),"!","-"))</f>
        <v>!</v>
      </c>
      <c r="J701" s="9" t="str">
        <f ca="1">IFERROR(CONCATENATE(VLOOKUP(A701,GM_Table,12,FALSE)," ",(VLOOKUP(A701,GM_Table,13,FALSE))),"")</f>
        <v/>
      </c>
    </row>
    <row r="702" spans="1:10" ht="15" x14ac:dyDescent="0.2">
      <c r="A702" s="193" t="s">
        <v>2594</v>
      </c>
      <c r="B702" s="193" t="s">
        <v>2594</v>
      </c>
      <c r="C702" s="264">
        <v>2.34</v>
      </c>
      <c r="D702" s="270">
        <v>6.7310999999999996</v>
      </c>
      <c r="E702" s="270">
        <v>-8.0276999999999994</v>
      </c>
      <c r="F702" s="122" t="b">
        <f>IF(ISBLANK(FarmUnit[[#This Row],[1. Identifiant interne d’exploitation agricole*]]),"",IF(ISERROR(MATCH(FarmUnit[[#This Row],[1. Identifiant interne d’exploitation agricole*]],GroupMember[1. Identifiant interne d’exploitation agricole*],0)),FALSE,TRUE))</f>
        <v>1</v>
      </c>
      <c r="G702" s="4">
        <f t="shared" si="23"/>
        <v>6.7310999999999996</v>
      </c>
      <c r="H702" s="4">
        <f t="shared" si="24"/>
        <v>-8.0276999999999994</v>
      </c>
      <c r="I702" s="20" t="str">
        <f t="array" ref="I702">IF(ISBLANK(C702),"",IF(C702=MAX(IF(FarmUnit[1. Identifiant interne d’exploitation agricole*]=A702,FarmUnit[3. Superficie de l’unité agricole (ha)*])),"!","-"))</f>
        <v>!</v>
      </c>
      <c r="J702" s="9" t="str">
        <f ca="1">IFERROR(CONCATENATE(VLOOKUP(A702,GM_Table,12,FALSE)," ",(VLOOKUP(A702,GM_Table,13,FALSE))),"")</f>
        <v/>
      </c>
    </row>
    <row r="703" spans="1:10" ht="15" x14ac:dyDescent="0.2">
      <c r="A703" s="193" t="s">
        <v>2596</v>
      </c>
      <c r="B703" s="193" t="s">
        <v>2596</v>
      </c>
      <c r="C703" s="264">
        <v>2.35</v>
      </c>
      <c r="D703" s="270">
        <v>6.7286999999999999</v>
      </c>
      <c r="E703" s="270">
        <v>-8.0252999999999997</v>
      </c>
      <c r="F703" s="122" t="b">
        <f>IF(ISBLANK(FarmUnit[[#This Row],[1. Identifiant interne d’exploitation agricole*]]),"",IF(ISERROR(MATCH(FarmUnit[[#This Row],[1. Identifiant interne d’exploitation agricole*]],GroupMember[1. Identifiant interne d’exploitation agricole*],0)),FALSE,TRUE))</f>
        <v>1</v>
      </c>
      <c r="G703" s="4">
        <f t="shared" si="23"/>
        <v>6.7286999999999999</v>
      </c>
      <c r="H703" s="4">
        <f t="shared" si="24"/>
        <v>-8.0252999999999997</v>
      </c>
      <c r="I703" s="20" t="str">
        <f t="array" ref="I703">IF(ISBLANK(C703),"",IF(C703=MAX(IF(FarmUnit[1. Identifiant interne d’exploitation agricole*]=A703,FarmUnit[3. Superficie de l’unité agricole (ha)*])),"!","-"))</f>
        <v>!</v>
      </c>
      <c r="J703" s="9" t="str">
        <f ca="1">IFERROR(CONCATENATE(VLOOKUP(A703,GM_Table,12,FALSE)," ",(VLOOKUP(A703,GM_Table,13,FALSE))),"")</f>
        <v/>
      </c>
    </row>
    <row r="704" spans="1:10" ht="15" x14ac:dyDescent="0.2">
      <c r="A704" s="193" t="s">
        <v>2599</v>
      </c>
      <c r="B704" s="193" t="s">
        <v>2599</v>
      </c>
      <c r="C704" s="264">
        <v>2.4900000000000002</v>
      </c>
      <c r="D704" s="270">
        <v>6.7565999999999997</v>
      </c>
      <c r="E704" s="270">
        <v>-8.0284999999999993</v>
      </c>
      <c r="F704" s="122" t="b">
        <f>IF(ISBLANK(FarmUnit[[#This Row],[1. Identifiant interne d’exploitation agricole*]]),"",IF(ISERROR(MATCH(FarmUnit[[#This Row],[1. Identifiant interne d’exploitation agricole*]],GroupMember[1. Identifiant interne d’exploitation agricole*],0)),FALSE,TRUE))</f>
        <v>1</v>
      </c>
      <c r="G704" s="4">
        <f t="shared" si="23"/>
        <v>6.7565999999999997</v>
      </c>
      <c r="H704" s="4">
        <f t="shared" si="24"/>
        <v>-8.0284999999999993</v>
      </c>
      <c r="I704" s="20" t="str">
        <f t="array" ref="I704">IF(ISBLANK(C704),"",IF(C704=MAX(IF(FarmUnit[1. Identifiant interne d’exploitation agricole*]=A704,FarmUnit[3. Superficie de l’unité agricole (ha)*])),"!","-"))</f>
        <v>!</v>
      </c>
      <c r="J704" s="9" t="str">
        <f ca="1">IFERROR(CONCATENATE(VLOOKUP(A704,GM_Table,12,FALSE)," ",(VLOOKUP(A704,GM_Table,13,FALSE))),"")</f>
        <v/>
      </c>
    </row>
    <row r="705" spans="1:10" ht="15" x14ac:dyDescent="0.2">
      <c r="A705" s="193" t="s">
        <v>2601</v>
      </c>
      <c r="B705" s="193" t="s">
        <v>2601</v>
      </c>
      <c r="C705" s="264">
        <v>1.85</v>
      </c>
      <c r="D705" s="270">
        <v>6.7348999999999997</v>
      </c>
      <c r="E705" s="270">
        <v>-8.0275999999999996</v>
      </c>
      <c r="F705" s="122" t="b">
        <f>IF(ISBLANK(FarmUnit[[#This Row],[1. Identifiant interne d’exploitation agricole*]]),"",IF(ISERROR(MATCH(FarmUnit[[#This Row],[1. Identifiant interne d’exploitation agricole*]],GroupMember[1. Identifiant interne d’exploitation agricole*],0)),FALSE,TRUE))</f>
        <v>1</v>
      </c>
      <c r="G705" s="4">
        <f t="shared" si="23"/>
        <v>6.7348999999999997</v>
      </c>
      <c r="H705" s="4">
        <f t="shared" si="24"/>
        <v>-8.0275999999999996</v>
      </c>
      <c r="I705" s="20" t="str">
        <f t="array" ref="I705">IF(ISBLANK(C705),"",IF(C705=MAX(IF(FarmUnit[1. Identifiant interne d’exploitation agricole*]=A705,FarmUnit[3. Superficie de l’unité agricole (ha)*])),"!","-"))</f>
        <v>!</v>
      </c>
      <c r="J705" s="9" t="str">
        <f ca="1">IFERROR(CONCATENATE(VLOOKUP(A705,GM_Table,12,FALSE)," ",(VLOOKUP(A705,GM_Table,13,FALSE))),"")</f>
        <v/>
      </c>
    </row>
    <row r="706" spans="1:10" ht="15" x14ac:dyDescent="0.2">
      <c r="A706" s="193" t="s">
        <v>2605</v>
      </c>
      <c r="B706" s="193" t="s">
        <v>2605</v>
      </c>
      <c r="C706" s="264">
        <v>2.71</v>
      </c>
      <c r="D706" s="270">
        <v>6.7370999999999999</v>
      </c>
      <c r="E706" s="270">
        <v>-8.0282</v>
      </c>
      <c r="F706" s="122" t="b">
        <f>IF(ISBLANK(FarmUnit[[#This Row],[1. Identifiant interne d’exploitation agricole*]]),"",IF(ISERROR(MATCH(FarmUnit[[#This Row],[1. Identifiant interne d’exploitation agricole*]],GroupMember[1. Identifiant interne d’exploitation agricole*],0)),FALSE,TRUE))</f>
        <v>1</v>
      </c>
      <c r="G706" s="4">
        <f t="shared" si="23"/>
        <v>6.7370999999999999</v>
      </c>
      <c r="H706" s="4">
        <f t="shared" si="24"/>
        <v>-8.0282</v>
      </c>
      <c r="I706" s="20" t="str">
        <f t="array" ref="I706">IF(ISBLANK(C706),"",IF(C706=MAX(IF(FarmUnit[1. Identifiant interne d’exploitation agricole*]=A706,FarmUnit[3. Superficie de l’unité agricole (ha)*])),"!","-"))</f>
        <v>!</v>
      </c>
      <c r="J706" s="9" t="str">
        <f ca="1">IFERROR(CONCATENATE(VLOOKUP(A706,GM_Table,12,FALSE)," ",(VLOOKUP(A706,GM_Table,13,FALSE))),"")</f>
        <v/>
      </c>
    </row>
    <row r="707" spans="1:10" ht="15" x14ac:dyDescent="0.2">
      <c r="A707" s="193" t="s">
        <v>2607</v>
      </c>
      <c r="B707" s="193" t="s">
        <v>2607</v>
      </c>
      <c r="C707" s="264">
        <v>1.91</v>
      </c>
      <c r="D707" s="270">
        <v>6.7428999999999997</v>
      </c>
      <c r="E707" s="270">
        <v>-8.0282</v>
      </c>
      <c r="F707" s="122" t="b">
        <f>IF(ISBLANK(FarmUnit[[#This Row],[1. Identifiant interne d’exploitation agricole*]]),"",IF(ISERROR(MATCH(FarmUnit[[#This Row],[1. Identifiant interne d’exploitation agricole*]],GroupMember[1. Identifiant interne d’exploitation agricole*],0)),FALSE,TRUE))</f>
        <v>1</v>
      </c>
      <c r="G707" s="4">
        <f t="shared" si="23"/>
        <v>6.7428999999999997</v>
      </c>
      <c r="H707" s="4">
        <f t="shared" si="24"/>
        <v>-8.0282</v>
      </c>
      <c r="I707" s="20" t="str">
        <f t="array" ref="I707">IF(ISBLANK(C707),"",IF(C707=MAX(IF(FarmUnit[1. Identifiant interne d’exploitation agricole*]=A707,FarmUnit[3. Superficie de l’unité agricole (ha)*])),"!","-"))</f>
        <v>!</v>
      </c>
      <c r="J707" s="9" t="str">
        <f ca="1">IFERROR(CONCATENATE(VLOOKUP(A707,GM_Table,12,FALSE)," ",(VLOOKUP(A707,GM_Table,13,FALSE))),"")</f>
        <v/>
      </c>
    </row>
    <row r="708" spans="1:10" ht="15" x14ac:dyDescent="0.2">
      <c r="A708" s="193" t="s">
        <v>2609</v>
      </c>
      <c r="B708" s="193" t="s">
        <v>2609</v>
      </c>
      <c r="C708" s="264">
        <v>1.57</v>
      </c>
      <c r="D708" s="270">
        <v>6.7320000000000002</v>
      </c>
      <c r="E708" s="270">
        <v>-8.0273000000000003</v>
      </c>
      <c r="F708" s="122" t="b">
        <f>IF(ISBLANK(FarmUnit[[#This Row],[1. Identifiant interne d’exploitation agricole*]]),"",IF(ISERROR(MATCH(FarmUnit[[#This Row],[1. Identifiant interne d’exploitation agricole*]],GroupMember[1. Identifiant interne d’exploitation agricole*],0)),FALSE,TRUE))</f>
        <v>1</v>
      </c>
      <c r="G708" s="4">
        <f t="shared" si="23"/>
        <v>6.7320000000000002</v>
      </c>
      <c r="H708" s="4">
        <f t="shared" si="24"/>
        <v>-8.0273000000000003</v>
      </c>
      <c r="I708" s="20" t="str">
        <f t="array" ref="I708">IF(ISBLANK(C708),"",IF(C708=MAX(IF(FarmUnit[1. Identifiant interne d’exploitation agricole*]=A708,FarmUnit[3. Superficie de l’unité agricole (ha)*])),"!","-"))</f>
        <v>!</v>
      </c>
      <c r="J708" s="9" t="str">
        <f ca="1">IFERROR(CONCATENATE(VLOOKUP(A708,GM_Table,12,FALSE)," ",(VLOOKUP(A708,GM_Table,13,FALSE))),"")</f>
        <v/>
      </c>
    </row>
    <row r="709" spans="1:10" ht="15" x14ac:dyDescent="0.2">
      <c r="A709" s="193" t="s">
        <v>2610</v>
      </c>
      <c r="B709" s="193" t="s">
        <v>2610</v>
      </c>
      <c r="C709" s="264">
        <v>2.85</v>
      </c>
      <c r="D709" s="270">
        <v>6.7633999999999999</v>
      </c>
      <c r="E709" s="270">
        <v>-8.0393000000000008</v>
      </c>
      <c r="F709" s="122" t="b">
        <f>IF(ISBLANK(FarmUnit[[#This Row],[1. Identifiant interne d’exploitation agricole*]]),"",IF(ISERROR(MATCH(FarmUnit[[#This Row],[1. Identifiant interne d’exploitation agricole*]],GroupMember[1. Identifiant interne d’exploitation agricole*],0)),FALSE,TRUE))</f>
        <v>1</v>
      </c>
      <c r="G709" s="4">
        <f t="shared" si="23"/>
        <v>6.7633999999999999</v>
      </c>
      <c r="H709" s="4">
        <f t="shared" si="24"/>
        <v>-8.0393000000000008</v>
      </c>
      <c r="I709" s="20" t="str">
        <f t="array" ref="I709">IF(ISBLANK(C709),"",IF(C709=MAX(IF(FarmUnit[1. Identifiant interne d’exploitation agricole*]=A709,FarmUnit[3. Superficie de l’unité agricole (ha)*])),"!","-"))</f>
        <v>!</v>
      </c>
      <c r="J709" s="9" t="str">
        <f ca="1">IFERROR(CONCATENATE(VLOOKUP(A709,GM_Table,12,FALSE)," ",(VLOOKUP(A709,GM_Table,13,FALSE))),"")</f>
        <v/>
      </c>
    </row>
    <row r="710" spans="1:10" ht="15" x14ac:dyDescent="0.2">
      <c r="A710" s="193" t="s">
        <v>2612</v>
      </c>
      <c r="B710" s="193" t="s">
        <v>2612</v>
      </c>
      <c r="C710" s="264">
        <v>4.76</v>
      </c>
      <c r="D710" s="270">
        <v>6.7319000000000004</v>
      </c>
      <c r="E710" s="270">
        <v>-8.0265000000000004</v>
      </c>
      <c r="F710" s="122" t="b">
        <f>IF(ISBLANK(FarmUnit[[#This Row],[1. Identifiant interne d’exploitation agricole*]]),"",IF(ISERROR(MATCH(FarmUnit[[#This Row],[1. Identifiant interne d’exploitation agricole*]],GroupMember[1. Identifiant interne d’exploitation agricole*],0)),FALSE,TRUE))</f>
        <v>1</v>
      </c>
      <c r="G710" s="4">
        <f t="shared" si="23"/>
        <v>6.7319000000000004</v>
      </c>
      <c r="H710" s="4">
        <f t="shared" si="24"/>
        <v>-8.0265000000000004</v>
      </c>
      <c r="I710" s="20" t="str">
        <f t="array" ref="I710">IF(ISBLANK(C710),"",IF(C710=MAX(IF(FarmUnit[1. Identifiant interne d’exploitation agricole*]=A710,FarmUnit[3. Superficie de l’unité agricole (ha)*])),"!","-"))</f>
        <v>!</v>
      </c>
      <c r="J710" s="9" t="str">
        <f ca="1">IFERROR(CONCATENATE(VLOOKUP(A710,GM_Table,12,FALSE)," ",(VLOOKUP(A710,GM_Table,13,FALSE))),"")</f>
        <v/>
      </c>
    </row>
    <row r="711" spans="1:10" ht="15" x14ac:dyDescent="0.2">
      <c r="A711" s="193" t="s">
        <v>2613</v>
      </c>
      <c r="B711" s="193" t="s">
        <v>2613</v>
      </c>
      <c r="C711" s="264">
        <v>2.0699999999999998</v>
      </c>
      <c r="D711" s="270">
        <v>6.7321999999999997</v>
      </c>
      <c r="E711" s="270">
        <v>-8.0263000000000009</v>
      </c>
      <c r="F711" s="122" t="b">
        <f>IF(ISBLANK(FarmUnit[[#This Row],[1. Identifiant interne d’exploitation agricole*]]),"",IF(ISERROR(MATCH(FarmUnit[[#This Row],[1. Identifiant interne d’exploitation agricole*]],GroupMember[1. Identifiant interne d’exploitation agricole*],0)),FALSE,TRUE))</f>
        <v>1</v>
      </c>
      <c r="G711" s="4">
        <f t="shared" si="23"/>
        <v>6.7321999999999997</v>
      </c>
      <c r="H711" s="4">
        <f t="shared" si="24"/>
        <v>-8.0263000000000009</v>
      </c>
      <c r="I711" s="20" t="str">
        <f t="array" ref="I711">IF(ISBLANK(C711),"",IF(C711=MAX(IF(FarmUnit[1. Identifiant interne d’exploitation agricole*]=A711,FarmUnit[3. Superficie de l’unité agricole (ha)*])),"!","-"))</f>
        <v>!</v>
      </c>
      <c r="J711" s="9" t="str">
        <f ca="1">IFERROR(CONCATENATE(VLOOKUP(A711,GM_Table,12,FALSE)," ",(VLOOKUP(A711,GM_Table,13,FALSE))),"")</f>
        <v/>
      </c>
    </row>
    <row r="712" spans="1:10" ht="15" x14ac:dyDescent="0.2">
      <c r="A712" s="193" t="s">
        <v>2615</v>
      </c>
      <c r="B712" s="193" t="s">
        <v>2615</v>
      </c>
      <c r="C712" s="264">
        <v>2.46</v>
      </c>
      <c r="D712" s="270">
        <v>6.7331000000000003</v>
      </c>
      <c r="E712" s="270">
        <v>-8.0334000000000003</v>
      </c>
      <c r="F712" s="122" t="b">
        <f>IF(ISBLANK(FarmUnit[[#This Row],[1. Identifiant interne d’exploitation agricole*]]),"",IF(ISERROR(MATCH(FarmUnit[[#This Row],[1. Identifiant interne d’exploitation agricole*]],GroupMember[1. Identifiant interne d’exploitation agricole*],0)),FALSE,TRUE))</f>
        <v>1</v>
      </c>
      <c r="G712" s="4">
        <f t="shared" si="23"/>
        <v>6.7331000000000003</v>
      </c>
      <c r="H712" s="4">
        <f t="shared" si="24"/>
        <v>-8.0334000000000003</v>
      </c>
      <c r="I712" s="20" t="str">
        <f t="array" ref="I712">IF(ISBLANK(C712),"",IF(C712=MAX(IF(FarmUnit[1. Identifiant interne d’exploitation agricole*]=A712,FarmUnit[3. Superficie de l’unité agricole (ha)*])),"!","-"))</f>
        <v>!</v>
      </c>
      <c r="J712" s="9" t="str">
        <f ca="1">IFERROR(CONCATENATE(VLOOKUP(A712,GM_Table,12,FALSE)," ",(VLOOKUP(A712,GM_Table,13,FALSE))),"")</f>
        <v/>
      </c>
    </row>
    <row r="713" spans="1:10" ht="15" x14ac:dyDescent="0.2">
      <c r="A713" s="193" t="s">
        <v>2616</v>
      </c>
      <c r="B713" s="193" t="s">
        <v>2616</v>
      </c>
      <c r="C713" s="264">
        <v>2.08</v>
      </c>
      <c r="D713" s="270">
        <v>6.7628000000000004</v>
      </c>
      <c r="E713" s="270">
        <v>-8.0623000000000005</v>
      </c>
      <c r="F713" s="122" t="b">
        <f>IF(ISBLANK(FarmUnit[[#This Row],[1. Identifiant interne d’exploitation agricole*]]),"",IF(ISERROR(MATCH(FarmUnit[[#This Row],[1. Identifiant interne d’exploitation agricole*]],GroupMember[1. Identifiant interne d’exploitation agricole*],0)),FALSE,TRUE))</f>
        <v>1</v>
      </c>
      <c r="G713" s="4">
        <f t="shared" si="23"/>
        <v>6.7628000000000004</v>
      </c>
      <c r="H713" s="4">
        <f t="shared" si="24"/>
        <v>-8.0623000000000005</v>
      </c>
      <c r="I713" s="20" t="str">
        <f t="array" ref="I713">IF(ISBLANK(C713),"",IF(C713=MAX(IF(FarmUnit[1. Identifiant interne d’exploitation agricole*]=A713,FarmUnit[3. Superficie de l’unité agricole (ha)*])),"!","-"))</f>
        <v>!</v>
      </c>
      <c r="J713" s="9" t="str">
        <f ca="1">IFERROR(CONCATENATE(VLOOKUP(A713,GM_Table,12,FALSE)," ",(VLOOKUP(A713,GM_Table,13,FALSE))),"")</f>
        <v/>
      </c>
    </row>
    <row r="714" spans="1:10" ht="15" x14ac:dyDescent="0.2">
      <c r="A714" s="193" t="s">
        <v>2618</v>
      </c>
      <c r="B714" s="193" t="s">
        <v>2618</v>
      </c>
      <c r="C714" s="264">
        <v>6.08</v>
      </c>
      <c r="D714" s="270">
        <v>6.7518000000000002</v>
      </c>
      <c r="E714" s="270">
        <v>-8.0457999999999998</v>
      </c>
      <c r="F714" s="122" t="b">
        <f>IF(ISBLANK(FarmUnit[[#This Row],[1. Identifiant interne d’exploitation agricole*]]),"",IF(ISERROR(MATCH(FarmUnit[[#This Row],[1. Identifiant interne d’exploitation agricole*]],GroupMember[1. Identifiant interne d’exploitation agricole*],0)),FALSE,TRUE))</f>
        <v>1</v>
      </c>
      <c r="G714" s="4">
        <f t="shared" si="23"/>
        <v>6.7518000000000002</v>
      </c>
      <c r="H714" s="4">
        <f t="shared" si="24"/>
        <v>-8.0457999999999998</v>
      </c>
      <c r="I714" s="20" t="str">
        <f t="array" ref="I714">IF(ISBLANK(C714),"",IF(C714=MAX(IF(FarmUnit[1. Identifiant interne d’exploitation agricole*]=A714,FarmUnit[3. Superficie de l’unité agricole (ha)*])),"!","-"))</f>
        <v>!</v>
      </c>
      <c r="J714" s="9" t="str">
        <f ca="1">IFERROR(CONCATENATE(VLOOKUP(A714,GM_Table,12,FALSE)," ",(VLOOKUP(A714,GM_Table,13,FALSE))),"")</f>
        <v/>
      </c>
    </row>
    <row r="715" spans="1:10" ht="15" x14ac:dyDescent="0.2">
      <c r="A715" s="193" t="s">
        <v>2620</v>
      </c>
      <c r="B715" s="193" t="s">
        <v>2620</v>
      </c>
      <c r="C715" s="264">
        <v>1.93</v>
      </c>
      <c r="D715" s="270">
        <v>6.7534999999999998</v>
      </c>
      <c r="E715" s="270">
        <v>-8.0402000000000005</v>
      </c>
      <c r="F715" s="122" t="b">
        <f>IF(ISBLANK(FarmUnit[[#This Row],[1. Identifiant interne d’exploitation agricole*]]),"",IF(ISERROR(MATCH(FarmUnit[[#This Row],[1. Identifiant interne d’exploitation agricole*]],GroupMember[1. Identifiant interne d’exploitation agricole*],0)),FALSE,TRUE))</f>
        <v>1</v>
      </c>
      <c r="G715" s="4">
        <f t="shared" si="23"/>
        <v>6.7534999999999998</v>
      </c>
      <c r="H715" s="4">
        <f t="shared" si="24"/>
        <v>-8.0402000000000005</v>
      </c>
      <c r="I715" s="20" t="str">
        <f t="array" ref="I715">IF(ISBLANK(C715),"",IF(C715=MAX(IF(FarmUnit[1. Identifiant interne d’exploitation agricole*]=A715,FarmUnit[3. Superficie de l’unité agricole (ha)*])),"!","-"))</f>
        <v>!</v>
      </c>
      <c r="J715" s="9" t="str">
        <f ca="1">IFERROR(CONCATENATE(VLOOKUP(A715,GM_Table,12,FALSE)," ",(VLOOKUP(A715,GM_Table,13,FALSE))),"")</f>
        <v/>
      </c>
    </row>
    <row r="716" spans="1:10" ht="15" x14ac:dyDescent="0.2">
      <c r="A716" s="193" t="s">
        <v>2622</v>
      </c>
      <c r="B716" s="193" t="s">
        <v>2622</v>
      </c>
      <c r="C716" s="264">
        <v>4.8099999999999996</v>
      </c>
      <c r="D716" s="270">
        <v>6.7478999999999996</v>
      </c>
      <c r="E716" s="270">
        <v>-8.0557999999999996</v>
      </c>
      <c r="F716" s="122" t="b">
        <f>IF(ISBLANK(FarmUnit[[#This Row],[1. Identifiant interne d’exploitation agricole*]]),"",IF(ISERROR(MATCH(FarmUnit[[#This Row],[1. Identifiant interne d’exploitation agricole*]],GroupMember[1. Identifiant interne d’exploitation agricole*],0)),FALSE,TRUE))</f>
        <v>1</v>
      </c>
      <c r="G716" s="4">
        <f t="shared" si="23"/>
        <v>6.7478999999999996</v>
      </c>
      <c r="H716" s="4">
        <f t="shared" si="24"/>
        <v>-8.0557999999999996</v>
      </c>
      <c r="I716" s="20" t="str">
        <f t="array" ref="I716">IF(ISBLANK(C716),"",IF(C716=MAX(IF(FarmUnit[1. Identifiant interne d’exploitation agricole*]=A716,FarmUnit[3. Superficie de l’unité agricole (ha)*])),"!","-"))</f>
        <v>!</v>
      </c>
      <c r="J716" s="9" t="str">
        <f ca="1">IFERROR(CONCATENATE(VLOOKUP(A716,GM_Table,12,FALSE)," ",(VLOOKUP(A716,GM_Table,13,FALSE))),"")</f>
        <v/>
      </c>
    </row>
    <row r="717" spans="1:10" ht="15" x14ac:dyDescent="0.2">
      <c r="A717" s="193" t="s">
        <v>2624</v>
      </c>
      <c r="B717" s="193" t="s">
        <v>2624</v>
      </c>
      <c r="C717" s="264">
        <v>1.33</v>
      </c>
      <c r="D717" s="270">
        <v>6.7533000000000003</v>
      </c>
      <c r="E717" s="270">
        <v>-8.0189000000000004</v>
      </c>
      <c r="F717" s="122" t="b">
        <f>IF(ISBLANK(FarmUnit[[#This Row],[1. Identifiant interne d’exploitation agricole*]]),"",IF(ISERROR(MATCH(FarmUnit[[#This Row],[1. Identifiant interne d’exploitation agricole*]],GroupMember[1. Identifiant interne d’exploitation agricole*],0)),FALSE,TRUE))</f>
        <v>1</v>
      </c>
      <c r="G717" s="4">
        <f t="shared" si="23"/>
        <v>6.7533000000000003</v>
      </c>
      <c r="H717" s="4">
        <f t="shared" si="24"/>
        <v>-8.0189000000000004</v>
      </c>
      <c r="I717" s="20" t="str">
        <f t="array" ref="I717">IF(ISBLANK(C717),"",IF(C717=MAX(IF(FarmUnit[1. Identifiant interne d’exploitation agricole*]=A717,FarmUnit[3. Superficie de l’unité agricole (ha)*])),"!","-"))</f>
        <v>!</v>
      </c>
      <c r="J717" s="9" t="str">
        <f ca="1">IFERROR(CONCATENATE(VLOOKUP(A717,GM_Table,12,FALSE)," ",(VLOOKUP(A717,GM_Table,13,FALSE))),"")</f>
        <v/>
      </c>
    </row>
    <row r="718" spans="1:10" ht="15" x14ac:dyDescent="0.2">
      <c r="A718" s="193" t="s">
        <v>2627</v>
      </c>
      <c r="B718" s="193" t="s">
        <v>2627</v>
      </c>
      <c r="C718" s="264">
        <v>2.2200000000000002</v>
      </c>
      <c r="D718" s="270">
        <v>6.7450000000000001</v>
      </c>
      <c r="E718" s="270">
        <v>-8.0439000000000007</v>
      </c>
      <c r="F718" s="122" t="b">
        <f>IF(ISBLANK(FarmUnit[[#This Row],[1. Identifiant interne d’exploitation agricole*]]),"",IF(ISERROR(MATCH(FarmUnit[[#This Row],[1. Identifiant interne d’exploitation agricole*]],GroupMember[1. Identifiant interne d’exploitation agricole*],0)),FALSE,TRUE))</f>
        <v>1</v>
      </c>
      <c r="G718" s="4">
        <f t="shared" si="23"/>
        <v>6.7450000000000001</v>
      </c>
      <c r="H718" s="4">
        <f t="shared" si="24"/>
        <v>-8.0439000000000007</v>
      </c>
      <c r="I718" s="20" t="str">
        <f t="array" ref="I718">IF(ISBLANK(C718),"",IF(C718=MAX(IF(FarmUnit[1. Identifiant interne d’exploitation agricole*]=A718,FarmUnit[3. Superficie de l’unité agricole (ha)*])),"!","-"))</f>
        <v>!</v>
      </c>
      <c r="J718" s="9" t="str">
        <f ca="1">IFERROR(CONCATENATE(VLOOKUP(A718,GM_Table,12,FALSE)," ",(VLOOKUP(A718,GM_Table,13,FALSE))),"")</f>
        <v/>
      </c>
    </row>
    <row r="719" spans="1:10" ht="15" x14ac:dyDescent="0.2">
      <c r="A719" s="193" t="s">
        <v>2628</v>
      </c>
      <c r="B719" s="193" t="s">
        <v>2628</v>
      </c>
      <c r="C719" s="264">
        <v>3.93</v>
      </c>
      <c r="D719" s="270">
        <v>6.7610999999999999</v>
      </c>
      <c r="E719" s="270">
        <v>-8.0173000000000005</v>
      </c>
      <c r="F719" s="122" t="b">
        <f>IF(ISBLANK(FarmUnit[[#This Row],[1. Identifiant interne d’exploitation agricole*]]),"",IF(ISERROR(MATCH(FarmUnit[[#This Row],[1. Identifiant interne d’exploitation agricole*]],GroupMember[1. Identifiant interne d’exploitation agricole*],0)),FALSE,TRUE))</f>
        <v>1</v>
      </c>
      <c r="G719" s="4">
        <f t="shared" si="23"/>
        <v>6.7610999999999999</v>
      </c>
      <c r="H719" s="4">
        <f t="shared" si="24"/>
        <v>-8.0173000000000005</v>
      </c>
      <c r="I719" s="20" t="str">
        <f t="array" ref="I719">IF(ISBLANK(C719),"",IF(C719=MAX(IF(FarmUnit[1. Identifiant interne d’exploitation agricole*]=A719,FarmUnit[3. Superficie de l’unité agricole (ha)*])),"!","-"))</f>
        <v>!</v>
      </c>
      <c r="J719" s="9" t="str">
        <f ca="1">IFERROR(CONCATENATE(VLOOKUP(A719,GM_Table,12,FALSE)," ",(VLOOKUP(A719,GM_Table,13,FALSE))),"")</f>
        <v/>
      </c>
    </row>
    <row r="720" spans="1:10" ht="15" x14ac:dyDescent="0.2">
      <c r="A720" s="193" t="s">
        <v>2629</v>
      </c>
      <c r="B720" s="193" t="s">
        <v>2629</v>
      </c>
      <c r="C720" s="264">
        <v>4.67</v>
      </c>
      <c r="D720" s="270">
        <v>6.7352999999999996</v>
      </c>
      <c r="E720" s="270">
        <v>-8.0405999999999995</v>
      </c>
      <c r="F720" s="122" t="b">
        <f>IF(ISBLANK(FarmUnit[[#This Row],[1. Identifiant interne d’exploitation agricole*]]),"",IF(ISERROR(MATCH(FarmUnit[[#This Row],[1. Identifiant interne d’exploitation agricole*]],GroupMember[1. Identifiant interne d’exploitation agricole*],0)),FALSE,TRUE))</f>
        <v>1</v>
      </c>
      <c r="G720" s="4">
        <f t="shared" si="23"/>
        <v>6.7352999999999996</v>
      </c>
      <c r="H720" s="4">
        <f t="shared" si="24"/>
        <v>-8.0405999999999995</v>
      </c>
      <c r="I720" s="20" t="str">
        <f t="array" ref="I720">IF(ISBLANK(C720),"",IF(C720=MAX(IF(FarmUnit[1. Identifiant interne d’exploitation agricole*]=A720,FarmUnit[3. Superficie de l’unité agricole (ha)*])),"!","-"))</f>
        <v>!</v>
      </c>
      <c r="J720" s="9" t="str">
        <f ca="1">IFERROR(CONCATENATE(VLOOKUP(A720,GM_Table,12,FALSE)," ",(VLOOKUP(A720,GM_Table,13,FALSE))),"")</f>
        <v/>
      </c>
    </row>
    <row r="721" spans="1:10" ht="15" x14ac:dyDescent="0.2">
      <c r="A721" s="193" t="s">
        <v>2632</v>
      </c>
      <c r="B721" s="193" t="s">
        <v>2632</v>
      </c>
      <c r="C721" s="264">
        <v>1.62</v>
      </c>
      <c r="D721" s="270">
        <v>6.7450999999999999</v>
      </c>
      <c r="E721" s="270">
        <v>-8.0122</v>
      </c>
      <c r="F721" s="122" t="b">
        <f>IF(ISBLANK(FarmUnit[[#This Row],[1. Identifiant interne d’exploitation agricole*]]),"",IF(ISERROR(MATCH(FarmUnit[[#This Row],[1. Identifiant interne d’exploitation agricole*]],GroupMember[1. Identifiant interne d’exploitation agricole*],0)),FALSE,TRUE))</f>
        <v>1</v>
      </c>
      <c r="G721" s="4">
        <f t="shared" si="23"/>
        <v>6.7450999999999999</v>
      </c>
      <c r="H721" s="4">
        <f t="shared" si="24"/>
        <v>-8.0122</v>
      </c>
      <c r="I721" s="20" t="str">
        <f t="array" ref="I721">IF(ISBLANK(C721),"",IF(C721=MAX(IF(FarmUnit[1. Identifiant interne d’exploitation agricole*]=A721,FarmUnit[3. Superficie de l’unité agricole (ha)*])),"!","-"))</f>
        <v>!</v>
      </c>
      <c r="J721" s="9" t="str">
        <f ca="1">IFERROR(CONCATENATE(VLOOKUP(A721,GM_Table,12,FALSE)," ",(VLOOKUP(A721,GM_Table,13,FALSE))),"")</f>
        <v/>
      </c>
    </row>
    <row r="722" spans="1:10" ht="15" x14ac:dyDescent="0.2">
      <c r="A722" s="193" t="s">
        <v>2634</v>
      </c>
      <c r="B722" s="193" t="s">
        <v>2634</v>
      </c>
      <c r="C722" s="264">
        <v>2.79</v>
      </c>
      <c r="D722" s="270">
        <v>6.7382</v>
      </c>
      <c r="E722" s="270">
        <v>-8.0363000000000007</v>
      </c>
      <c r="F722" s="122" t="b">
        <f>IF(ISBLANK(FarmUnit[[#This Row],[1. Identifiant interne d’exploitation agricole*]]),"",IF(ISERROR(MATCH(FarmUnit[[#This Row],[1. Identifiant interne d’exploitation agricole*]],GroupMember[1. Identifiant interne d’exploitation agricole*],0)),FALSE,TRUE))</f>
        <v>1</v>
      </c>
      <c r="G722" s="4">
        <f t="shared" si="23"/>
        <v>6.7382</v>
      </c>
      <c r="H722" s="4">
        <f t="shared" si="24"/>
        <v>-8.0363000000000007</v>
      </c>
      <c r="I722" s="20" t="str">
        <f t="array" ref="I722">IF(ISBLANK(C722),"",IF(C722=MAX(IF(FarmUnit[1. Identifiant interne d’exploitation agricole*]=A722,FarmUnit[3. Superficie de l’unité agricole (ha)*])),"!","-"))</f>
        <v>!</v>
      </c>
      <c r="J722" s="9" t="str">
        <f ca="1">IFERROR(CONCATENATE(VLOOKUP(A722,GM_Table,12,FALSE)," ",(VLOOKUP(A722,GM_Table,13,FALSE))),"")</f>
        <v/>
      </c>
    </row>
    <row r="723" spans="1:10" ht="15" x14ac:dyDescent="0.2">
      <c r="A723" s="193" t="s">
        <v>2636</v>
      </c>
      <c r="B723" s="193" t="s">
        <v>2636</v>
      </c>
      <c r="C723" s="264">
        <v>2.99</v>
      </c>
      <c r="D723" s="270">
        <v>6.7544000000000004</v>
      </c>
      <c r="E723" s="270">
        <v>-8.0239999999999991</v>
      </c>
      <c r="F723" s="122" t="b">
        <f>IF(ISBLANK(FarmUnit[[#This Row],[1. Identifiant interne d’exploitation agricole*]]),"",IF(ISERROR(MATCH(FarmUnit[[#This Row],[1. Identifiant interne d’exploitation agricole*]],GroupMember[1. Identifiant interne d’exploitation agricole*],0)),FALSE,TRUE))</f>
        <v>1</v>
      </c>
      <c r="G723" s="4">
        <f t="shared" si="23"/>
        <v>6.7544000000000004</v>
      </c>
      <c r="H723" s="4">
        <f t="shared" si="24"/>
        <v>-8.0239999999999991</v>
      </c>
      <c r="I723" s="20" t="str">
        <f t="array" ref="I723">IF(ISBLANK(C723),"",IF(C723=MAX(IF(FarmUnit[1. Identifiant interne d’exploitation agricole*]=A723,FarmUnit[3. Superficie de l’unité agricole (ha)*])),"!","-"))</f>
        <v>!</v>
      </c>
      <c r="J723" s="9" t="str">
        <f ca="1">IFERROR(CONCATENATE(VLOOKUP(A723,GM_Table,12,FALSE)," ",(VLOOKUP(A723,GM_Table,13,FALSE))),"")</f>
        <v/>
      </c>
    </row>
    <row r="724" spans="1:10" ht="15" x14ac:dyDescent="0.2">
      <c r="A724" s="193" t="s">
        <v>2638</v>
      </c>
      <c r="B724" s="193" t="s">
        <v>2638</v>
      </c>
      <c r="C724" s="264">
        <v>1.99</v>
      </c>
      <c r="D724" s="270">
        <v>6.7362000000000002</v>
      </c>
      <c r="E724" s="270">
        <v>-8.0387000000000004</v>
      </c>
      <c r="F724" s="122" t="b">
        <f>IF(ISBLANK(FarmUnit[[#This Row],[1. Identifiant interne d’exploitation agricole*]]),"",IF(ISERROR(MATCH(FarmUnit[[#This Row],[1. Identifiant interne d’exploitation agricole*]],GroupMember[1. Identifiant interne d’exploitation agricole*],0)),FALSE,TRUE))</f>
        <v>1</v>
      </c>
      <c r="G724" s="4">
        <f t="shared" si="23"/>
        <v>6.7362000000000002</v>
      </c>
      <c r="H724" s="4">
        <f t="shared" si="24"/>
        <v>-8.0387000000000004</v>
      </c>
      <c r="I724" s="20" t="str">
        <f t="array" ref="I724">IF(ISBLANK(C724),"",IF(C724=MAX(IF(FarmUnit[1. Identifiant interne d’exploitation agricole*]=A724,FarmUnit[3. Superficie de l’unité agricole (ha)*])),"!","-"))</f>
        <v>!</v>
      </c>
      <c r="J724" s="9" t="str">
        <f ca="1">IFERROR(CONCATENATE(VLOOKUP(A724,GM_Table,12,FALSE)," ",(VLOOKUP(A724,GM_Table,13,FALSE))),"")</f>
        <v/>
      </c>
    </row>
    <row r="725" spans="1:10" ht="15" x14ac:dyDescent="0.2">
      <c r="A725" s="193" t="s">
        <v>2641</v>
      </c>
      <c r="B725" s="193" t="s">
        <v>2641</v>
      </c>
      <c r="C725" s="264">
        <v>3.07</v>
      </c>
      <c r="D725" s="270">
        <v>6.7397</v>
      </c>
      <c r="E725" s="270">
        <v>-8.0351999999999997</v>
      </c>
      <c r="F725" s="122" t="b">
        <f>IF(ISBLANK(FarmUnit[[#This Row],[1. Identifiant interne d’exploitation agricole*]]),"",IF(ISERROR(MATCH(FarmUnit[[#This Row],[1. Identifiant interne d’exploitation agricole*]],GroupMember[1. Identifiant interne d’exploitation agricole*],0)),FALSE,TRUE))</f>
        <v>1</v>
      </c>
      <c r="G725" s="4">
        <f t="shared" si="23"/>
        <v>6.7397</v>
      </c>
      <c r="H725" s="4">
        <f t="shared" si="24"/>
        <v>-8.0351999999999997</v>
      </c>
      <c r="I725" s="20" t="str">
        <f t="array" ref="I725">IF(ISBLANK(C725),"",IF(C725=MAX(IF(FarmUnit[1. Identifiant interne d’exploitation agricole*]=A725,FarmUnit[3. Superficie de l’unité agricole (ha)*])),"!","-"))</f>
        <v>!</v>
      </c>
      <c r="J725" s="9" t="str">
        <f ca="1">IFERROR(CONCATENATE(VLOOKUP(A725,GM_Table,12,FALSE)," ",(VLOOKUP(A725,GM_Table,13,FALSE))),"")</f>
        <v/>
      </c>
    </row>
    <row r="726" spans="1:10" ht="15" x14ac:dyDescent="0.2">
      <c r="A726" s="193" t="s">
        <v>2643</v>
      </c>
      <c r="B726" s="193" t="s">
        <v>2643</v>
      </c>
      <c r="C726" s="264">
        <v>5.26</v>
      </c>
      <c r="D726" s="270">
        <v>6.7526000000000002</v>
      </c>
      <c r="E726" s="270">
        <v>-8.0294000000000008</v>
      </c>
      <c r="F726" s="122" t="b">
        <f>IF(ISBLANK(FarmUnit[[#This Row],[1. Identifiant interne d’exploitation agricole*]]),"",IF(ISERROR(MATCH(FarmUnit[[#This Row],[1. Identifiant interne d’exploitation agricole*]],GroupMember[1. Identifiant interne d’exploitation agricole*],0)),FALSE,TRUE))</f>
        <v>1</v>
      </c>
      <c r="G726" s="4">
        <f t="shared" si="23"/>
        <v>6.7526000000000002</v>
      </c>
      <c r="H726" s="4">
        <f t="shared" si="24"/>
        <v>-8.0294000000000008</v>
      </c>
      <c r="I726" s="20" t="str">
        <f t="array" ref="I726">IF(ISBLANK(C726),"",IF(C726=MAX(IF(FarmUnit[1. Identifiant interne d’exploitation agricole*]=A726,FarmUnit[3. Superficie de l’unité agricole (ha)*])),"!","-"))</f>
        <v>!</v>
      </c>
      <c r="J726" s="9" t="str">
        <f ca="1">IFERROR(CONCATENATE(VLOOKUP(A726,GM_Table,12,FALSE)," ",(VLOOKUP(A726,GM_Table,13,FALSE))),"")</f>
        <v/>
      </c>
    </row>
    <row r="727" spans="1:10" ht="15" x14ac:dyDescent="0.2">
      <c r="A727" s="193" t="s">
        <v>2645</v>
      </c>
      <c r="B727" s="193" t="s">
        <v>2645</v>
      </c>
      <c r="C727" s="264">
        <v>0.97</v>
      </c>
      <c r="D727" s="270">
        <v>6.6837</v>
      </c>
      <c r="E727" s="270">
        <v>-8.0646000000000004</v>
      </c>
      <c r="F727" s="122" t="b">
        <f>IF(ISBLANK(FarmUnit[[#This Row],[1. Identifiant interne d’exploitation agricole*]]),"",IF(ISERROR(MATCH(FarmUnit[[#This Row],[1. Identifiant interne d’exploitation agricole*]],GroupMember[1. Identifiant interne d’exploitation agricole*],0)),FALSE,TRUE))</f>
        <v>1</v>
      </c>
      <c r="G727" s="4">
        <f t="shared" si="23"/>
        <v>6.6837</v>
      </c>
      <c r="H727" s="4">
        <f t="shared" si="24"/>
        <v>-8.0646000000000004</v>
      </c>
      <c r="I727" s="20" t="str">
        <f t="array" ref="I727">IF(ISBLANK(C727),"",IF(C727=MAX(IF(FarmUnit[1. Identifiant interne d’exploitation agricole*]=A727,FarmUnit[3. Superficie de l’unité agricole (ha)*])),"!","-"))</f>
        <v>!</v>
      </c>
      <c r="J727" s="9" t="str">
        <f ca="1">IFERROR(CONCATENATE(VLOOKUP(A727,GM_Table,12,FALSE)," ",(VLOOKUP(A727,GM_Table,13,FALSE))),"")</f>
        <v/>
      </c>
    </row>
    <row r="728" spans="1:10" ht="15" x14ac:dyDescent="0.2">
      <c r="A728" s="193" t="s">
        <v>2648</v>
      </c>
      <c r="B728" s="193" t="s">
        <v>2648</v>
      </c>
      <c r="C728" s="264">
        <v>3.18</v>
      </c>
      <c r="D728" s="270">
        <v>6.6807999999999996</v>
      </c>
      <c r="E728" s="270">
        <v>-8.0650999999999993</v>
      </c>
      <c r="F728" s="122" t="b">
        <f>IF(ISBLANK(FarmUnit[[#This Row],[1. Identifiant interne d’exploitation agricole*]]),"",IF(ISERROR(MATCH(FarmUnit[[#This Row],[1. Identifiant interne d’exploitation agricole*]],GroupMember[1. Identifiant interne d’exploitation agricole*],0)),FALSE,TRUE))</f>
        <v>1</v>
      </c>
      <c r="G728" s="4">
        <f t="shared" si="23"/>
        <v>6.6807999999999996</v>
      </c>
      <c r="H728" s="4">
        <f t="shared" si="24"/>
        <v>-8.0650999999999993</v>
      </c>
      <c r="I728" s="20" t="str">
        <f t="array" ref="I728">IF(ISBLANK(C728),"",IF(C728=MAX(IF(FarmUnit[1. Identifiant interne d’exploitation agricole*]=A728,FarmUnit[3. Superficie de l’unité agricole (ha)*])),"!","-"))</f>
        <v>!</v>
      </c>
      <c r="J728" s="9" t="str">
        <f ca="1">IFERROR(CONCATENATE(VLOOKUP(A728,GM_Table,12,FALSE)," ",(VLOOKUP(A728,GM_Table,13,FALSE))),"")</f>
        <v/>
      </c>
    </row>
    <row r="729" spans="1:10" ht="15" x14ac:dyDescent="0.2">
      <c r="A729" s="193" t="s">
        <v>2651</v>
      </c>
      <c r="B729" s="193" t="s">
        <v>2651</v>
      </c>
      <c r="C729" s="264">
        <v>0.67</v>
      </c>
      <c r="D729" s="270">
        <v>6.6801000000000004</v>
      </c>
      <c r="E729" s="270">
        <v>-8.0688999999999993</v>
      </c>
      <c r="F729" s="122" t="b">
        <f>IF(ISBLANK(FarmUnit[[#This Row],[1. Identifiant interne d’exploitation agricole*]]),"",IF(ISERROR(MATCH(FarmUnit[[#This Row],[1. Identifiant interne d’exploitation agricole*]],GroupMember[1. Identifiant interne d’exploitation agricole*],0)),FALSE,TRUE))</f>
        <v>1</v>
      </c>
      <c r="G729" s="4">
        <f t="shared" si="23"/>
        <v>6.6801000000000004</v>
      </c>
      <c r="H729" s="4">
        <f t="shared" si="24"/>
        <v>-8.0688999999999993</v>
      </c>
      <c r="I729" s="20" t="str">
        <f t="array" ref="I729">IF(ISBLANK(C729),"",IF(C729=MAX(IF(FarmUnit[1. Identifiant interne d’exploitation agricole*]=A729,FarmUnit[3. Superficie de l’unité agricole (ha)*])),"!","-"))</f>
        <v>!</v>
      </c>
      <c r="J729" s="9" t="str">
        <f ca="1">IFERROR(CONCATENATE(VLOOKUP(A729,GM_Table,12,FALSE)," ",(VLOOKUP(A729,GM_Table,13,FALSE))),"")</f>
        <v/>
      </c>
    </row>
    <row r="730" spans="1:10" ht="15" x14ac:dyDescent="0.2">
      <c r="A730" s="193" t="s">
        <v>2653</v>
      </c>
      <c r="B730" s="193" t="s">
        <v>2653</v>
      </c>
      <c r="C730" s="264">
        <v>3.55</v>
      </c>
      <c r="D730" s="270">
        <v>6.6824000000000003</v>
      </c>
      <c r="E730" s="270">
        <v>-8.0681999999999992</v>
      </c>
      <c r="F730" s="122" t="b">
        <f>IF(ISBLANK(FarmUnit[[#This Row],[1. Identifiant interne d’exploitation agricole*]]),"",IF(ISERROR(MATCH(FarmUnit[[#This Row],[1. Identifiant interne d’exploitation agricole*]],GroupMember[1. Identifiant interne d’exploitation agricole*],0)),FALSE,TRUE))</f>
        <v>1</v>
      </c>
      <c r="G730" s="4">
        <f t="shared" si="23"/>
        <v>6.6824000000000003</v>
      </c>
      <c r="H730" s="4">
        <f t="shared" si="24"/>
        <v>-8.0681999999999992</v>
      </c>
      <c r="I730" s="20" t="str">
        <f t="array" ref="I730">IF(ISBLANK(C730),"",IF(C730=MAX(IF(FarmUnit[1. Identifiant interne d’exploitation agricole*]=A730,FarmUnit[3. Superficie de l’unité agricole (ha)*])),"!","-"))</f>
        <v>!</v>
      </c>
      <c r="J730" s="9" t="str">
        <f ca="1">IFERROR(CONCATENATE(VLOOKUP(A730,GM_Table,12,FALSE)," ",(VLOOKUP(A730,GM_Table,13,FALSE))),"")</f>
        <v/>
      </c>
    </row>
    <row r="731" spans="1:10" ht="15" x14ac:dyDescent="0.2">
      <c r="A731" s="193" t="s">
        <v>2655</v>
      </c>
      <c r="B731" s="193" t="s">
        <v>2655</v>
      </c>
      <c r="C731" s="264">
        <v>2.23</v>
      </c>
      <c r="D731" s="270">
        <v>6.6833999999999998</v>
      </c>
      <c r="E731" s="270">
        <v>-8.0688999999999993</v>
      </c>
      <c r="F731" s="122" t="b">
        <f>IF(ISBLANK(FarmUnit[[#This Row],[1. Identifiant interne d’exploitation agricole*]]),"",IF(ISERROR(MATCH(FarmUnit[[#This Row],[1. Identifiant interne d’exploitation agricole*]],GroupMember[1. Identifiant interne d’exploitation agricole*],0)),FALSE,TRUE))</f>
        <v>1</v>
      </c>
      <c r="G731" s="4">
        <f t="shared" si="23"/>
        <v>6.6833999999999998</v>
      </c>
      <c r="H731" s="4">
        <f t="shared" si="24"/>
        <v>-8.0688999999999993</v>
      </c>
      <c r="I731" s="20" t="str">
        <f t="array" ref="I731">IF(ISBLANK(C731),"",IF(C731=MAX(IF(FarmUnit[1. Identifiant interne d’exploitation agricole*]=A731,FarmUnit[3. Superficie de l’unité agricole (ha)*])),"!","-"))</f>
        <v>!</v>
      </c>
      <c r="J731" s="9" t="str">
        <f ca="1">IFERROR(CONCATENATE(VLOOKUP(A731,GM_Table,12,FALSE)," ",(VLOOKUP(A731,GM_Table,13,FALSE))),"")</f>
        <v/>
      </c>
    </row>
    <row r="732" spans="1:10" ht="15" x14ac:dyDescent="0.2">
      <c r="A732" s="193" t="s">
        <v>2657</v>
      </c>
      <c r="B732" s="193" t="s">
        <v>2657</v>
      </c>
      <c r="C732" s="264">
        <v>3.25</v>
      </c>
      <c r="D732" s="270">
        <v>6.6820000000000004</v>
      </c>
      <c r="E732" s="270">
        <v>-8.0724999999999998</v>
      </c>
      <c r="F732" s="122" t="b">
        <f>IF(ISBLANK(FarmUnit[[#This Row],[1. Identifiant interne d’exploitation agricole*]]),"",IF(ISERROR(MATCH(FarmUnit[[#This Row],[1. Identifiant interne d’exploitation agricole*]],GroupMember[1. Identifiant interne d’exploitation agricole*],0)),FALSE,TRUE))</f>
        <v>1</v>
      </c>
      <c r="G732" s="4">
        <f t="shared" si="23"/>
        <v>6.6820000000000004</v>
      </c>
      <c r="H732" s="4">
        <f t="shared" si="24"/>
        <v>-8.0724999999999998</v>
      </c>
      <c r="I732" s="20" t="str">
        <f t="array" ref="I732">IF(ISBLANK(C732),"",IF(C732=MAX(IF(FarmUnit[1. Identifiant interne d’exploitation agricole*]=A732,FarmUnit[3. Superficie de l’unité agricole (ha)*])),"!","-"))</f>
        <v>!</v>
      </c>
      <c r="J732" s="9" t="str">
        <f ca="1">IFERROR(CONCATENATE(VLOOKUP(A732,GM_Table,12,FALSE)," ",(VLOOKUP(A732,GM_Table,13,FALSE))),"")</f>
        <v/>
      </c>
    </row>
    <row r="733" spans="1:10" ht="15" x14ac:dyDescent="0.2">
      <c r="A733" s="193" t="s">
        <v>2659</v>
      </c>
      <c r="B733" s="193" t="s">
        <v>2659</v>
      </c>
      <c r="C733" s="264">
        <v>2.72</v>
      </c>
      <c r="D733" s="270">
        <v>6.7088999999999999</v>
      </c>
      <c r="E733" s="270">
        <v>-8.0570000000000004</v>
      </c>
      <c r="F733" s="122" t="b">
        <f>IF(ISBLANK(FarmUnit[[#This Row],[1. Identifiant interne d’exploitation agricole*]]),"",IF(ISERROR(MATCH(FarmUnit[[#This Row],[1. Identifiant interne d’exploitation agricole*]],GroupMember[1. Identifiant interne d’exploitation agricole*],0)),FALSE,TRUE))</f>
        <v>1</v>
      </c>
      <c r="G733" s="4">
        <f t="shared" si="23"/>
        <v>6.7088999999999999</v>
      </c>
      <c r="H733" s="4">
        <f t="shared" si="24"/>
        <v>-8.0570000000000004</v>
      </c>
      <c r="I733" s="20" t="str">
        <f t="array" ref="I733">IF(ISBLANK(C733),"",IF(C733=MAX(IF(FarmUnit[1. Identifiant interne d’exploitation agricole*]=A733,FarmUnit[3. Superficie de l’unité agricole (ha)*])),"!","-"))</f>
        <v>!</v>
      </c>
      <c r="J733" s="9" t="str">
        <f ca="1">IFERROR(CONCATENATE(VLOOKUP(A733,GM_Table,12,FALSE)," ",(VLOOKUP(A733,GM_Table,13,FALSE))),"")</f>
        <v/>
      </c>
    </row>
    <row r="734" spans="1:10" ht="15" x14ac:dyDescent="0.2">
      <c r="A734" s="193" t="s">
        <v>2661</v>
      </c>
      <c r="B734" s="193" t="s">
        <v>2661</v>
      </c>
      <c r="C734" s="264">
        <v>3.04</v>
      </c>
      <c r="D734" s="270">
        <v>6.7279999999999998</v>
      </c>
      <c r="E734" s="270">
        <v>-8.0106000000000002</v>
      </c>
      <c r="F734" s="122" t="b">
        <f>IF(ISBLANK(FarmUnit[[#This Row],[1. Identifiant interne d’exploitation agricole*]]),"",IF(ISERROR(MATCH(FarmUnit[[#This Row],[1. Identifiant interne d’exploitation agricole*]],GroupMember[1. Identifiant interne d’exploitation agricole*],0)),FALSE,TRUE))</f>
        <v>1</v>
      </c>
      <c r="G734" s="4">
        <f t="shared" si="23"/>
        <v>6.7279999999999998</v>
      </c>
      <c r="H734" s="4">
        <f t="shared" si="24"/>
        <v>-8.0106000000000002</v>
      </c>
      <c r="I734" s="20" t="str">
        <f t="array" ref="I734">IF(ISBLANK(C734),"",IF(C734=MAX(IF(FarmUnit[1. Identifiant interne d’exploitation agricole*]=A734,FarmUnit[3. Superficie de l’unité agricole (ha)*])),"!","-"))</f>
        <v>!</v>
      </c>
      <c r="J734" s="9" t="str">
        <f ca="1">IFERROR(CONCATENATE(VLOOKUP(A734,GM_Table,12,FALSE)," ",(VLOOKUP(A734,GM_Table,13,FALSE))),"")</f>
        <v/>
      </c>
    </row>
    <row r="735" spans="1:10" ht="15" x14ac:dyDescent="0.2">
      <c r="A735" s="193" t="s">
        <v>2663</v>
      </c>
      <c r="B735" s="193" t="s">
        <v>2663</v>
      </c>
      <c r="C735" s="264">
        <v>2.73</v>
      </c>
      <c r="D735" s="270">
        <v>6.7336</v>
      </c>
      <c r="E735" s="270">
        <v>-8.0411999999999999</v>
      </c>
      <c r="F735" s="122" t="b">
        <f>IF(ISBLANK(FarmUnit[[#This Row],[1. Identifiant interne d’exploitation agricole*]]),"",IF(ISERROR(MATCH(FarmUnit[[#This Row],[1. Identifiant interne d’exploitation agricole*]],GroupMember[1. Identifiant interne d’exploitation agricole*],0)),FALSE,TRUE))</f>
        <v>1</v>
      </c>
      <c r="G735" s="4">
        <f t="shared" si="23"/>
        <v>6.7336</v>
      </c>
      <c r="H735" s="4">
        <f t="shared" si="24"/>
        <v>-8.0411999999999999</v>
      </c>
      <c r="I735" s="20" t="str">
        <f t="array" ref="I735">IF(ISBLANK(C735),"",IF(C735=MAX(IF(FarmUnit[1. Identifiant interne d’exploitation agricole*]=A735,FarmUnit[3. Superficie de l’unité agricole (ha)*])),"!","-"))</f>
        <v>!</v>
      </c>
      <c r="J735" s="9" t="str">
        <f ca="1">IFERROR(CONCATENATE(VLOOKUP(A735,GM_Table,12,FALSE)," ",(VLOOKUP(A735,GM_Table,13,FALSE))),"")</f>
        <v/>
      </c>
    </row>
    <row r="736" spans="1:10" ht="15" x14ac:dyDescent="0.2">
      <c r="A736" s="193" t="s">
        <v>2666</v>
      </c>
      <c r="B736" s="193" t="s">
        <v>2666</v>
      </c>
      <c r="C736" s="264">
        <v>1.76</v>
      </c>
      <c r="D736" s="270">
        <v>6.734</v>
      </c>
      <c r="E736" s="270">
        <v>-8.0273000000000003</v>
      </c>
      <c r="F736" s="122" t="b">
        <f>IF(ISBLANK(FarmUnit[[#This Row],[1. Identifiant interne d’exploitation agricole*]]),"",IF(ISERROR(MATCH(FarmUnit[[#This Row],[1. Identifiant interne d’exploitation agricole*]],GroupMember[1. Identifiant interne d’exploitation agricole*],0)),FALSE,TRUE))</f>
        <v>1</v>
      </c>
      <c r="G736" s="4">
        <f t="shared" si="23"/>
        <v>6.734</v>
      </c>
      <c r="H736" s="4">
        <f t="shared" si="24"/>
        <v>-8.0273000000000003</v>
      </c>
      <c r="I736" s="20" t="str">
        <f t="array" ref="I736">IF(ISBLANK(C736),"",IF(C736=MAX(IF(FarmUnit[1. Identifiant interne d’exploitation agricole*]=A736,FarmUnit[3. Superficie de l’unité agricole (ha)*])),"!","-"))</f>
        <v>!</v>
      </c>
      <c r="J736" s="9" t="str">
        <f ca="1">IFERROR(CONCATENATE(VLOOKUP(A736,GM_Table,12,FALSE)," ",(VLOOKUP(A736,GM_Table,13,FALSE))),"")</f>
        <v/>
      </c>
    </row>
    <row r="737" spans="1:10" ht="15" x14ac:dyDescent="0.2">
      <c r="A737" s="193" t="s">
        <v>2669</v>
      </c>
      <c r="B737" s="193" t="s">
        <v>2669</v>
      </c>
      <c r="C737" s="264">
        <v>2.73</v>
      </c>
      <c r="D737" s="270">
        <v>6.7758000000000003</v>
      </c>
      <c r="E737" s="270">
        <v>-8.0096000000000007</v>
      </c>
      <c r="F737" s="122" t="b">
        <f>IF(ISBLANK(FarmUnit[[#This Row],[1. Identifiant interne d’exploitation agricole*]]),"",IF(ISERROR(MATCH(FarmUnit[[#This Row],[1. Identifiant interne d’exploitation agricole*]],GroupMember[1. Identifiant interne d’exploitation agricole*],0)),FALSE,TRUE))</f>
        <v>1</v>
      </c>
      <c r="G737" s="4">
        <f t="shared" si="23"/>
        <v>6.7758000000000003</v>
      </c>
      <c r="H737" s="4">
        <f t="shared" si="24"/>
        <v>-8.0096000000000007</v>
      </c>
      <c r="I737" s="20" t="str">
        <f t="array" ref="I737">IF(ISBLANK(C737),"",IF(C737=MAX(IF(FarmUnit[1. Identifiant interne d’exploitation agricole*]=A737,FarmUnit[3. Superficie de l’unité agricole (ha)*])),"!","-"))</f>
        <v>!</v>
      </c>
      <c r="J737" s="9" t="str">
        <f ca="1">IFERROR(CONCATENATE(VLOOKUP(A737,GM_Table,12,FALSE)," ",(VLOOKUP(A737,GM_Table,13,FALSE))),"")</f>
        <v/>
      </c>
    </row>
    <row r="738" spans="1:10" ht="15" x14ac:dyDescent="0.2">
      <c r="A738" s="193" t="s">
        <v>2672</v>
      </c>
      <c r="B738" s="193" t="s">
        <v>2672</v>
      </c>
      <c r="C738" s="264">
        <v>2.61</v>
      </c>
      <c r="D738" s="270">
        <v>6.7404000000000002</v>
      </c>
      <c r="E738" s="270">
        <v>-8.0175000000000001</v>
      </c>
      <c r="F738" s="122" t="b">
        <f>IF(ISBLANK(FarmUnit[[#This Row],[1. Identifiant interne d’exploitation agricole*]]),"",IF(ISERROR(MATCH(FarmUnit[[#This Row],[1. Identifiant interne d’exploitation agricole*]],GroupMember[1. Identifiant interne d’exploitation agricole*],0)),FALSE,TRUE))</f>
        <v>1</v>
      </c>
      <c r="G738" s="4">
        <f t="shared" si="23"/>
        <v>6.7404000000000002</v>
      </c>
      <c r="H738" s="4">
        <f t="shared" si="24"/>
        <v>-8.0175000000000001</v>
      </c>
      <c r="I738" s="20" t="str">
        <f t="array" ref="I738">IF(ISBLANK(C738),"",IF(C738=MAX(IF(FarmUnit[1. Identifiant interne d’exploitation agricole*]=A738,FarmUnit[3. Superficie de l’unité agricole (ha)*])),"!","-"))</f>
        <v>!</v>
      </c>
      <c r="J738" s="9" t="str">
        <f ca="1">IFERROR(CONCATENATE(VLOOKUP(A738,GM_Table,12,FALSE)," ",(VLOOKUP(A738,GM_Table,13,FALSE))),"")</f>
        <v/>
      </c>
    </row>
    <row r="739" spans="1:10" ht="15" x14ac:dyDescent="0.2">
      <c r="A739" s="193" t="s">
        <v>2674</v>
      </c>
      <c r="B739" s="193" t="s">
        <v>2674</v>
      </c>
      <c r="C739" s="264">
        <v>2.81</v>
      </c>
      <c r="D739" s="270">
        <v>6.7504999999999997</v>
      </c>
      <c r="E739" s="270">
        <v>-8.0182000000000002</v>
      </c>
      <c r="F739" s="122" t="b">
        <f>IF(ISBLANK(FarmUnit[[#This Row],[1. Identifiant interne d’exploitation agricole*]]),"",IF(ISERROR(MATCH(FarmUnit[[#This Row],[1. Identifiant interne d’exploitation agricole*]],GroupMember[1. Identifiant interne d’exploitation agricole*],0)),FALSE,TRUE))</f>
        <v>1</v>
      </c>
      <c r="G739" s="4">
        <f t="shared" si="23"/>
        <v>6.7504999999999997</v>
      </c>
      <c r="H739" s="4">
        <f t="shared" si="24"/>
        <v>-8.0182000000000002</v>
      </c>
      <c r="I739" s="20" t="str">
        <f t="array" ref="I739">IF(ISBLANK(C739),"",IF(C739=MAX(IF(FarmUnit[1. Identifiant interne d’exploitation agricole*]=A739,FarmUnit[3. Superficie de l’unité agricole (ha)*])),"!","-"))</f>
        <v>!</v>
      </c>
      <c r="J739" s="9" t="str">
        <f ca="1">IFERROR(CONCATENATE(VLOOKUP(A739,GM_Table,12,FALSE)," ",(VLOOKUP(A739,GM_Table,13,FALSE))),"")</f>
        <v/>
      </c>
    </row>
    <row r="740" spans="1:10" ht="15" x14ac:dyDescent="0.2">
      <c r="A740" s="193" t="s">
        <v>2677</v>
      </c>
      <c r="B740" s="193" t="s">
        <v>2677</v>
      </c>
      <c r="C740" s="264">
        <v>3.11</v>
      </c>
      <c r="D740" s="270">
        <v>6.7370000000000001</v>
      </c>
      <c r="E740" s="270">
        <v>-8.0204000000000004</v>
      </c>
      <c r="F740" s="122" t="b">
        <f>IF(ISBLANK(FarmUnit[[#This Row],[1. Identifiant interne d’exploitation agricole*]]),"",IF(ISERROR(MATCH(FarmUnit[[#This Row],[1. Identifiant interne d’exploitation agricole*]],GroupMember[1. Identifiant interne d’exploitation agricole*],0)),FALSE,TRUE))</f>
        <v>1</v>
      </c>
      <c r="G740" s="4">
        <f t="shared" si="23"/>
        <v>6.7370000000000001</v>
      </c>
      <c r="H740" s="4">
        <f t="shared" si="24"/>
        <v>-8.0204000000000004</v>
      </c>
      <c r="I740" s="20" t="str">
        <f t="array" ref="I740">IF(ISBLANK(C740),"",IF(C740=MAX(IF(FarmUnit[1. Identifiant interne d’exploitation agricole*]=A740,FarmUnit[3. Superficie de l’unité agricole (ha)*])),"!","-"))</f>
        <v>!</v>
      </c>
      <c r="J740" s="9" t="str">
        <f ca="1">IFERROR(CONCATENATE(VLOOKUP(A740,GM_Table,12,FALSE)," ",(VLOOKUP(A740,GM_Table,13,FALSE))),"")</f>
        <v/>
      </c>
    </row>
    <row r="741" spans="1:10" ht="15" x14ac:dyDescent="0.2">
      <c r="A741" s="193" t="s">
        <v>2679</v>
      </c>
      <c r="B741" s="193" t="s">
        <v>2679</v>
      </c>
      <c r="C741" s="264">
        <v>4.28</v>
      </c>
      <c r="D741" s="270">
        <v>6.7370999999999999</v>
      </c>
      <c r="E741" s="270">
        <v>-8.0313999999999997</v>
      </c>
      <c r="F741" s="122" t="b">
        <f>IF(ISBLANK(FarmUnit[[#This Row],[1. Identifiant interne d’exploitation agricole*]]),"",IF(ISERROR(MATCH(FarmUnit[[#This Row],[1. Identifiant interne d’exploitation agricole*]],GroupMember[1. Identifiant interne d’exploitation agricole*],0)),FALSE,TRUE))</f>
        <v>1</v>
      </c>
      <c r="G741" s="4">
        <f t="shared" si="23"/>
        <v>6.7370999999999999</v>
      </c>
      <c r="H741" s="4">
        <f t="shared" si="24"/>
        <v>-8.0313999999999997</v>
      </c>
      <c r="I741" s="20" t="str">
        <f t="array" ref="I741">IF(ISBLANK(C741),"",IF(C741=MAX(IF(FarmUnit[1. Identifiant interne d’exploitation agricole*]=A741,FarmUnit[3. Superficie de l’unité agricole (ha)*])),"!","-"))</f>
        <v>!</v>
      </c>
      <c r="J741" s="9" t="str">
        <f ca="1">IFERROR(CONCATENATE(VLOOKUP(A741,GM_Table,12,FALSE)," ",(VLOOKUP(A741,GM_Table,13,FALSE))),"")</f>
        <v/>
      </c>
    </row>
    <row r="742" spans="1:10" ht="15" x14ac:dyDescent="0.2">
      <c r="A742" s="193" t="s">
        <v>2680</v>
      </c>
      <c r="B742" s="193" t="s">
        <v>2680</v>
      </c>
      <c r="C742" s="264">
        <v>2.61</v>
      </c>
      <c r="D742" s="270">
        <v>6.7225999999999999</v>
      </c>
      <c r="E742" s="270">
        <v>-8.0088000000000008</v>
      </c>
      <c r="F742" s="122" t="b">
        <f>IF(ISBLANK(FarmUnit[[#This Row],[1. Identifiant interne d’exploitation agricole*]]),"",IF(ISERROR(MATCH(FarmUnit[[#This Row],[1. Identifiant interne d’exploitation agricole*]],GroupMember[1. Identifiant interne d’exploitation agricole*],0)),FALSE,TRUE))</f>
        <v>1</v>
      </c>
      <c r="G742" s="4">
        <f t="shared" si="23"/>
        <v>6.7225999999999999</v>
      </c>
      <c r="H742" s="4">
        <f t="shared" si="24"/>
        <v>-8.0088000000000008</v>
      </c>
      <c r="I742" s="20" t="str">
        <f t="array" ref="I742">IF(ISBLANK(C742),"",IF(C742=MAX(IF(FarmUnit[1. Identifiant interne d’exploitation agricole*]=A742,FarmUnit[3. Superficie de l’unité agricole (ha)*])),"!","-"))</f>
        <v>!</v>
      </c>
      <c r="J742" s="9" t="str">
        <f ca="1">IFERROR(CONCATENATE(VLOOKUP(A742,GM_Table,12,FALSE)," ",(VLOOKUP(A742,GM_Table,13,FALSE))),"")</f>
        <v/>
      </c>
    </row>
    <row r="743" spans="1:10" ht="15" x14ac:dyDescent="0.2">
      <c r="A743" s="193" t="s">
        <v>2683</v>
      </c>
      <c r="B743" s="193" t="s">
        <v>2683</v>
      </c>
      <c r="C743" s="264">
        <v>2.36</v>
      </c>
      <c r="D743" s="270">
        <v>6.7222999999999997</v>
      </c>
      <c r="E743" s="270">
        <v>-8.0085999999999995</v>
      </c>
      <c r="F743" s="122" t="b">
        <f>IF(ISBLANK(FarmUnit[[#This Row],[1. Identifiant interne d’exploitation agricole*]]),"",IF(ISERROR(MATCH(FarmUnit[[#This Row],[1. Identifiant interne d’exploitation agricole*]],GroupMember[1. Identifiant interne d’exploitation agricole*],0)),FALSE,TRUE))</f>
        <v>1</v>
      </c>
      <c r="G743" s="4">
        <f t="shared" si="23"/>
        <v>6.7222999999999997</v>
      </c>
      <c r="H743" s="4">
        <f t="shared" si="24"/>
        <v>-8.0085999999999995</v>
      </c>
      <c r="I743" s="20" t="str">
        <f t="array" ref="I743">IF(ISBLANK(C743),"",IF(C743=MAX(IF(FarmUnit[1. Identifiant interne d’exploitation agricole*]=A743,FarmUnit[3. Superficie de l’unité agricole (ha)*])),"!","-"))</f>
        <v>!</v>
      </c>
      <c r="J743" s="9" t="str">
        <f ca="1">IFERROR(CONCATENATE(VLOOKUP(A743,GM_Table,12,FALSE)," ",(VLOOKUP(A743,GM_Table,13,FALSE))),"")</f>
        <v/>
      </c>
    </row>
    <row r="744" spans="1:10" ht="15" x14ac:dyDescent="0.2">
      <c r="A744" s="193" t="s">
        <v>2685</v>
      </c>
      <c r="B744" s="193" t="s">
        <v>2685</v>
      </c>
      <c r="C744" s="264">
        <v>4.1900000000000004</v>
      </c>
      <c r="D744" s="270">
        <v>6.7430000000000003</v>
      </c>
      <c r="E744" s="270">
        <v>-8.0195000000000007</v>
      </c>
      <c r="F744" s="122" t="b">
        <f>IF(ISBLANK(FarmUnit[[#This Row],[1. Identifiant interne d’exploitation agricole*]]),"",IF(ISERROR(MATCH(FarmUnit[[#This Row],[1. Identifiant interne d’exploitation agricole*]],GroupMember[1. Identifiant interne d’exploitation agricole*],0)),FALSE,TRUE))</f>
        <v>1</v>
      </c>
      <c r="G744" s="4">
        <f t="shared" si="23"/>
        <v>6.7430000000000003</v>
      </c>
      <c r="H744" s="4">
        <f t="shared" si="24"/>
        <v>-8.0195000000000007</v>
      </c>
      <c r="I744" s="20" t="str">
        <f t="array" ref="I744">IF(ISBLANK(C744),"",IF(C744=MAX(IF(FarmUnit[1. Identifiant interne d’exploitation agricole*]=A744,FarmUnit[3. Superficie de l’unité agricole (ha)*])),"!","-"))</f>
        <v>!</v>
      </c>
      <c r="J744" s="9" t="str">
        <f ca="1">IFERROR(CONCATENATE(VLOOKUP(A744,GM_Table,12,FALSE)," ",(VLOOKUP(A744,GM_Table,13,FALSE))),"")</f>
        <v/>
      </c>
    </row>
    <row r="745" spans="1:10" ht="15" x14ac:dyDescent="0.2">
      <c r="A745" s="193" t="s">
        <v>2686</v>
      </c>
      <c r="B745" s="193" t="s">
        <v>2686</v>
      </c>
      <c r="C745" s="264">
        <v>3.59</v>
      </c>
      <c r="D745" s="270">
        <v>6.7476000000000003</v>
      </c>
      <c r="E745" s="270">
        <v>-8.0089000000000006</v>
      </c>
      <c r="F745" s="122" t="b">
        <f>IF(ISBLANK(FarmUnit[[#This Row],[1. Identifiant interne d’exploitation agricole*]]),"",IF(ISERROR(MATCH(FarmUnit[[#This Row],[1. Identifiant interne d’exploitation agricole*]],GroupMember[1. Identifiant interne d’exploitation agricole*],0)),FALSE,TRUE))</f>
        <v>1</v>
      </c>
      <c r="G745" s="4">
        <f t="shared" si="23"/>
        <v>6.7476000000000003</v>
      </c>
      <c r="H745" s="4">
        <f t="shared" si="24"/>
        <v>-8.0089000000000006</v>
      </c>
      <c r="I745" s="20" t="str">
        <f t="array" ref="I745">IF(ISBLANK(C745),"",IF(C745=MAX(IF(FarmUnit[1. Identifiant interne d’exploitation agricole*]=A745,FarmUnit[3. Superficie de l’unité agricole (ha)*])),"!","-"))</f>
        <v>!</v>
      </c>
      <c r="J745" s="9" t="str">
        <f ca="1">IFERROR(CONCATENATE(VLOOKUP(A745,GM_Table,12,FALSE)," ",(VLOOKUP(A745,GM_Table,13,FALSE))),"")</f>
        <v/>
      </c>
    </row>
    <row r="746" spans="1:10" ht="15" x14ac:dyDescent="0.2">
      <c r="A746" s="193" t="s">
        <v>2687</v>
      </c>
      <c r="B746" s="193" t="s">
        <v>2687</v>
      </c>
      <c r="C746" s="264">
        <v>3.04</v>
      </c>
      <c r="D746" s="270">
        <v>6.7431000000000001</v>
      </c>
      <c r="E746" s="270">
        <v>-8.0085999999999995</v>
      </c>
      <c r="F746" s="122" t="b">
        <f>IF(ISBLANK(FarmUnit[[#This Row],[1. Identifiant interne d’exploitation agricole*]]),"",IF(ISERROR(MATCH(FarmUnit[[#This Row],[1. Identifiant interne d’exploitation agricole*]],GroupMember[1. Identifiant interne d’exploitation agricole*],0)),FALSE,TRUE))</f>
        <v>1</v>
      </c>
      <c r="G746" s="4">
        <f t="shared" si="23"/>
        <v>6.7431000000000001</v>
      </c>
      <c r="H746" s="4">
        <f t="shared" si="24"/>
        <v>-8.0085999999999995</v>
      </c>
      <c r="I746" s="20" t="str">
        <f t="array" ref="I746">IF(ISBLANK(C746),"",IF(C746=MAX(IF(FarmUnit[1. Identifiant interne d’exploitation agricole*]=A746,FarmUnit[3. Superficie de l’unité agricole (ha)*])),"!","-"))</f>
        <v>!</v>
      </c>
      <c r="J746" s="9" t="str">
        <f ca="1">IFERROR(CONCATENATE(VLOOKUP(A746,GM_Table,12,FALSE)," ",(VLOOKUP(A746,GM_Table,13,FALSE))),"")</f>
        <v/>
      </c>
    </row>
    <row r="747" spans="1:10" ht="15" x14ac:dyDescent="0.2">
      <c r="A747" s="193" t="s">
        <v>2690</v>
      </c>
      <c r="B747" s="193" t="s">
        <v>2690</v>
      </c>
      <c r="C747" s="264">
        <v>2.4300000000000002</v>
      </c>
      <c r="D747" s="270">
        <v>6.7446000000000002</v>
      </c>
      <c r="E747" s="270">
        <v>-8.0106999999999999</v>
      </c>
      <c r="F747" s="122" t="b">
        <f>IF(ISBLANK(FarmUnit[[#This Row],[1. Identifiant interne d’exploitation agricole*]]),"",IF(ISERROR(MATCH(FarmUnit[[#This Row],[1. Identifiant interne d’exploitation agricole*]],GroupMember[1. Identifiant interne d’exploitation agricole*],0)),FALSE,TRUE))</f>
        <v>1</v>
      </c>
      <c r="G747" s="4">
        <f t="shared" si="23"/>
        <v>6.7446000000000002</v>
      </c>
      <c r="H747" s="4">
        <f t="shared" si="24"/>
        <v>-8.0106999999999999</v>
      </c>
      <c r="I747" s="20" t="str">
        <f t="array" ref="I747">IF(ISBLANK(C747),"",IF(C747=MAX(IF(FarmUnit[1. Identifiant interne d’exploitation agricole*]=A747,FarmUnit[3. Superficie de l’unité agricole (ha)*])),"!","-"))</f>
        <v>!</v>
      </c>
      <c r="J747" s="9" t="str">
        <f ca="1">IFERROR(CONCATENATE(VLOOKUP(A747,GM_Table,12,FALSE)," ",(VLOOKUP(A747,GM_Table,13,FALSE))),"")</f>
        <v/>
      </c>
    </row>
    <row r="748" spans="1:10" ht="15" x14ac:dyDescent="0.2">
      <c r="A748" s="193" t="s">
        <v>2694</v>
      </c>
      <c r="B748" s="193" t="s">
        <v>2694</v>
      </c>
      <c r="C748" s="264">
        <v>1.67</v>
      </c>
      <c r="D748" s="270">
        <v>6.7417999999999996</v>
      </c>
      <c r="E748" s="270">
        <v>-8.0258000000000003</v>
      </c>
      <c r="F748" s="122" t="b">
        <f>IF(ISBLANK(FarmUnit[[#This Row],[1. Identifiant interne d’exploitation agricole*]]),"",IF(ISERROR(MATCH(FarmUnit[[#This Row],[1. Identifiant interne d’exploitation agricole*]],GroupMember[1. Identifiant interne d’exploitation agricole*],0)),FALSE,TRUE))</f>
        <v>1</v>
      </c>
      <c r="G748" s="4">
        <f t="shared" si="23"/>
        <v>6.7417999999999996</v>
      </c>
      <c r="H748" s="4">
        <f t="shared" si="24"/>
        <v>-8.0258000000000003</v>
      </c>
      <c r="I748" s="20" t="str">
        <f t="array" ref="I748">IF(ISBLANK(C748),"",IF(C748=MAX(IF(FarmUnit[1. Identifiant interne d’exploitation agricole*]=A748,FarmUnit[3. Superficie de l’unité agricole (ha)*])),"!","-"))</f>
        <v>!</v>
      </c>
      <c r="J748" s="9" t="str">
        <f ca="1">IFERROR(CONCATENATE(VLOOKUP(A748,GM_Table,12,FALSE)," ",(VLOOKUP(A748,GM_Table,13,FALSE))),"")</f>
        <v/>
      </c>
    </row>
    <row r="749" spans="1:10" ht="15" x14ac:dyDescent="0.2">
      <c r="A749" s="193" t="s">
        <v>2695</v>
      </c>
      <c r="B749" s="193" t="s">
        <v>2695</v>
      </c>
      <c r="C749" s="264">
        <v>3.71</v>
      </c>
      <c r="D749" s="270">
        <v>6.7369000000000003</v>
      </c>
      <c r="E749" s="270">
        <v>-8.0244999999999997</v>
      </c>
      <c r="F749" s="122" t="b">
        <f>IF(ISBLANK(FarmUnit[[#This Row],[1. Identifiant interne d’exploitation agricole*]]),"",IF(ISERROR(MATCH(FarmUnit[[#This Row],[1. Identifiant interne d’exploitation agricole*]],GroupMember[1. Identifiant interne d’exploitation agricole*],0)),FALSE,TRUE))</f>
        <v>1</v>
      </c>
      <c r="G749" s="4">
        <f t="shared" si="23"/>
        <v>6.7369000000000003</v>
      </c>
      <c r="H749" s="4">
        <f t="shared" si="24"/>
        <v>-8.0244999999999997</v>
      </c>
      <c r="I749" s="20" t="str">
        <f t="array" ref="I749">IF(ISBLANK(C749),"",IF(C749=MAX(IF(FarmUnit[1. Identifiant interne d’exploitation agricole*]=A749,FarmUnit[3. Superficie de l’unité agricole (ha)*])),"!","-"))</f>
        <v>!</v>
      </c>
      <c r="J749" s="9" t="str">
        <f ca="1">IFERROR(CONCATENATE(VLOOKUP(A749,GM_Table,12,FALSE)," ",(VLOOKUP(A749,GM_Table,13,FALSE))),"")</f>
        <v/>
      </c>
    </row>
    <row r="750" spans="1:10" ht="15" x14ac:dyDescent="0.2">
      <c r="A750" s="193" t="s">
        <v>2697</v>
      </c>
      <c r="B750" s="193" t="s">
        <v>2697</v>
      </c>
      <c r="C750" s="264">
        <v>7.26</v>
      </c>
      <c r="D750" s="270">
        <v>6.7222999999999997</v>
      </c>
      <c r="E750" s="270">
        <v>-7.9953000000000003</v>
      </c>
      <c r="F750" s="122" t="b">
        <f>IF(ISBLANK(FarmUnit[[#This Row],[1. Identifiant interne d’exploitation agricole*]]),"",IF(ISERROR(MATCH(FarmUnit[[#This Row],[1. Identifiant interne d’exploitation agricole*]],GroupMember[1. Identifiant interne d’exploitation agricole*],0)),FALSE,TRUE))</f>
        <v>1</v>
      </c>
      <c r="G750" s="4">
        <f t="shared" si="23"/>
        <v>6.7222999999999997</v>
      </c>
      <c r="H750" s="4">
        <f t="shared" si="24"/>
        <v>-7.9953000000000003</v>
      </c>
      <c r="I750" s="20" t="str">
        <f t="array" ref="I750">IF(ISBLANK(C750),"",IF(C750=MAX(IF(FarmUnit[1. Identifiant interne d’exploitation agricole*]=A750,FarmUnit[3. Superficie de l’unité agricole (ha)*])),"!","-"))</f>
        <v>!</v>
      </c>
      <c r="J750" s="9" t="str">
        <f ca="1">IFERROR(CONCATENATE(VLOOKUP(A750,GM_Table,12,FALSE)," ",(VLOOKUP(A750,GM_Table,13,FALSE))),"")</f>
        <v/>
      </c>
    </row>
    <row r="751" spans="1:10" ht="15" x14ac:dyDescent="0.2">
      <c r="A751" s="193" t="s">
        <v>2698</v>
      </c>
      <c r="B751" s="193" t="s">
        <v>2698</v>
      </c>
      <c r="C751" s="264">
        <v>1.51</v>
      </c>
      <c r="D751" s="270">
        <v>6.7374000000000001</v>
      </c>
      <c r="E751" s="270">
        <v>-8.0213999999999999</v>
      </c>
      <c r="F751" s="122" t="b">
        <f>IF(ISBLANK(FarmUnit[[#This Row],[1. Identifiant interne d’exploitation agricole*]]),"",IF(ISERROR(MATCH(FarmUnit[[#This Row],[1. Identifiant interne d’exploitation agricole*]],GroupMember[1. Identifiant interne d’exploitation agricole*],0)),FALSE,TRUE))</f>
        <v>1</v>
      </c>
      <c r="G751" s="4">
        <f t="shared" si="23"/>
        <v>6.7374000000000001</v>
      </c>
      <c r="H751" s="4">
        <f t="shared" si="24"/>
        <v>-8.0213999999999999</v>
      </c>
      <c r="I751" s="20" t="str">
        <f t="array" ref="I751">IF(ISBLANK(C751),"",IF(C751=MAX(IF(FarmUnit[1. Identifiant interne d’exploitation agricole*]=A751,FarmUnit[3. Superficie de l’unité agricole (ha)*])),"!","-"))</f>
        <v>!</v>
      </c>
      <c r="J751" s="9" t="str">
        <f ca="1">IFERROR(CONCATENATE(VLOOKUP(A751,GM_Table,12,FALSE)," ",(VLOOKUP(A751,GM_Table,13,FALSE))),"")</f>
        <v/>
      </c>
    </row>
    <row r="752" spans="1:10" ht="15" x14ac:dyDescent="0.2">
      <c r="A752" s="205" t="s">
        <v>2699</v>
      </c>
      <c r="B752" s="205" t="s">
        <v>2699</v>
      </c>
      <c r="C752" s="264">
        <v>3.08</v>
      </c>
      <c r="D752" s="270">
        <v>6.7531999999999996</v>
      </c>
      <c r="E752" s="270">
        <v>-8.0639000000000003</v>
      </c>
      <c r="F752" s="122" t="b">
        <f>IF(ISBLANK(FarmUnit[[#This Row],[1. Identifiant interne d’exploitation agricole*]]),"",IF(ISERROR(MATCH(FarmUnit[[#This Row],[1. Identifiant interne d’exploitation agricole*]],GroupMember[1. Identifiant interne d’exploitation agricole*],0)),FALSE,TRUE))</f>
        <v>1</v>
      </c>
      <c r="G752" s="4">
        <f t="shared" si="23"/>
        <v>6.7531999999999996</v>
      </c>
      <c r="H752" s="4">
        <f t="shared" si="24"/>
        <v>-8.0639000000000003</v>
      </c>
      <c r="I752" s="20" t="str">
        <f t="array" ref="I752">IF(ISBLANK(C752),"",IF(C752=MAX(IF(FarmUnit[1. Identifiant interne d’exploitation agricole*]=A752,FarmUnit[3. Superficie de l’unité agricole (ha)*])),"!","-"))</f>
        <v>!</v>
      </c>
      <c r="J752" s="9" t="str">
        <f ca="1">IFERROR(CONCATENATE(VLOOKUP(A752,GM_Table,12,FALSE)," ",(VLOOKUP(A752,GM_Table,13,FALSE))),"")</f>
        <v/>
      </c>
    </row>
    <row r="753" spans="1:10" ht="15" x14ac:dyDescent="0.2">
      <c r="A753" s="193" t="s">
        <v>2701</v>
      </c>
      <c r="B753" s="193" t="s">
        <v>2701</v>
      </c>
      <c r="C753" s="264">
        <v>1.46</v>
      </c>
      <c r="D753" s="270">
        <v>6.7510000000000003</v>
      </c>
      <c r="E753" s="270">
        <v>-8.0663</v>
      </c>
      <c r="F753" s="122" t="b">
        <f>IF(ISBLANK(FarmUnit[[#This Row],[1. Identifiant interne d’exploitation agricole*]]),"",IF(ISERROR(MATCH(FarmUnit[[#This Row],[1. Identifiant interne d’exploitation agricole*]],GroupMember[1. Identifiant interne d’exploitation agricole*],0)),FALSE,TRUE))</f>
        <v>1</v>
      </c>
      <c r="G753" s="4">
        <f t="shared" si="23"/>
        <v>6.7510000000000003</v>
      </c>
      <c r="H753" s="4">
        <f t="shared" si="24"/>
        <v>-8.0663</v>
      </c>
      <c r="I753" s="20" t="str">
        <f t="array" ref="I753">IF(ISBLANK(C753),"",IF(C753=MAX(IF(FarmUnit[1. Identifiant interne d’exploitation agricole*]=A753,FarmUnit[3. Superficie de l’unité agricole (ha)*])),"!","-"))</f>
        <v>!</v>
      </c>
      <c r="J753" s="9" t="str">
        <f ca="1">IFERROR(CONCATENATE(VLOOKUP(A753,GM_Table,12,FALSE)," ",(VLOOKUP(A753,GM_Table,13,FALSE))),"")</f>
        <v/>
      </c>
    </row>
    <row r="754" spans="1:10" ht="15" x14ac:dyDescent="0.2">
      <c r="A754" s="193" t="s">
        <v>2704</v>
      </c>
      <c r="B754" s="193" t="s">
        <v>2704</v>
      </c>
      <c r="C754" s="264">
        <v>1.89</v>
      </c>
      <c r="D754" s="270">
        <v>6.7625000000000002</v>
      </c>
      <c r="E754" s="270">
        <v>-8.0196000000000005</v>
      </c>
      <c r="F754" s="122" t="b">
        <f>IF(ISBLANK(FarmUnit[[#This Row],[1. Identifiant interne d’exploitation agricole*]]),"",IF(ISERROR(MATCH(FarmUnit[[#This Row],[1. Identifiant interne d’exploitation agricole*]],GroupMember[1. Identifiant interne d’exploitation agricole*],0)),FALSE,TRUE))</f>
        <v>1</v>
      </c>
      <c r="G754" s="4">
        <f t="shared" si="23"/>
        <v>6.7625000000000002</v>
      </c>
      <c r="H754" s="4">
        <f t="shared" si="24"/>
        <v>-8.0196000000000005</v>
      </c>
      <c r="I754" s="20" t="str">
        <f t="array" ref="I754">IF(ISBLANK(C754),"",IF(C754=MAX(IF(FarmUnit[1. Identifiant interne d’exploitation agricole*]=A754,FarmUnit[3. Superficie de l’unité agricole (ha)*])),"!","-"))</f>
        <v>!</v>
      </c>
      <c r="J754" s="9" t="str">
        <f ca="1">IFERROR(CONCATENATE(VLOOKUP(A754,GM_Table,12,FALSE)," ",(VLOOKUP(A754,GM_Table,13,FALSE))),"")</f>
        <v/>
      </c>
    </row>
    <row r="755" spans="1:10" ht="15" x14ac:dyDescent="0.2">
      <c r="A755" s="193" t="s">
        <v>2706</v>
      </c>
      <c r="B755" s="193" t="s">
        <v>2706</v>
      </c>
      <c r="C755" s="264">
        <v>3.13</v>
      </c>
      <c r="D755" s="270">
        <v>6.782</v>
      </c>
      <c r="E755" s="270">
        <v>-8.0314999999999994</v>
      </c>
      <c r="F755" s="122" t="b">
        <f>IF(ISBLANK(FarmUnit[[#This Row],[1. Identifiant interne d’exploitation agricole*]]),"",IF(ISERROR(MATCH(FarmUnit[[#This Row],[1. Identifiant interne d’exploitation agricole*]],GroupMember[1. Identifiant interne d’exploitation agricole*],0)),FALSE,TRUE))</f>
        <v>1</v>
      </c>
      <c r="G755" s="4">
        <f t="shared" ref="G755:G818" si="25">IF(D755=0,"",D755)</f>
        <v>6.782</v>
      </c>
      <c r="H755" s="4">
        <f t="shared" ref="H755:H818" si="26">IF(E755=0,"",E755)</f>
        <v>-8.0314999999999994</v>
      </c>
      <c r="I755" s="20" t="str">
        <f t="array" ref="I755">IF(ISBLANK(C755),"",IF(C755=MAX(IF(FarmUnit[1. Identifiant interne d’exploitation agricole*]=A755,FarmUnit[3. Superficie de l’unité agricole (ha)*])),"!","-"))</f>
        <v>!</v>
      </c>
      <c r="J755" s="9" t="str">
        <f ca="1">IFERROR(CONCATENATE(VLOOKUP(A755,GM_Table,12,FALSE)," ",(VLOOKUP(A755,GM_Table,13,FALSE))),"")</f>
        <v/>
      </c>
    </row>
    <row r="756" spans="1:10" ht="15" x14ac:dyDescent="0.2">
      <c r="A756" s="193" t="s">
        <v>2709</v>
      </c>
      <c r="B756" s="193" t="s">
        <v>2709</v>
      </c>
      <c r="C756" s="264">
        <v>3.31</v>
      </c>
      <c r="D756" s="270">
        <v>6.7544000000000004</v>
      </c>
      <c r="E756" s="270">
        <v>-8.0450999999999997</v>
      </c>
      <c r="F756" s="122" t="b">
        <f>IF(ISBLANK(FarmUnit[[#This Row],[1. Identifiant interne d’exploitation agricole*]]),"",IF(ISERROR(MATCH(FarmUnit[[#This Row],[1. Identifiant interne d’exploitation agricole*]],GroupMember[1. Identifiant interne d’exploitation agricole*],0)),FALSE,TRUE))</f>
        <v>1</v>
      </c>
      <c r="G756" s="4">
        <f t="shared" si="25"/>
        <v>6.7544000000000004</v>
      </c>
      <c r="H756" s="4">
        <f t="shared" si="26"/>
        <v>-8.0450999999999997</v>
      </c>
      <c r="I756" s="20" t="str">
        <f t="array" ref="I756">IF(ISBLANK(C756),"",IF(C756=MAX(IF(FarmUnit[1. Identifiant interne d’exploitation agricole*]=A756,FarmUnit[3. Superficie de l’unité agricole (ha)*])),"!","-"))</f>
        <v>!</v>
      </c>
      <c r="J756" s="9" t="str">
        <f ca="1">IFERROR(CONCATENATE(VLOOKUP(A756,GM_Table,12,FALSE)," ",(VLOOKUP(A756,GM_Table,13,FALSE))),"")</f>
        <v/>
      </c>
    </row>
    <row r="757" spans="1:10" ht="15" x14ac:dyDescent="0.2">
      <c r="A757" s="193" t="s">
        <v>2711</v>
      </c>
      <c r="B757" s="193" t="s">
        <v>2711</v>
      </c>
      <c r="C757" s="264">
        <v>1.84</v>
      </c>
      <c r="D757" s="270">
        <v>6.7416999999999998</v>
      </c>
      <c r="E757" s="270">
        <v>-8.0183999999999997</v>
      </c>
      <c r="F757" s="122" t="b">
        <f>IF(ISBLANK(FarmUnit[[#This Row],[1. Identifiant interne d’exploitation agricole*]]),"",IF(ISERROR(MATCH(FarmUnit[[#This Row],[1. Identifiant interne d’exploitation agricole*]],GroupMember[1. Identifiant interne d’exploitation agricole*],0)),FALSE,TRUE))</f>
        <v>1</v>
      </c>
      <c r="G757" s="4">
        <f t="shared" si="25"/>
        <v>6.7416999999999998</v>
      </c>
      <c r="H757" s="4">
        <f t="shared" si="26"/>
        <v>-8.0183999999999997</v>
      </c>
      <c r="I757" s="20" t="str">
        <f t="array" ref="I757">IF(ISBLANK(C757),"",IF(C757=MAX(IF(FarmUnit[1. Identifiant interne d’exploitation agricole*]=A757,FarmUnit[3. Superficie de l’unité agricole (ha)*])),"!","-"))</f>
        <v>!</v>
      </c>
      <c r="J757" s="9" t="str">
        <f ca="1">IFERROR(CONCATENATE(VLOOKUP(A757,GM_Table,12,FALSE)," ",(VLOOKUP(A757,GM_Table,13,FALSE))),"")</f>
        <v/>
      </c>
    </row>
    <row r="758" spans="1:10" ht="15" x14ac:dyDescent="0.2">
      <c r="A758" s="193" t="s">
        <v>2713</v>
      </c>
      <c r="B758" s="193" t="s">
        <v>2713</v>
      </c>
      <c r="C758" s="264">
        <v>1.34</v>
      </c>
      <c r="D758" s="270">
        <v>6.7530999999999999</v>
      </c>
      <c r="E758" s="270">
        <v>-8.0162999999999993</v>
      </c>
      <c r="F758" s="122" t="b">
        <f>IF(ISBLANK(FarmUnit[[#This Row],[1. Identifiant interne d’exploitation agricole*]]),"",IF(ISERROR(MATCH(FarmUnit[[#This Row],[1. Identifiant interne d’exploitation agricole*]],GroupMember[1. Identifiant interne d’exploitation agricole*],0)),FALSE,TRUE))</f>
        <v>1</v>
      </c>
      <c r="G758" s="4">
        <f t="shared" si="25"/>
        <v>6.7530999999999999</v>
      </c>
      <c r="H758" s="4">
        <f t="shared" si="26"/>
        <v>-8.0162999999999993</v>
      </c>
      <c r="I758" s="20" t="str">
        <f t="array" ref="I758">IF(ISBLANK(C758),"",IF(C758=MAX(IF(FarmUnit[1. Identifiant interne d’exploitation agricole*]=A758,FarmUnit[3. Superficie de l’unité agricole (ha)*])),"!","-"))</f>
        <v>!</v>
      </c>
      <c r="J758" s="9" t="str">
        <f ca="1">IFERROR(CONCATENATE(VLOOKUP(A758,GM_Table,12,FALSE)," ",(VLOOKUP(A758,GM_Table,13,FALSE))),"")</f>
        <v/>
      </c>
    </row>
    <row r="759" spans="1:10" ht="15" x14ac:dyDescent="0.2">
      <c r="A759" s="193" t="s">
        <v>2715</v>
      </c>
      <c r="B759" s="193" t="s">
        <v>2715</v>
      </c>
      <c r="C759" s="264">
        <v>2.0099999999999998</v>
      </c>
      <c r="D759" s="270">
        <v>6.7324000000000002</v>
      </c>
      <c r="E759" s="270">
        <v>-8.0229999999999997</v>
      </c>
      <c r="F759" s="122" t="b">
        <f>IF(ISBLANK(FarmUnit[[#This Row],[1. Identifiant interne d’exploitation agricole*]]),"",IF(ISERROR(MATCH(FarmUnit[[#This Row],[1. Identifiant interne d’exploitation agricole*]],GroupMember[1. Identifiant interne d’exploitation agricole*],0)),FALSE,TRUE))</f>
        <v>1</v>
      </c>
      <c r="G759" s="4">
        <f t="shared" si="25"/>
        <v>6.7324000000000002</v>
      </c>
      <c r="H759" s="4">
        <f t="shared" si="26"/>
        <v>-8.0229999999999997</v>
      </c>
      <c r="I759" s="20" t="str">
        <f t="array" ref="I759">IF(ISBLANK(C759),"",IF(C759=MAX(IF(FarmUnit[1. Identifiant interne d’exploitation agricole*]=A759,FarmUnit[3. Superficie de l’unité agricole (ha)*])),"!","-"))</f>
        <v>!</v>
      </c>
      <c r="J759" s="9" t="str">
        <f ca="1">IFERROR(CONCATENATE(VLOOKUP(A759,GM_Table,12,FALSE)," ",(VLOOKUP(A759,GM_Table,13,FALSE))),"")</f>
        <v/>
      </c>
    </row>
    <row r="760" spans="1:10" ht="15" x14ac:dyDescent="0.2">
      <c r="A760" s="193" t="s">
        <v>2718</v>
      </c>
      <c r="B760" s="193" t="s">
        <v>2718</v>
      </c>
      <c r="C760" s="264">
        <v>3.48</v>
      </c>
      <c r="D760" s="270">
        <v>6.7271999999999998</v>
      </c>
      <c r="E760" s="270">
        <v>-8.0185999999999993</v>
      </c>
      <c r="F760" s="122" t="b">
        <f>IF(ISBLANK(FarmUnit[[#This Row],[1. Identifiant interne d’exploitation agricole*]]),"",IF(ISERROR(MATCH(FarmUnit[[#This Row],[1. Identifiant interne d’exploitation agricole*]],GroupMember[1. Identifiant interne d’exploitation agricole*],0)),FALSE,TRUE))</f>
        <v>1</v>
      </c>
      <c r="G760" s="4">
        <f t="shared" si="25"/>
        <v>6.7271999999999998</v>
      </c>
      <c r="H760" s="4">
        <f t="shared" si="26"/>
        <v>-8.0185999999999993</v>
      </c>
      <c r="I760" s="20" t="str">
        <f t="array" ref="I760">IF(ISBLANK(C760),"",IF(C760=MAX(IF(FarmUnit[1. Identifiant interne d’exploitation agricole*]=A760,FarmUnit[3. Superficie de l’unité agricole (ha)*])),"!","-"))</f>
        <v>!</v>
      </c>
      <c r="J760" s="9" t="str">
        <f ca="1">IFERROR(CONCATENATE(VLOOKUP(A760,GM_Table,12,FALSE)," ",(VLOOKUP(A760,GM_Table,13,FALSE))),"")</f>
        <v/>
      </c>
    </row>
    <row r="761" spans="1:10" ht="15" x14ac:dyDescent="0.2">
      <c r="A761" s="193" t="s">
        <v>2720</v>
      </c>
      <c r="B761" s="193" t="s">
        <v>2720</v>
      </c>
      <c r="C761" s="264">
        <v>2.17</v>
      </c>
      <c r="D761" s="270">
        <v>6.7476000000000003</v>
      </c>
      <c r="E761" s="270">
        <v>-8.0390999999999995</v>
      </c>
      <c r="F761" s="122" t="b">
        <f>IF(ISBLANK(FarmUnit[[#This Row],[1. Identifiant interne d’exploitation agricole*]]),"",IF(ISERROR(MATCH(FarmUnit[[#This Row],[1. Identifiant interne d’exploitation agricole*]],GroupMember[1. Identifiant interne d’exploitation agricole*],0)),FALSE,TRUE))</f>
        <v>1</v>
      </c>
      <c r="G761" s="4">
        <f t="shared" si="25"/>
        <v>6.7476000000000003</v>
      </c>
      <c r="H761" s="4">
        <f t="shared" si="26"/>
        <v>-8.0390999999999995</v>
      </c>
      <c r="I761" s="20" t="str">
        <f t="array" ref="I761">IF(ISBLANK(C761),"",IF(C761=MAX(IF(FarmUnit[1. Identifiant interne d’exploitation agricole*]=A761,FarmUnit[3. Superficie de l’unité agricole (ha)*])),"!","-"))</f>
        <v>!</v>
      </c>
      <c r="J761" s="9" t="str">
        <f ca="1">IFERROR(CONCATENATE(VLOOKUP(A761,GM_Table,12,FALSE)," ",(VLOOKUP(A761,GM_Table,13,FALSE))),"")</f>
        <v/>
      </c>
    </row>
    <row r="762" spans="1:10" ht="15" x14ac:dyDescent="0.2">
      <c r="A762" s="193" t="s">
        <v>2723</v>
      </c>
      <c r="B762" s="193" t="s">
        <v>2723</v>
      </c>
      <c r="C762" s="264">
        <v>1.98</v>
      </c>
      <c r="D762" s="270">
        <v>6.7504</v>
      </c>
      <c r="E762" s="270">
        <v>-8.0650999999999993</v>
      </c>
      <c r="F762" s="122" t="b">
        <f>IF(ISBLANK(FarmUnit[[#This Row],[1. Identifiant interne d’exploitation agricole*]]),"",IF(ISERROR(MATCH(FarmUnit[[#This Row],[1. Identifiant interne d’exploitation agricole*]],GroupMember[1. Identifiant interne d’exploitation agricole*],0)),FALSE,TRUE))</f>
        <v>1</v>
      </c>
      <c r="G762" s="4">
        <f t="shared" si="25"/>
        <v>6.7504</v>
      </c>
      <c r="H762" s="4">
        <f t="shared" si="26"/>
        <v>-8.0650999999999993</v>
      </c>
      <c r="I762" s="20" t="str">
        <f t="array" ref="I762">IF(ISBLANK(C762),"",IF(C762=MAX(IF(FarmUnit[1. Identifiant interne d’exploitation agricole*]=A762,FarmUnit[3. Superficie de l’unité agricole (ha)*])),"!","-"))</f>
        <v>!</v>
      </c>
      <c r="J762" s="9" t="str">
        <f ca="1">IFERROR(CONCATENATE(VLOOKUP(A762,GM_Table,12,FALSE)," ",(VLOOKUP(A762,GM_Table,13,FALSE))),"")</f>
        <v/>
      </c>
    </row>
    <row r="763" spans="1:10" ht="15" x14ac:dyDescent="0.2">
      <c r="A763" s="193" t="s">
        <v>2726</v>
      </c>
      <c r="B763" s="193" t="s">
        <v>2726</v>
      </c>
      <c r="C763" s="264">
        <v>2.5099999999999998</v>
      </c>
      <c r="D763" s="270">
        <v>6.7267999999999999</v>
      </c>
      <c r="E763" s="270">
        <v>-8.0253999999999994</v>
      </c>
      <c r="F763" s="122" t="b">
        <f>IF(ISBLANK(FarmUnit[[#This Row],[1. Identifiant interne d’exploitation agricole*]]),"",IF(ISERROR(MATCH(FarmUnit[[#This Row],[1. Identifiant interne d’exploitation agricole*]],GroupMember[1. Identifiant interne d’exploitation agricole*],0)),FALSE,TRUE))</f>
        <v>1</v>
      </c>
      <c r="G763" s="4">
        <f t="shared" si="25"/>
        <v>6.7267999999999999</v>
      </c>
      <c r="H763" s="4">
        <f t="shared" si="26"/>
        <v>-8.0253999999999994</v>
      </c>
      <c r="I763" s="20" t="str">
        <f t="array" ref="I763">IF(ISBLANK(C763),"",IF(C763=MAX(IF(FarmUnit[1. Identifiant interne d’exploitation agricole*]=A763,FarmUnit[3. Superficie de l’unité agricole (ha)*])),"!","-"))</f>
        <v>!</v>
      </c>
      <c r="J763" s="9" t="str">
        <f ca="1">IFERROR(CONCATENATE(VLOOKUP(A763,GM_Table,12,FALSE)," ",(VLOOKUP(A763,GM_Table,13,FALSE))),"")</f>
        <v/>
      </c>
    </row>
    <row r="764" spans="1:10" ht="15" x14ac:dyDescent="0.2">
      <c r="A764" s="193" t="s">
        <v>2727</v>
      </c>
      <c r="B764" s="193" t="s">
        <v>2727</v>
      </c>
      <c r="C764" s="264">
        <v>3.83</v>
      </c>
      <c r="D764" s="270">
        <v>6.7325999999999997</v>
      </c>
      <c r="E764" s="270">
        <v>-8.0160999999999998</v>
      </c>
      <c r="F764" s="122" t="b">
        <f>IF(ISBLANK(FarmUnit[[#This Row],[1. Identifiant interne d’exploitation agricole*]]),"",IF(ISERROR(MATCH(FarmUnit[[#This Row],[1. Identifiant interne d’exploitation agricole*]],GroupMember[1. Identifiant interne d’exploitation agricole*],0)),FALSE,TRUE))</f>
        <v>1</v>
      </c>
      <c r="G764" s="4">
        <f t="shared" si="25"/>
        <v>6.7325999999999997</v>
      </c>
      <c r="H764" s="4">
        <f t="shared" si="26"/>
        <v>-8.0160999999999998</v>
      </c>
      <c r="I764" s="20" t="str">
        <f t="array" ref="I764">IF(ISBLANK(C764),"",IF(C764=MAX(IF(FarmUnit[1. Identifiant interne d’exploitation agricole*]=A764,FarmUnit[3. Superficie de l’unité agricole (ha)*])),"!","-"))</f>
        <v>!</v>
      </c>
      <c r="J764" s="9" t="str">
        <f ca="1">IFERROR(CONCATENATE(VLOOKUP(A764,GM_Table,12,FALSE)," ",(VLOOKUP(A764,GM_Table,13,FALSE))),"")</f>
        <v/>
      </c>
    </row>
    <row r="765" spans="1:10" ht="15" x14ac:dyDescent="0.2">
      <c r="A765" s="193" t="s">
        <v>2729</v>
      </c>
      <c r="B765" s="193" t="s">
        <v>2729</v>
      </c>
      <c r="C765" s="264">
        <v>1.91</v>
      </c>
      <c r="D765" s="270">
        <v>6.7361000000000004</v>
      </c>
      <c r="E765" s="270">
        <v>-8.0167999999999999</v>
      </c>
      <c r="F765" s="122" t="b">
        <f>IF(ISBLANK(FarmUnit[[#This Row],[1. Identifiant interne d’exploitation agricole*]]),"",IF(ISERROR(MATCH(FarmUnit[[#This Row],[1. Identifiant interne d’exploitation agricole*]],GroupMember[1. Identifiant interne d’exploitation agricole*],0)),FALSE,TRUE))</f>
        <v>1</v>
      </c>
      <c r="G765" s="4">
        <f t="shared" si="25"/>
        <v>6.7361000000000004</v>
      </c>
      <c r="H765" s="4">
        <f t="shared" si="26"/>
        <v>-8.0167999999999999</v>
      </c>
      <c r="I765" s="20" t="str">
        <f t="array" ref="I765">IF(ISBLANK(C765),"",IF(C765=MAX(IF(FarmUnit[1. Identifiant interne d’exploitation agricole*]=A765,FarmUnit[3. Superficie de l’unité agricole (ha)*])),"!","-"))</f>
        <v>!</v>
      </c>
      <c r="J765" s="9" t="str">
        <f ca="1">IFERROR(CONCATENATE(VLOOKUP(A765,GM_Table,12,FALSE)," ",(VLOOKUP(A765,GM_Table,13,FALSE))),"")</f>
        <v/>
      </c>
    </row>
    <row r="766" spans="1:10" ht="15" x14ac:dyDescent="0.2">
      <c r="A766" s="193" t="s">
        <v>2732</v>
      </c>
      <c r="B766" s="193" t="s">
        <v>2732</v>
      </c>
      <c r="C766" s="264">
        <v>1.01</v>
      </c>
      <c r="D766" s="270">
        <v>6.7389999999999999</v>
      </c>
      <c r="E766" s="270">
        <v>-8.0284999999999993</v>
      </c>
      <c r="F766" s="122" t="b">
        <f>IF(ISBLANK(FarmUnit[[#This Row],[1. Identifiant interne d’exploitation agricole*]]),"",IF(ISERROR(MATCH(FarmUnit[[#This Row],[1. Identifiant interne d’exploitation agricole*]],GroupMember[1. Identifiant interne d’exploitation agricole*],0)),FALSE,TRUE))</f>
        <v>1</v>
      </c>
      <c r="G766" s="4">
        <f t="shared" si="25"/>
        <v>6.7389999999999999</v>
      </c>
      <c r="H766" s="4">
        <f t="shared" si="26"/>
        <v>-8.0284999999999993</v>
      </c>
      <c r="I766" s="20" t="str">
        <f t="array" ref="I766">IF(ISBLANK(C766),"",IF(C766=MAX(IF(FarmUnit[1. Identifiant interne d’exploitation agricole*]=A766,FarmUnit[3. Superficie de l’unité agricole (ha)*])),"!","-"))</f>
        <v>!</v>
      </c>
      <c r="J766" s="9" t="str">
        <f ca="1">IFERROR(CONCATENATE(VLOOKUP(A766,GM_Table,12,FALSE)," ",(VLOOKUP(A766,GM_Table,13,FALSE))),"")</f>
        <v/>
      </c>
    </row>
    <row r="767" spans="1:10" ht="15" x14ac:dyDescent="0.2">
      <c r="A767" s="193" t="s">
        <v>2734</v>
      </c>
      <c r="B767" s="193" t="s">
        <v>2734</v>
      </c>
      <c r="C767" s="264">
        <v>0.93</v>
      </c>
      <c r="D767" s="270">
        <v>6.7408000000000001</v>
      </c>
      <c r="E767" s="270">
        <v>-8.0263000000000009</v>
      </c>
      <c r="F767" s="122" t="b">
        <f>IF(ISBLANK(FarmUnit[[#This Row],[1. Identifiant interne d’exploitation agricole*]]),"",IF(ISERROR(MATCH(FarmUnit[[#This Row],[1. Identifiant interne d’exploitation agricole*]],GroupMember[1. Identifiant interne d’exploitation agricole*],0)),FALSE,TRUE))</f>
        <v>1</v>
      </c>
      <c r="G767" s="4">
        <f t="shared" si="25"/>
        <v>6.7408000000000001</v>
      </c>
      <c r="H767" s="4">
        <f t="shared" si="26"/>
        <v>-8.0263000000000009</v>
      </c>
      <c r="I767" s="20" t="str">
        <f t="array" ref="I767">IF(ISBLANK(C767),"",IF(C767=MAX(IF(FarmUnit[1. Identifiant interne d’exploitation agricole*]=A767,FarmUnit[3. Superficie de l’unité agricole (ha)*])),"!","-"))</f>
        <v>!</v>
      </c>
      <c r="J767" s="9" t="str">
        <f ca="1">IFERROR(CONCATENATE(VLOOKUP(A767,GM_Table,12,FALSE)," ",(VLOOKUP(A767,GM_Table,13,FALSE))),"")</f>
        <v/>
      </c>
    </row>
    <row r="768" spans="1:10" ht="15" x14ac:dyDescent="0.2">
      <c r="A768" s="193" t="s">
        <v>2736</v>
      </c>
      <c r="B768" s="193" t="s">
        <v>2736</v>
      </c>
      <c r="C768" s="264">
        <v>1.96</v>
      </c>
      <c r="D768" s="270">
        <v>6.7408000000000001</v>
      </c>
      <c r="E768" s="270">
        <v>-8.0259999999999998</v>
      </c>
      <c r="F768" s="122" t="b">
        <f>IF(ISBLANK(FarmUnit[[#This Row],[1. Identifiant interne d’exploitation agricole*]]),"",IF(ISERROR(MATCH(FarmUnit[[#This Row],[1. Identifiant interne d’exploitation agricole*]],GroupMember[1. Identifiant interne d’exploitation agricole*],0)),FALSE,TRUE))</f>
        <v>1</v>
      </c>
      <c r="G768" s="4">
        <f t="shared" si="25"/>
        <v>6.7408000000000001</v>
      </c>
      <c r="H768" s="4">
        <f t="shared" si="26"/>
        <v>-8.0259999999999998</v>
      </c>
      <c r="I768" s="20" t="str">
        <f t="array" ref="I768">IF(ISBLANK(C768),"",IF(C768=MAX(IF(FarmUnit[1. Identifiant interne d’exploitation agricole*]=A768,FarmUnit[3. Superficie de l’unité agricole (ha)*])),"!","-"))</f>
        <v>!</v>
      </c>
      <c r="J768" s="9" t="str">
        <f ca="1">IFERROR(CONCATENATE(VLOOKUP(A768,GM_Table,12,FALSE)," ",(VLOOKUP(A768,GM_Table,13,FALSE))),"")</f>
        <v/>
      </c>
    </row>
    <row r="769" spans="1:10" ht="15" x14ac:dyDescent="0.2">
      <c r="A769" s="193" t="s">
        <v>2738</v>
      </c>
      <c r="B769" s="193" t="s">
        <v>2738</v>
      </c>
      <c r="C769" s="264">
        <v>5.38</v>
      </c>
      <c r="D769" s="270">
        <v>6.7340999999999998</v>
      </c>
      <c r="E769" s="270">
        <v>-8.0366999999999997</v>
      </c>
      <c r="F769" s="122" t="b">
        <f>IF(ISBLANK(FarmUnit[[#This Row],[1. Identifiant interne d’exploitation agricole*]]),"",IF(ISERROR(MATCH(FarmUnit[[#This Row],[1. Identifiant interne d’exploitation agricole*]],GroupMember[1. Identifiant interne d’exploitation agricole*],0)),FALSE,TRUE))</f>
        <v>1</v>
      </c>
      <c r="G769" s="4">
        <f t="shared" si="25"/>
        <v>6.7340999999999998</v>
      </c>
      <c r="H769" s="4">
        <f t="shared" si="26"/>
        <v>-8.0366999999999997</v>
      </c>
      <c r="I769" s="20" t="str">
        <f t="array" ref="I769">IF(ISBLANK(C769),"",IF(C769=MAX(IF(FarmUnit[1. Identifiant interne d’exploitation agricole*]=A769,FarmUnit[3. Superficie de l’unité agricole (ha)*])),"!","-"))</f>
        <v>!</v>
      </c>
      <c r="J769" s="9" t="str">
        <f ca="1">IFERROR(CONCATENATE(VLOOKUP(A769,GM_Table,12,FALSE)," ",(VLOOKUP(A769,GM_Table,13,FALSE))),"")</f>
        <v/>
      </c>
    </row>
    <row r="770" spans="1:10" ht="15" x14ac:dyDescent="0.2">
      <c r="A770" s="193" t="s">
        <v>2739</v>
      </c>
      <c r="B770" s="193" t="s">
        <v>2739</v>
      </c>
      <c r="C770" s="264">
        <v>2.0099999999999998</v>
      </c>
      <c r="D770" s="270">
        <v>6.7301000000000002</v>
      </c>
      <c r="E770" s="270">
        <v>-8.0164000000000009</v>
      </c>
      <c r="F770" s="122" t="b">
        <f>IF(ISBLANK(FarmUnit[[#This Row],[1. Identifiant interne d’exploitation agricole*]]),"",IF(ISERROR(MATCH(FarmUnit[[#This Row],[1. Identifiant interne d’exploitation agricole*]],GroupMember[1. Identifiant interne d’exploitation agricole*],0)),FALSE,TRUE))</f>
        <v>1</v>
      </c>
      <c r="G770" s="4">
        <f t="shared" si="25"/>
        <v>6.7301000000000002</v>
      </c>
      <c r="H770" s="4">
        <f t="shared" si="26"/>
        <v>-8.0164000000000009</v>
      </c>
      <c r="I770" s="20" t="str">
        <f t="array" ref="I770">IF(ISBLANK(C770),"",IF(C770=MAX(IF(FarmUnit[1. Identifiant interne d’exploitation agricole*]=A770,FarmUnit[3. Superficie de l’unité agricole (ha)*])),"!","-"))</f>
        <v>!</v>
      </c>
      <c r="J770" s="9" t="str">
        <f ca="1">IFERROR(CONCATENATE(VLOOKUP(A770,GM_Table,12,FALSE)," ",(VLOOKUP(A770,GM_Table,13,FALSE))),"")</f>
        <v/>
      </c>
    </row>
    <row r="771" spans="1:10" ht="15" x14ac:dyDescent="0.2">
      <c r="A771" s="193" t="s">
        <v>2741</v>
      </c>
      <c r="B771" s="193" t="s">
        <v>2741</v>
      </c>
      <c r="C771" s="264">
        <v>4.9400000000000004</v>
      </c>
      <c r="D771" s="270">
        <v>6.7553000000000001</v>
      </c>
      <c r="E771" s="270">
        <v>-8.0382999999999996</v>
      </c>
      <c r="F771" s="122" t="b">
        <f>IF(ISBLANK(FarmUnit[[#This Row],[1. Identifiant interne d’exploitation agricole*]]),"",IF(ISERROR(MATCH(FarmUnit[[#This Row],[1. Identifiant interne d’exploitation agricole*]],GroupMember[1. Identifiant interne d’exploitation agricole*],0)),FALSE,TRUE))</f>
        <v>1</v>
      </c>
      <c r="G771" s="4">
        <f t="shared" si="25"/>
        <v>6.7553000000000001</v>
      </c>
      <c r="H771" s="4">
        <f t="shared" si="26"/>
        <v>-8.0382999999999996</v>
      </c>
      <c r="I771" s="20" t="str">
        <f t="array" ref="I771">IF(ISBLANK(C771),"",IF(C771=MAX(IF(FarmUnit[1. Identifiant interne d’exploitation agricole*]=A771,FarmUnit[3. Superficie de l’unité agricole (ha)*])),"!","-"))</f>
        <v>!</v>
      </c>
      <c r="J771" s="9" t="str">
        <f ca="1">IFERROR(CONCATENATE(VLOOKUP(A771,GM_Table,12,FALSE)," ",(VLOOKUP(A771,GM_Table,13,FALSE))),"")</f>
        <v/>
      </c>
    </row>
    <row r="772" spans="1:10" ht="15" x14ac:dyDescent="0.2">
      <c r="A772" s="193" t="s">
        <v>2743</v>
      </c>
      <c r="B772" s="193" t="s">
        <v>2743</v>
      </c>
      <c r="C772" s="264">
        <v>1.01</v>
      </c>
      <c r="D772" s="270">
        <v>6.7511999999999999</v>
      </c>
      <c r="E772" s="270">
        <v>-8.0023999999999997</v>
      </c>
      <c r="F772" s="122" t="b">
        <f>IF(ISBLANK(FarmUnit[[#This Row],[1. Identifiant interne d’exploitation agricole*]]),"",IF(ISERROR(MATCH(FarmUnit[[#This Row],[1. Identifiant interne d’exploitation agricole*]],GroupMember[1. Identifiant interne d’exploitation agricole*],0)),FALSE,TRUE))</f>
        <v>1</v>
      </c>
      <c r="G772" s="4">
        <f t="shared" si="25"/>
        <v>6.7511999999999999</v>
      </c>
      <c r="H772" s="4">
        <f t="shared" si="26"/>
        <v>-8.0023999999999997</v>
      </c>
      <c r="I772" s="20" t="str">
        <f t="array" ref="I772">IF(ISBLANK(C772),"",IF(C772=MAX(IF(FarmUnit[1. Identifiant interne d’exploitation agricole*]=A772,FarmUnit[3. Superficie de l’unité agricole (ha)*])),"!","-"))</f>
        <v>!</v>
      </c>
      <c r="J772" s="9" t="str">
        <f ca="1">IFERROR(CONCATENATE(VLOOKUP(A772,GM_Table,12,FALSE)," ",(VLOOKUP(A772,GM_Table,13,FALSE))),"")</f>
        <v/>
      </c>
    </row>
    <row r="773" spans="1:10" ht="15" x14ac:dyDescent="0.2">
      <c r="A773" s="193" t="s">
        <v>2745</v>
      </c>
      <c r="B773" s="193" t="s">
        <v>2745</v>
      </c>
      <c r="C773" s="264">
        <v>3.79</v>
      </c>
      <c r="D773" s="270">
        <v>6.76</v>
      </c>
      <c r="E773" s="270">
        <v>-8.0008999999999997</v>
      </c>
      <c r="F773" s="122" t="b">
        <f>IF(ISBLANK(FarmUnit[[#This Row],[1. Identifiant interne d’exploitation agricole*]]),"",IF(ISERROR(MATCH(FarmUnit[[#This Row],[1. Identifiant interne d’exploitation agricole*]],GroupMember[1. Identifiant interne d’exploitation agricole*],0)),FALSE,TRUE))</f>
        <v>1</v>
      </c>
      <c r="G773" s="4">
        <f t="shared" si="25"/>
        <v>6.76</v>
      </c>
      <c r="H773" s="4">
        <f t="shared" si="26"/>
        <v>-8.0008999999999997</v>
      </c>
      <c r="I773" s="20" t="str">
        <f t="array" ref="I773">IF(ISBLANK(C773),"",IF(C773=MAX(IF(FarmUnit[1. Identifiant interne d’exploitation agricole*]=A773,FarmUnit[3. Superficie de l’unité agricole (ha)*])),"!","-"))</f>
        <v>!</v>
      </c>
      <c r="J773" s="9" t="str">
        <f ca="1">IFERROR(CONCATENATE(VLOOKUP(A773,GM_Table,12,FALSE)," ",(VLOOKUP(A773,GM_Table,13,FALSE))),"")</f>
        <v/>
      </c>
    </row>
    <row r="774" spans="1:10" ht="15" x14ac:dyDescent="0.2">
      <c r="A774" s="193" t="s">
        <v>2746</v>
      </c>
      <c r="B774" s="193" t="s">
        <v>2746</v>
      </c>
      <c r="C774" s="264">
        <v>1.87</v>
      </c>
      <c r="D774" s="270">
        <v>6.6642000000000001</v>
      </c>
      <c r="E774" s="270">
        <v>-8.0717999999999996</v>
      </c>
      <c r="F774" s="122" t="b">
        <f>IF(ISBLANK(FarmUnit[[#This Row],[1. Identifiant interne d’exploitation agricole*]]),"",IF(ISERROR(MATCH(FarmUnit[[#This Row],[1. Identifiant interne d’exploitation agricole*]],GroupMember[1. Identifiant interne d’exploitation agricole*],0)),FALSE,TRUE))</f>
        <v>1</v>
      </c>
      <c r="G774" s="4">
        <f t="shared" si="25"/>
        <v>6.6642000000000001</v>
      </c>
      <c r="H774" s="4">
        <f t="shared" si="26"/>
        <v>-8.0717999999999996</v>
      </c>
      <c r="I774" s="20" t="str">
        <f t="array" ref="I774">IF(ISBLANK(C774),"",IF(C774=MAX(IF(FarmUnit[1. Identifiant interne d’exploitation agricole*]=A774,FarmUnit[3. Superficie de l’unité agricole (ha)*])),"!","-"))</f>
        <v>!</v>
      </c>
      <c r="J774" s="9" t="str">
        <f ca="1">IFERROR(CONCATENATE(VLOOKUP(A774,GM_Table,12,FALSE)," ",(VLOOKUP(A774,GM_Table,13,FALSE))),"")</f>
        <v/>
      </c>
    </row>
    <row r="775" spans="1:10" ht="15" x14ac:dyDescent="0.2">
      <c r="A775" s="193" t="s">
        <v>2747</v>
      </c>
      <c r="B775" s="193" t="s">
        <v>2747</v>
      </c>
      <c r="C775" s="264">
        <v>1.74</v>
      </c>
      <c r="D775" s="270">
        <v>6.7164999999999999</v>
      </c>
      <c r="E775" s="270">
        <v>-8.0626999999999995</v>
      </c>
      <c r="F775" s="122" t="b">
        <f>IF(ISBLANK(FarmUnit[[#This Row],[1. Identifiant interne d’exploitation agricole*]]),"",IF(ISERROR(MATCH(FarmUnit[[#This Row],[1. Identifiant interne d’exploitation agricole*]],GroupMember[1. Identifiant interne d’exploitation agricole*],0)),FALSE,TRUE))</f>
        <v>1</v>
      </c>
      <c r="G775" s="4">
        <f t="shared" si="25"/>
        <v>6.7164999999999999</v>
      </c>
      <c r="H775" s="4">
        <f t="shared" si="26"/>
        <v>-8.0626999999999995</v>
      </c>
      <c r="I775" s="20" t="str">
        <f t="array" ref="I775">IF(ISBLANK(C775),"",IF(C775=MAX(IF(FarmUnit[1. Identifiant interne d’exploitation agricole*]=A775,FarmUnit[3. Superficie de l’unité agricole (ha)*])),"!","-"))</f>
        <v>!</v>
      </c>
      <c r="J775" s="9" t="str">
        <f ca="1">IFERROR(CONCATENATE(VLOOKUP(A775,GM_Table,12,FALSE)," ",(VLOOKUP(A775,GM_Table,13,FALSE))),"")</f>
        <v/>
      </c>
    </row>
    <row r="776" spans="1:10" ht="15" x14ac:dyDescent="0.2">
      <c r="A776" s="193" t="s">
        <v>2749</v>
      </c>
      <c r="B776" s="193" t="s">
        <v>2749</v>
      </c>
      <c r="C776" s="264">
        <v>2.71</v>
      </c>
      <c r="D776" s="270">
        <v>6.7156000000000002</v>
      </c>
      <c r="E776" s="270">
        <v>-8.0716999999999999</v>
      </c>
      <c r="F776" s="122" t="b">
        <f>IF(ISBLANK(FarmUnit[[#This Row],[1. Identifiant interne d’exploitation agricole*]]),"",IF(ISERROR(MATCH(FarmUnit[[#This Row],[1. Identifiant interne d’exploitation agricole*]],GroupMember[1. Identifiant interne d’exploitation agricole*],0)),FALSE,TRUE))</f>
        <v>1</v>
      </c>
      <c r="G776" s="4">
        <f t="shared" si="25"/>
        <v>6.7156000000000002</v>
      </c>
      <c r="H776" s="4">
        <f t="shared" si="26"/>
        <v>-8.0716999999999999</v>
      </c>
      <c r="I776" s="20" t="str">
        <f t="array" ref="I776">IF(ISBLANK(C776),"",IF(C776=MAX(IF(FarmUnit[1. Identifiant interne d’exploitation agricole*]=A776,FarmUnit[3. Superficie de l’unité agricole (ha)*])),"!","-"))</f>
        <v>!</v>
      </c>
      <c r="J776" s="9" t="str">
        <f ca="1">IFERROR(CONCATENATE(VLOOKUP(A776,GM_Table,12,FALSE)," ",(VLOOKUP(A776,GM_Table,13,FALSE))),"")</f>
        <v/>
      </c>
    </row>
    <row r="777" spans="1:10" ht="15" x14ac:dyDescent="0.2">
      <c r="A777" s="193" t="s">
        <v>2751</v>
      </c>
      <c r="B777" s="193" t="s">
        <v>2751</v>
      </c>
      <c r="C777" s="264">
        <v>5.12</v>
      </c>
      <c r="D777" s="270">
        <v>6.7244000000000002</v>
      </c>
      <c r="E777" s="270">
        <v>-8.0748999999999995</v>
      </c>
      <c r="F777" s="122" t="b">
        <f>IF(ISBLANK(FarmUnit[[#This Row],[1. Identifiant interne d’exploitation agricole*]]),"",IF(ISERROR(MATCH(FarmUnit[[#This Row],[1. Identifiant interne d’exploitation agricole*]],GroupMember[1. Identifiant interne d’exploitation agricole*],0)),FALSE,TRUE))</f>
        <v>1</v>
      </c>
      <c r="G777" s="4">
        <f t="shared" si="25"/>
        <v>6.7244000000000002</v>
      </c>
      <c r="H777" s="4">
        <f t="shared" si="26"/>
        <v>-8.0748999999999995</v>
      </c>
      <c r="I777" s="20" t="str">
        <f t="array" ref="I777">IF(ISBLANK(C777),"",IF(C777=MAX(IF(FarmUnit[1. Identifiant interne d’exploitation agricole*]=A777,FarmUnit[3. Superficie de l’unité agricole (ha)*])),"!","-"))</f>
        <v>!</v>
      </c>
      <c r="J777" s="9" t="str">
        <f ca="1">IFERROR(CONCATENATE(VLOOKUP(A777,GM_Table,12,FALSE)," ",(VLOOKUP(A777,GM_Table,13,FALSE))),"")</f>
        <v/>
      </c>
    </row>
    <row r="778" spans="1:10" ht="15" x14ac:dyDescent="0.2">
      <c r="A778" s="193" t="s">
        <v>2752</v>
      </c>
      <c r="B778" s="193" t="s">
        <v>2752</v>
      </c>
      <c r="C778" s="264">
        <v>1.61</v>
      </c>
      <c r="D778" s="270">
        <v>6.7245999999999997</v>
      </c>
      <c r="E778" s="270">
        <v>-8.0745000000000005</v>
      </c>
      <c r="F778" s="122" t="b">
        <f>IF(ISBLANK(FarmUnit[[#This Row],[1. Identifiant interne d’exploitation agricole*]]),"",IF(ISERROR(MATCH(FarmUnit[[#This Row],[1. Identifiant interne d’exploitation agricole*]],GroupMember[1. Identifiant interne d’exploitation agricole*],0)),FALSE,TRUE))</f>
        <v>1</v>
      </c>
      <c r="G778" s="4">
        <f t="shared" si="25"/>
        <v>6.7245999999999997</v>
      </c>
      <c r="H778" s="4">
        <f t="shared" si="26"/>
        <v>-8.0745000000000005</v>
      </c>
      <c r="I778" s="20" t="str">
        <f t="array" ref="I778">IF(ISBLANK(C778),"",IF(C778=MAX(IF(FarmUnit[1. Identifiant interne d’exploitation agricole*]=A778,FarmUnit[3. Superficie de l’unité agricole (ha)*])),"!","-"))</f>
        <v>!</v>
      </c>
      <c r="J778" s="9" t="str">
        <f ca="1">IFERROR(CONCATENATE(VLOOKUP(A778,GM_Table,12,FALSE)," ",(VLOOKUP(A778,GM_Table,13,FALSE))),"")</f>
        <v/>
      </c>
    </row>
    <row r="779" spans="1:10" ht="15" x14ac:dyDescent="0.2">
      <c r="A779" s="193" t="s">
        <v>2754</v>
      </c>
      <c r="B779" s="193" t="s">
        <v>2754</v>
      </c>
      <c r="C779" s="264">
        <v>1.05</v>
      </c>
      <c r="D779" s="270">
        <v>6.7286000000000001</v>
      </c>
      <c r="E779" s="270">
        <v>-8.0739999999999998</v>
      </c>
      <c r="F779" s="122" t="b">
        <f>IF(ISBLANK(FarmUnit[[#This Row],[1. Identifiant interne d’exploitation agricole*]]),"",IF(ISERROR(MATCH(FarmUnit[[#This Row],[1. Identifiant interne d’exploitation agricole*]],GroupMember[1. Identifiant interne d’exploitation agricole*],0)),FALSE,TRUE))</f>
        <v>1</v>
      </c>
      <c r="G779" s="4">
        <f t="shared" si="25"/>
        <v>6.7286000000000001</v>
      </c>
      <c r="H779" s="4">
        <f t="shared" si="26"/>
        <v>-8.0739999999999998</v>
      </c>
      <c r="I779" s="20" t="str">
        <f t="array" ref="I779">IF(ISBLANK(C779),"",IF(C779=MAX(IF(FarmUnit[1. Identifiant interne d’exploitation agricole*]=A779,FarmUnit[3. Superficie de l’unité agricole (ha)*])),"!","-"))</f>
        <v>!</v>
      </c>
      <c r="J779" s="9" t="str">
        <f ca="1">IFERROR(CONCATENATE(VLOOKUP(A779,GM_Table,12,FALSE)," ",(VLOOKUP(A779,GM_Table,13,FALSE))),"")</f>
        <v/>
      </c>
    </row>
    <row r="780" spans="1:10" ht="15" x14ac:dyDescent="0.2">
      <c r="A780" s="193" t="s">
        <v>2756</v>
      </c>
      <c r="B780" s="193" t="s">
        <v>2756</v>
      </c>
      <c r="C780" s="264">
        <v>1.26</v>
      </c>
      <c r="D780" s="270">
        <v>6.7271999999999998</v>
      </c>
      <c r="E780" s="270">
        <v>-8.0687999999999995</v>
      </c>
      <c r="F780" s="122" t="b">
        <f>IF(ISBLANK(FarmUnit[[#This Row],[1. Identifiant interne d’exploitation agricole*]]),"",IF(ISERROR(MATCH(FarmUnit[[#This Row],[1. Identifiant interne d’exploitation agricole*]],GroupMember[1. Identifiant interne d’exploitation agricole*],0)),FALSE,TRUE))</f>
        <v>1</v>
      </c>
      <c r="G780" s="4">
        <f t="shared" si="25"/>
        <v>6.7271999999999998</v>
      </c>
      <c r="H780" s="4">
        <f t="shared" si="26"/>
        <v>-8.0687999999999995</v>
      </c>
      <c r="I780" s="20" t="str">
        <f t="array" ref="I780">IF(ISBLANK(C780),"",IF(C780=MAX(IF(FarmUnit[1. Identifiant interne d’exploitation agricole*]=A780,FarmUnit[3. Superficie de l’unité agricole (ha)*])),"!","-"))</f>
        <v>!</v>
      </c>
      <c r="J780" s="9" t="str">
        <f ca="1">IFERROR(CONCATENATE(VLOOKUP(A780,GM_Table,12,FALSE)," ",(VLOOKUP(A780,GM_Table,13,FALSE))),"")</f>
        <v/>
      </c>
    </row>
    <row r="781" spans="1:10" ht="15" x14ac:dyDescent="0.2">
      <c r="A781" s="193" t="s">
        <v>2758</v>
      </c>
      <c r="B781" s="193" t="s">
        <v>2758</v>
      </c>
      <c r="C781" s="264">
        <v>1.71</v>
      </c>
      <c r="D781" s="270">
        <v>6.7234999999999996</v>
      </c>
      <c r="E781" s="270">
        <v>-8.0794999999999995</v>
      </c>
      <c r="F781" s="122" t="b">
        <f>IF(ISBLANK(FarmUnit[[#This Row],[1. Identifiant interne d’exploitation agricole*]]),"",IF(ISERROR(MATCH(FarmUnit[[#This Row],[1. Identifiant interne d’exploitation agricole*]],GroupMember[1. Identifiant interne d’exploitation agricole*],0)),FALSE,TRUE))</f>
        <v>1</v>
      </c>
      <c r="G781" s="4">
        <f t="shared" si="25"/>
        <v>6.7234999999999996</v>
      </c>
      <c r="H781" s="4">
        <f t="shared" si="26"/>
        <v>-8.0794999999999995</v>
      </c>
      <c r="I781" s="20" t="str">
        <f t="array" ref="I781">IF(ISBLANK(C781),"",IF(C781=MAX(IF(FarmUnit[1. Identifiant interne d’exploitation agricole*]=A781,FarmUnit[3. Superficie de l’unité agricole (ha)*])),"!","-"))</f>
        <v>!</v>
      </c>
      <c r="J781" s="9" t="str">
        <f ca="1">IFERROR(CONCATENATE(VLOOKUP(A781,GM_Table,12,FALSE)," ",(VLOOKUP(A781,GM_Table,13,FALSE))),"")</f>
        <v/>
      </c>
    </row>
    <row r="782" spans="1:10" ht="15" x14ac:dyDescent="0.2">
      <c r="A782" s="193" t="s">
        <v>2760</v>
      </c>
      <c r="B782" s="193" t="s">
        <v>2760</v>
      </c>
      <c r="C782" s="264">
        <v>3.68</v>
      </c>
      <c r="D782" s="270">
        <v>6.7240000000000002</v>
      </c>
      <c r="E782" s="270">
        <v>-8.0816999999999997</v>
      </c>
      <c r="F782" s="122" t="b">
        <f>IF(ISBLANK(FarmUnit[[#This Row],[1. Identifiant interne d’exploitation agricole*]]),"",IF(ISERROR(MATCH(FarmUnit[[#This Row],[1. Identifiant interne d’exploitation agricole*]],GroupMember[1. Identifiant interne d’exploitation agricole*],0)),FALSE,TRUE))</f>
        <v>1</v>
      </c>
      <c r="G782" s="4">
        <f t="shared" si="25"/>
        <v>6.7240000000000002</v>
      </c>
      <c r="H782" s="4">
        <f t="shared" si="26"/>
        <v>-8.0816999999999997</v>
      </c>
      <c r="I782" s="20" t="str">
        <f t="array" ref="I782">IF(ISBLANK(C782),"",IF(C782=MAX(IF(FarmUnit[1. Identifiant interne d’exploitation agricole*]=A782,FarmUnit[3. Superficie de l’unité agricole (ha)*])),"!","-"))</f>
        <v>!</v>
      </c>
      <c r="J782" s="9" t="str">
        <f ca="1">IFERROR(CONCATENATE(VLOOKUP(A782,GM_Table,12,FALSE)," ",(VLOOKUP(A782,GM_Table,13,FALSE))),"")</f>
        <v/>
      </c>
    </row>
    <row r="783" spans="1:10" ht="15" x14ac:dyDescent="0.2">
      <c r="A783" s="193" t="s">
        <v>2761</v>
      </c>
      <c r="B783" s="193" t="s">
        <v>2761</v>
      </c>
      <c r="C783" s="264">
        <v>1.92</v>
      </c>
      <c r="D783" s="270">
        <v>6.7298999999999998</v>
      </c>
      <c r="E783" s="270">
        <v>-8.0740999999999996</v>
      </c>
      <c r="F783" s="122" t="b">
        <f>IF(ISBLANK(FarmUnit[[#This Row],[1. Identifiant interne d’exploitation agricole*]]),"",IF(ISERROR(MATCH(FarmUnit[[#This Row],[1. Identifiant interne d’exploitation agricole*]],GroupMember[1. Identifiant interne d’exploitation agricole*],0)),FALSE,TRUE))</f>
        <v>1</v>
      </c>
      <c r="G783" s="4">
        <f t="shared" si="25"/>
        <v>6.7298999999999998</v>
      </c>
      <c r="H783" s="4">
        <f t="shared" si="26"/>
        <v>-8.0740999999999996</v>
      </c>
      <c r="I783" s="20" t="str">
        <f t="array" ref="I783">IF(ISBLANK(C783),"",IF(C783=MAX(IF(FarmUnit[1. Identifiant interne d’exploitation agricole*]=A783,FarmUnit[3. Superficie de l’unité agricole (ha)*])),"!","-"))</f>
        <v>!</v>
      </c>
      <c r="J783" s="9" t="str">
        <f ca="1">IFERROR(CONCATENATE(VLOOKUP(A783,GM_Table,12,FALSE)," ",(VLOOKUP(A783,GM_Table,13,FALSE))),"")</f>
        <v/>
      </c>
    </row>
    <row r="784" spans="1:10" ht="15" x14ac:dyDescent="0.2">
      <c r="A784" s="193" t="s">
        <v>2763</v>
      </c>
      <c r="B784" s="193" t="s">
        <v>2763</v>
      </c>
      <c r="C784" s="264">
        <v>1.96</v>
      </c>
      <c r="D784" s="270">
        <v>6.7298</v>
      </c>
      <c r="E784" s="270">
        <v>-8.0757999999999992</v>
      </c>
      <c r="F784" s="122" t="b">
        <f>IF(ISBLANK(FarmUnit[[#This Row],[1. Identifiant interne d’exploitation agricole*]]),"",IF(ISERROR(MATCH(FarmUnit[[#This Row],[1. Identifiant interne d’exploitation agricole*]],GroupMember[1. Identifiant interne d’exploitation agricole*],0)),FALSE,TRUE))</f>
        <v>1</v>
      </c>
      <c r="G784" s="4">
        <f t="shared" si="25"/>
        <v>6.7298</v>
      </c>
      <c r="H784" s="4">
        <f t="shared" si="26"/>
        <v>-8.0757999999999992</v>
      </c>
      <c r="I784" s="20" t="str">
        <f t="array" ref="I784">IF(ISBLANK(C784),"",IF(C784=MAX(IF(FarmUnit[1. Identifiant interne d’exploitation agricole*]=A784,FarmUnit[3. Superficie de l’unité agricole (ha)*])),"!","-"))</f>
        <v>!</v>
      </c>
      <c r="J784" s="9" t="str">
        <f ca="1">IFERROR(CONCATENATE(VLOOKUP(A784,GM_Table,12,FALSE)," ",(VLOOKUP(A784,GM_Table,13,FALSE))),"")</f>
        <v/>
      </c>
    </row>
    <row r="785" spans="1:10" ht="15" x14ac:dyDescent="0.2">
      <c r="A785" s="193" t="s">
        <v>2764</v>
      </c>
      <c r="B785" s="193" t="s">
        <v>2764</v>
      </c>
      <c r="C785" s="264">
        <v>0.92</v>
      </c>
      <c r="D785" s="270">
        <v>6.7206000000000001</v>
      </c>
      <c r="E785" s="270">
        <v>-8.0762</v>
      </c>
      <c r="F785" s="122" t="b">
        <f>IF(ISBLANK(FarmUnit[[#This Row],[1. Identifiant interne d’exploitation agricole*]]),"",IF(ISERROR(MATCH(FarmUnit[[#This Row],[1. Identifiant interne d’exploitation agricole*]],GroupMember[1. Identifiant interne d’exploitation agricole*],0)),FALSE,TRUE))</f>
        <v>1</v>
      </c>
      <c r="G785" s="4">
        <f t="shared" si="25"/>
        <v>6.7206000000000001</v>
      </c>
      <c r="H785" s="4">
        <f t="shared" si="26"/>
        <v>-8.0762</v>
      </c>
      <c r="I785" s="20" t="str">
        <f t="array" ref="I785">IF(ISBLANK(C785),"",IF(C785=MAX(IF(FarmUnit[1. Identifiant interne d’exploitation agricole*]=A785,FarmUnit[3. Superficie de l’unité agricole (ha)*])),"!","-"))</f>
        <v>!</v>
      </c>
      <c r="J785" s="9" t="str">
        <f ca="1">IFERROR(CONCATENATE(VLOOKUP(A785,GM_Table,12,FALSE)," ",(VLOOKUP(A785,GM_Table,13,FALSE))),"")</f>
        <v/>
      </c>
    </row>
    <row r="786" spans="1:10" ht="15" x14ac:dyDescent="0.2">
      <c r="A786" s="193" t="s">
        <v>2766</v>
      </c>
      <c r="B786" s="193" t="s">
        <v>2766</v>
      </c>
      <c r="C786" s="264">
        <v>2.75</v>
      </c>
      <c r="D786" s="270">
        <v>6.7279999999999998</v>
      </c>
      <c r="E786" s="270">
        <v>-8.0795999999999992</v>
      </c>
      <c r="F786" s="122" t="b">
        <f>IF(ISBLANK(FarmUnit[[#This Row],[1. Identifiant interne d’exploitation agricole*]]),"",IF(ISERROR(MATCH(FarmUnit[[#This Row],[1. Identifiant interne d’exploitation agricole*]],GroupMember[1. Identifiant interne d’exploitation agricole*],0)),FALSE,TRUE))</f>
        <v>1</v>
      </c>
      <c r="G786" s="4">
        <f t="shared" si="25"/>
        <v>6.7279999999999998</v>
      </c>
      <c r="H786" s="4">
        <f t="shared" si="26"/>
        <v>-8.0795999999999992</v>
      </c>
      <c r="I786" s="20" t="str">
        <f t="array" ref="I786">IF(ISBLANK(C786),"",IF(C786=MAX(IF(FarmUnit[1. Identifiant interne d’exploitation agricole*]=A786,FarmUnit[3. Superficie de l’unité agricole (ha)*])),"!","-"))</f>
        <v>!</v>
      </c>
      <c r="J786" s="9" t="str">
        <f ca="1">IFERROR(CONCATENATE(VLOOKUP(A786,GM_Table,12,FALSE)," ",(VLOOKUP(A786,GM_Table,13,FALSE))),"")</f>
        <v/>
      </c>
    </row>
    <row r="787" spans="1:10" ht="15" x14ac:dyDescent="0.2">
      <c r="A787" s="193" t="s">
        <v>2768</v>
      </c>
      <c r="B787" s="193" t="s">
        <v>2768</v>
      </c>
      <c r="C787" s="264">
        <v>1.74</v>
      </c>
      <c r="D787" s="270">
        <v>6.7272999999999996</v>
      </c>
      <c r="E787" s="270">
        <v>-8.0801999999999996</v>
      </c>
      <c r="F787" s="122" t="b">
        <f>IF(ISBLANK(FarmUnit[[#This Row],[1. Identifiant interne d’exploitation agricole*]]),"",IF(ISERROR(MATCH(FarmUnit[[#This Row],[1. Identifiant interne d’exploitation agricole*]],GroupMember[1. Identifiant interne d’exploitation agricole*],0)),FALSE,TRUE))</f>
        <v>1</v>
      </c>
      <c r="G787" s="4">
        <f t="shared" si="25"/>
        <v>6.7272999999999996</v>
      </c>
      <c r="H787" s="4">
        <f t="shared" si="26"/>
        <v>-8.0801999999999996</v>
      </c>
      <c r="I787" s="20" t="str">
        <f t="array" ref="I787">IF(ISBLANK(C787),"",IF(C787=MAX(IF(FarmUnit[1. Identifiant interne d’exploitation agricole*]=A787,FarmUnit[3. Superficie de l’unité agricole (ha)*])),"!","-"))</f>
        <v>!</v>
      </c>
      <c r="J787" s="9" t="str">
        <f ca="1">IFERROR(CONCATENATE(VLOOKUP(A787,GM_Table,12,FALSE)," ",(VLOOKUP(A787,GM_Table,13,FALSE))),"")</f>
        <v/>
      </c>
    </row>
    <row r="788" spans="1:10" ht="15" x14ac:dyDescent="0.2">
      <c r="A788" s="193" t="s">
        <v>2769</v>
      </c>
      <c r="B788" s="193" t="s">
        <v>2769</v>
      </c>
      <c r="C788" s="264">
        <v>4.9400000000000004</v>
      </c>
      <c r="D788" s="270">
        <v>6.7144000000000004</v>
      </c>
      <c r="E788" s="270">
        <v>-8.0658999999999992</v>
      </c>
      <c r="F788" s="122" t="b">
        <f>IF(ISBLANK(FarmUnit[[#This Row],[1. Identifiant interne d’exploitation agricole*]]),"",IF(ISERROR(MATCH(FarmUnit[[#This Row],[1. Identifiant interne d’exploitation agricole*]],GroupMember[1. Identifiant interne d’exploitation agricole*],0)),FALSE,TRUE))</f>
        <v>1</v>
      </c>
      <c r="G788" s="4">
        <f t="shared" si="25"/>
        <v>6.7144000000000004</v>
      </c>
      <c r="H788" s="4">
        <f t="shared" si="26"/>
        <v>-8.0658999999999992</v>
      </c>
      <c r="I788" s="20" t="str">
        <f t="array" ref="I788">IF(ISBLANK(C788),"",IF(C788=MAX(IF(FarmUnit[1. Identifiant interne d’exploitation agricole*]=A788,FarmUnit[3. Superficie de l’unité agricole (ha)*])),"!","-"))</f>
        <v>!</v>
      </c>
      <c r="J788" s="9" t="str">
        <f ca="1">IFERROR(CONCATENATE(VLOOKUP(A788,GM_Table,12,FALSE)," ",(VLOOKUP(A788,GM_Table,13,FALSE))),"")</f>
        <v/>
      </c>
    </row>
    <row r="789" spans="1:10" ht="15" x14ac:dyDescent="0.2">
      <c r="A789" s="193" t="s">
        <v>2770</v>
      </c>
      <c r="B789" s="193" t="s">
        <v>2770</v>
      </c>
      <c r="C789" s="264">
        <v>0.97</v>
      </c>
      <c r="D789" s="270">
        <v>6.7149000000000001</v>
      </c>
      <c r="E789" s="270">
        <v>-8.0663</v>
      </c>
      <c r="F789" s="122" t="b">
        <f>IF(ISBLANK(FarmUnit[[#This Row],[1. Identifiant interne d’exploitation agricole*]]),"",IF(ISERROR(MATCH(FarmUnit[[#This Row],[1. Identifiant interne d’exploitation agricole*]],GroupMember[1. Identifiant interne d’exploitation agricole*],0)),FALSE,TRUE))</f>
        <v>1</v>
      </c>
      <c r="G789" s="4">
        <f t="shared" si="25"/>
        <v>6.7149000000000001</v>
      </c>
      <c r="H789" s="4">
        <f t="shared" si="26"/>
        <v>-8.0663</v>
      </c>
      <c r="I789" s="20" t="str">
        <f t="array" ref="I789">IF(ISBLANK(C789),"",IF(C789=MAX(IF(FarmUnit[1. Identifiant interne d’exploitation agricole*]=A789,FarmUnit[3. Superficie de l’unité agricole (ha)*])),"!","-"))</f>
        <v>!</v>
      </c>
      <c r="J789" s="9" t="str">
        <f ca="1">IFERROR(CONCATENATE(VLOOKUP(A789,GM_Table,12,FALSE)," ",(VLOOKUP(A789,GM_Table,13,FALSE))),"")</f>
        <v/>
      </c>
    </row>
    <row r="790" spans="1:10" ht="15" x14ac:dyDescent="0.2">
      <c r="A790" s="193" t="s">
        <v>2772</v>
      </c>
      <c r="B790" s="193" t="s">
        <v>2772</v>
      </c>
      <c r="C790" s="264">
        <v>3.01</v>
      </c>
      <c r="D790" s="270">
        <v>6.7148000000000003</v>
      </c>
      <c r="E790" s="270">
        <v>-8.0226000000000006</v>
      </c>
      <c r="F790" s="122" t="b">
        <f>IF(ISBLANK(FarmUnit[[#This Row],[1. Identifiant interne d’exploitation agricole*]]),"",IF(ISERROR(MATCH(FarmUnit[[#This Row],[1. Identifiant interne d’exploitation agricole*]],GroupMember[1. Identifiant interne d’exploitation agricole*],0)),FALSE,TRUE))</f>
        <v>1</v>
      </c>
      <c r="G790" s="4">
        <f t="shared" si="25"/>
        <v>6.7148000000000003</v>
      </c>
      <c r="H790" s="4">
        <f t="shared" si="26"/>
        <v>-8.0226000000000006</v>
      </c>
      <c r="I790" s="20" t="str">
        <f t="array" ref="I790">IF(ISBLANK(C790),"",IF(C790=MAX(IF(FarmUnit[1. Identifiant interne d’exploitation agricole*]=A790,FarmUnit[3. Superficie de l’unité agricole (ha)*])),"!","-"))</f>
        <v>!</v>
      </c>
      <c r="J790" s="9" t="str">
        <f ca="1">IFERROR(CONCATENATE(VLOOKUP(A790,GM_Table,12,FALSE)," ",(VLOOKUP(A790,GM_Table,13,FALSE))),"")</f>
        <v/>
      </c>
    </row>
    <row r="791" spans="1:10" ht="15" x14ac:dyDescent="0.2">
      <c r="A791" s="193" t="s">
        <v>2774</v>
      </c>
      <c r="B791" s="193" t="s">
        <v>2774</v>
      </c>
      <c r="C791" s="264">
        <v>2.3199999999999998</v>
      </c>
      <c r="D791" s="270">
        <v>6.7122999999999999</v>
      </c>
      <c r="E791" s="270">
        <v>-8.0231999999999992</v>
      </c>
      <c r="F791" s="122" t="b">
        <f>IF(ISBLANK(FarmUnit[[#This Row],[1. Identifiant interne d’exploitation agricole*]]),"",IF(ISERROR(MATCH(FarmUnit[[#This Row],[1. Identifiant interne d’exploitation agricole*]],GroupMember[1. Identifiant interne d’exploitation agricole*],0)),FALSE,TRUE))</f>
        <v>1</v>
      </c>
      <c r="G791" s="4">
        <f t="shared" si="25"/>
        <v>6.7122999999999999</v>
      </c>
      <c r="H791" s="4">
        <f t="shared" si="26"/>
        <v>-8.0231999999999992</v>
      </c>
      <c r="I791" s="20" t="str">
        <f t="array" ref="I791">IF(ISBLANK(C791),"",IF(C791=MAX(IF(FarmUnit[1. Identifiant interne d’exploitation agricole*]=A791,FarmUnit[3. Superficie de l’unité agricole (ha)*])),"!","-"))</f>
        <v>!</v>
      </c>
      <c r="J791" s="9" t="str">
        <f ca="1">IFERROR(CONCATENATE(VLOOKUP(A791,GM_Table,12,FALSE)," ",(VLOOKUP(A791,GM_Table,13,FALSE))),"")</f>
        <v/>
      </c>
    </row>
    <row r="792" spans="1:10" ht="15" x14ac:dyDescent="0.2">
      <c r="A792" s="193" t="s">
        <v>2776</v>
      </c>
      <c r="B792" s="193" t="s">
        <v>2776</v>
      </c>
      <c r="C792" s="264">
        <v>3.12</v>
      </c>
      <c r="D792" s="270">
        <v>6.7149000000000001</v>
      </c>
      <c r="E792" s="270">
        <v>-8.0227000000000004</v>
      </c>
      <c r="F792" s="122" t="b">
        <f>IF(ISBLANK(FarmUnit[[#This Row],[1. Identifiant interne d’exploitation agricole*]]),"",IF(ISERROR(MATCH(FarmUnit[[#This Row],[1. Identifiant interne d’exploitation agricole*]],GroupMember[1. Identifiant interne d’exploitation agricole*],0)),FALSE,TRUE))</f>
        <v>1</v>
      </c>
      <c r="G792" s="4">
        <f t="shared" si="25"/>
        <v>6.7149000000000001</v>
      </c>
      <c r="H792" s="4">
        <f t="shared" si="26"/>
        <v>-8.0227000000000004</v>
      </c>
      <c r="I792" s="20" t="str">
        <f t="array" ref="I792">IF(ISBLANK(C792),"",IF(C792=MAX(IF(FarmUnit[1. Identifiant interne d’exploitation agricole*]=A792,FarmUnit[3. Superficie de l’unité agricole (ha)*])),"!","-"))</f>
        <v>!</v>
      </c>
      <c r="J792" s="9" t="str">
        <f ca="1">IFERROR(CONCATENATE(VLOOKUP(A792,GM_Table,12,FALSE)," ",(VLOOKUP(A792,GM_Table,13,FALSE))),"")</f>
        <v/>
      </c>
    </row>
    <row r="793" spans="1:10" ht="15" x14ac:dyDescent="0.2">
      <c r="A793" s="193" t="s">
        <v>2778</v>
      </c>
      <c r="B793" s="193" t="s">
        <v>2778</v>
      </c>
      <c r="C793" s="264">
        <v>2.68</v>
      </c>
      <c r="D793" s="270">
        <v>6.7164999999999999</v>
      </c>
      <c r="E793" s="270">
        <v>-8.0227000000000004</v>
      </c>
      <c r="F793" s="122" t="b">
        <f>IF(ISBLANK(FarmUnit[[#This Row],[1. Identifiant interne d’exploitation agricole*]]),"",IF(ISERROR(MATCH(FarmUnit[[#This Row],[1. Identifiant interne d’exploitation agricole*]],GroupMember[1. Identifiant interne d’exploitation agricole*],0)),FALSE,TRUE))</f>
        <v>1</v>
      </c>
      <c r="G793" s="4">
        <f t="shared" si="25"/>
        <v>6.7164999999999999</v>
      </c>
      <c r="H793" s="4">
        <f t="shared" si="26"/>
        <v>-8.0227000000000004</v>
      </c>
      <c r="I793" s="20" t="str">
        <f t="array" ref="I793">IF(ISBLANK(C793),"",IF(C793=MAX(IF(FarmUnit[1. Identifiant interne d’exploitation agricole*]=A793,FarmUnit[3. Superficie de l’unité agricole (ha)*])),"!","-"))</f>
        <v>!</v>
      </c>
      <c r="J793" s="9" t="str">
        <f ca="1">IFERROR(CONCATENATE(VLOOKUP(A793,GM_Table,12,FALSE)," ",(VLOOKUP(A793,GM_Table,13,FALSE))),"")</f>
        <v/>
      </c>
    </row>
    <row r="794" spans="1:10" ht="15" x14ac:dyDescent="0.2">
      <c r="A794" s="193" t="s">
        <v>2780</v>
      </c>
      <c r="B794" s="193" t="s">
        <v>2780</v>
      </c>
      <c r="C794" s="264">
        <v>1.64</v>
      </c>
      <c r="D794" s="270">
        <v>6.7168999999999999</v>
      </c>
      <c r="E794" s="270">
        <v>-8.0222999999999995</v>
      </c>
      <c r="F794" s="122" t="b">
        <f>IF(ISBLANK(FarmUnit[[#This Row],[1. Identifiant interne d’exploitation agricole*]]),"",IF(ISERROR(MATCH(FarmUnit[[#This Row],[1. Identifiant interne d’exploitation agricole*]],GroupMember[1. Identifiant interne d’exploitation agricole*],0)),FALSE,TRUE))</f>
        <v>1</v>
      </c>
      <c r="G794" s="4">
        <f t="shared" si="25"/>
        <v>6.7168999999999999</v>
      </c>
      <c r="H794" s="4">
        <f t="shared" si="26"/>
        <v>-8.0222999999999995</v>
      </c>
      <c r="I794" s="20" t="str">
        <f t="array" ref="I794">IF(ISBLANK(C794),"",IF(C794=MAX(IF(FarmUnit[1. Identifiant interne d’exploitation agricole*]=A794,FarmUnit[3. Superficie de l’unité agricole (ha)*])),"!","-"))</f>
        <v>!</v>
      </c>
      <c r="J794" s="9" t="str">
        <f ca="1">IFERROR(CONCATENATE(VLOOKUP(A794,GM_Table,12,FALSE)," ",(VLOOKUP(A794,GM_Table,13,FALSE))),"")</f>
        <v/>
      </c>
    </row>
    <row r="795" spans="1:10" ht="15" x14ac:dyDescent="0.2">
      <c r="A795" s="193" t="s">
        <v>2782</v>
      </c>
      <c r="B795" s="193" t="s">
        <v>2782</v>
      </c>
      <c r="C795" s="264">
        <v>2.19</v>
      </c>
      <c r="D795" s="270">
        <v>6.7350000000000003</v>
      </c>
      <c r="E795" s="270">
        <v>-8.0509000000000004</v>
      </c>
      <c r="F795" s="122" t="b">
        <f>IF(ISBLANK(FarmUnit[[#This Row],[1. Identifiant interne d’exploitation agricole*]]),"",IF(ISERROR(MATCH(FarmUnit[[#This Row],[1. Identifiant interne d’exploitation agricole*]],GroupMember[1. Identifiant interne d’exploitation agricole*],0)),FALSE,TRUE))</f>
        <v>1</v>
      </c>
      <c r="G795" s="4">
        <f t="shared" si="25"/>
        <v>6.7350000000000003</v>
      </c>
      <c r="H795" s="4">
        <f t="shared" si="26"/>
        <v>-8.0509000000000004</v>
      </c>
      <c r="I795" s="20" t="str">
        <f t="array" ref="I795">IF(ISBLANK(C795),"",IF(C795=MAX(IF(FarmUnit[1. Identifiant interne d’exploitation agricole*]=A795,FarmUnit[3. Superficie de l’unité agricole (ha)*])),"!","-"))</f>
        <v>!</v>
      </c>
      <c r="J795" s="9" t="str">
        <f ca="1">IFERROR(CONCATENATE(VLOOKUP(A795,GM_Table,12,FALSE)," ",(VLOOKUP(A795,GM_Table,13,FALSE))),"")</f>
        <v/>
      </c>
    </row>
    <row r="796" spans="1:10" ht="15" x14ac:dyDescent="0.2">
      <c r="A796" s="193" t="s">
        <v>2784</v>
      </c>
      <c r="B796" s="193" t="s">
        <v>2784</v>
      </c>
      <c r="C796" s="264">
        <v>3.78</v>
      </c>
      <c r="D796" s="270">
        <v>6.7190000000000003</v>
      </c>
      <c r="E796" s="270">
        <v>-8.0493000000000006</v>
      </c>
      <c r="F796" s="122" t="b">
        <f>IF(ISBLANK(FarmUnit[[#This Row],[1. Identifiant interne d’exploitation agricole*]]),"",IF(ISERROR(MATCH(FarmUnit[[#This Row],[1. Identifiant interne d’exploitation agricole*]],GroupMember[1. Identifiant interne d’exploitation agricole*],0)),FALSE,TRUE))</f>
        <v>1</v>
      </c>
      <c r="G796" s="4">
        <f t="shared" si="25"/>
        <v>6.7190000000000003</v>
      </c>
      <c r="H796" s="4">
        <f t="shared" si="26"/>
        <v>-8.0493000000000006</v>
      </c>
      <c r="I796" s="20" t="str">
        <f t="array" ref="I796">IF(ISBLANK(C796),"",IF(C796=MAX(IF(FarmUnit[1. Identifiant interne d’exploitation agricole*]=A796,FarmUnit[3. Superficie de l’unité agricole (ha)*])),"!","-"))</f>
        <v>!</v>
      </c>
      <c r="J796" s="9" t="str">
        <f ca="1">IFERROR(CONCATENATE(VLOOKUP(A796,GM_Table,12,FALSE)," ",(VLOOKUP(A796,GM_Table,13,FALSE))),"")</f>
        <v/>
      </c>
    </row>
    <row r="797" spans="1:10" ht="15" x14ac:dyDescent="0.2">
      <c r="A797" s="193" t="s">
        <v>2786</v>
      </c>
      <c r="B797" s="193" t="s">
        <v>2786</v>
      </c>
      <c r="C797" s="264">
        <v>2.72</v>
      </c>
      <c r="D797" s="270">
        <v>6.7194000000000003</v>
      </c>
      <c r="E797" s="270">
        <v>-8.0326000000000004</v>
      </c>
      <c r="F797" s="122" t="b">
        <f>IF(ISBLANK(FarmUnit[[#This Row],[1. Identifiant interne d’exploitation agricole*]]),"",IF(ISERROR(MATCH(FarmUnit[[#This Row],[1. Identifiant interne d’exploitation agricole*]],GroupMember[1. Identifiant interne d’exploitation agricole*],0)),FALSE,TRUE))</f>
        <v>1</v>
      </c>
      <c r="G797" s="4">
        <f t="shared" si="25"/>
        <v>6.7194000000000003</v>
      </c>
      <c r="H797" s="4">
        <f t="shared" si="26"/>
        <v>-8.0326000000000004</v>
      </c>
      <c r="I797" s="20" t="str">
        <f t="array" ref="I797">IF(ISBLANK(C797),"",IF(C797=MAX(IF(FarmUnit[1. Identifiant interne d’exploitation agricole*]=A797,FarmUnit[3. Superficie de l’unité agricole (ha)*])),"!","-"))</f>
        <v>!</v>
      </c>
      <c r="J797" s="9" t="str">
        <f ca="1">IFERROR(CONCATENATE(VLOOKUP(A797,GM_Table,12,FALSE)," ",(VLOOKUP(A797,GM_Table,13,FALSE))),"")</f>
        <v/>
      </c>
    </row>
    <row r="798" spans="1:10" ht="15" x14ac:dyDescent="0.2">
      <c r="A798" s="193" t="s">
        <v>2788</v>
      </c>
      <c r="B798" s="193" t="s">
        <v>2788</v>
      </c>
      <c r="C798" s="264">
        <v>2.91</v>
      </c>
      <c r="D798" s="270">
        <v>6.7163000000000004</v>
      </c>
      <c r="E798" s="270">
        <v>-8.0197000000000003</v>
      </c>
      <c r="F798" s="122" t="b">
        <f>IF(ISBLANK(FarmUnit[[#This Row],[1. Identifiant interne d’exploitation agricole*]]),"",IF(ISERROR(MATCH(FarmUnit[[#This Row],[1. Identifiant interne d’exploitation agricole*]],GroupMember[1. Identifiant interne d’exploitation agricole*],0)),FALSE,TRUE))</f>
        <v>1</v>
      </c>
      <c r="G798" s="4">
        <f t="shared" si="25"/>
        <v>6.7163000000000004</v>
      </c>
      <c r="H798" s="4">
        <f t="shared" si="26"/>
        <v>-8.0197000000000003</v>
      </c>
      <c r="I798" s="20" t="str">
        <f t="array" ref="I798">IF(ISBLANK(C798),"",IF(C798=MAX(IF(FarmUnit[1. Identifiant interne d’exploitation agricole*]=A798,FarmUnit[3. Superficie de l’unité agricole (ha)*])),"!","-"))</f>
        <v>!</v>
      </c>
      <c r="J798" s="9" t="str">
        <f ca="1">IFERROR(CONCATENATE(VLOOKUP(A798,GM_Table,12,FALSE)," ",(VLOOKUP(A798,GM_Table,13,FALSE))),"")</f>
        <v/>
      </c>
    </row>
    <row r="799" spans="1:10" ht="15" x14ac:dyDescent="0.2">
      <c r="A799" s="193" t="s">
        <v>2790</v>
      </c>
      <c r="B799" s="193" t="s">
        <v>2790</v>
      </c>
      <c r="C799" s="264">
        <v>1.48</v>
      </c>
      <c r="D799" s="270">
        <v>6.6997</v>
      </c>
      <c r="E799" s="270">
        <v>-8.0777000000000001</v>
      </c>
      <c r="F799" s="122" t="b">
        <f>IF(ISBLANK(FarmUnit[[#This Row],[1. Identifiant interne d’exploitation agricole*]]),"",IF(ISERROR(MATCH(FarmUnit[[#This Row],[1. Identifiant interne d’exploitation agricole*]],GroupMember[1. Identifiant interne d’exploitation agricole*],0)),FALSE,TRUE))</f>
        <v>1</v>
      </c>
      <c r="G799" s="4">
        <f t="shared" si="25"/>
        <v>6.6997</v>
      </c>
      <c r="H799" s="4">
        <f t="shared" si="26"/>
        <v>-8.0777000000000001</v>
      </c>
      <c r="I799" s="20" t="str">
        <f t="array" ref="I799">IF(ISBLANK(C799),"",IF(C799=MAX(IF(FarmUnit[1. Identifiant interne d’exploitation agricole*]=A799,FarmUnit[3. Superficie de l’unité agricole (ha)*])),"!","-"))</f>
        <v>!</v>
      </c>
      <c r="J799" s="9" t="str">
        <f ca="1">IFERROR(CONCATENATE(VLOOKUP(A799,GM_Table,12,FALSE)," ",(VLOOKUP(A799,GM_Table,13,FALSE))),"")</f>
        <v/>
      </c>
    </row>
    <row r="800" spans="1:10" ht="15" x14ac:dyDescent="0.2">
      <c r="A800" s="193" t="s">
        <v>2792</v>
      </c>
      <c r="B800" s="193" t="s">
        <v>2792</v>
      </c>
      <c r="C800" s="264">
        <v>5.31</v>
      </c>
      <c r="D800" s="270">
        <v>6.6993</v>
      </c>
      <c r="E800" s="270">
        <v>-8.0806000000000004</v>
      </c>
      <c r="F800" s="122" t="b">
        <f>IF(ISBLANK(FarmUnit[[#This Row],[1. Identifiant interne d’exploitation agricole*]]),"",IF(ISERROR(MATCH(FarmUnit[[#This Row],[1. Identifiant interne d’exploitation agricole*]],GroupMember[1. Identifiant interne d’exploitation agricole*],0)),FALSE,TRUE))</f>
        <v>1</v>
      </c>
      <c r="G800" s="4">
        <f t="shared" si="25"/>
        <v>6.6993</v>
      </c>
      <c r="H800" s="4">
        <f t="shared" si="26"/>
        <v>-8.0806000000000004</v>
      </c>
      <c r="I800" s="20" t="str">
        <f t="array" ref="I800">IF(ISBLANK(C800),"",IF(C800=MAX(IF(FarmUnit[1. Identifiant interne d’exploitation agricole*]=A800,FarmUnit[3. Superficie de l’unité agricole (ha)*])),"!","-"))</f>
        <v>!</v>
      </c>
      <c r="J800" s="9" t="str">
        <f ca="1">IFERROR(CONCATENATE(VLOOKUP(A800,GM_Table,12,FALSE)," ",(VLOOKUP(A800,GM_Table,13,FALSE))),"")</f>
        <v/>
      </c>
    </row>
    <row r="801" spans="1:10" ht="15" x14ac:dyDescent="0.2">
      <c r="A801" s="193" t="s">
        <v>2794</v>
      </c>
      <c r="B801" s="193" t="s">
        <v>2794</v>
      </c>
      <c r="C801" s="264">
        <v>3.92</v>
      </c>
      <c r="D801" s="270">
        <v>6.6996000000000002</v>
      </c>
      <c r="E801" s="270">
        <v>-8.0808999999999997</v>
      </c>
      <c r="F801" s="122" t="b">
        <f>IF(ISBLANK(FarmUnit[[#This Row],[1. Identifiant interne d’exploitation agricole*]]),"",IF(ISERROR(MATCH(FarmUnit[[#This Row],[1. Identifiant interne d’exploitation agricole*]],GroupMember[1. Identifiant interne d’exploitation agricole*],0)),FALSE,TRUE))</f>
        <v>1</v>
      </c>
      <c r="G801" s="4">
        <f t="shared" si="25"/>
        <v>6.6996000000000002</v>
      </c>
      <c r="H801" s="4">
        <f t="shared" si="26"/>
        <v>-8.0808999999999997</v>
      </c>
      <c r="I801" s="20" t="str">
        <f t="array" ref="I801">IF(ISBLANK(C801),"",IF(C801=MAX(IF(FarmUnit[1. Identifiant interne d’exploitation agricole*]=A801,FarmUnit[3. Superficie de l’unité agricole (ha)*])),"!","-"))</f>
        <v>!</v>
      </c>
      <c r="J801" s="9" t="str">
        <f ca="1">IFERROR(CONCATENATE(VLOOKUP(A801,GM_Table,12,FALSE)," ",(VLOOKUP(A801,GM_Table,13,FALSE))),"")</f>
        <v/>
      </c>
    </row>
    <row r="802" spans="1:10" ht="15" x14ac:dyDescent="0.2">
      <c r="A802" s="193" t="s">
        <v>2796</v>
      </c>
      <c r="B802" s="193" t="s">
        <v>2796</v>
      </c>
      <c r="C802" s="264">
        <v>3.31</v>
      </c>
      <c r="D802" s="270">
        <v>6.6982999999999997</v>
      </c>
      <c r="E802" s="270">
        <v>-8.0725999999999996</v>
      </c>
      <c r="F802" s="122" t="b">
        <f>IF(ISBLANK(FarmUnit[[#This Row],[1. Identifiant interne d’exploitation agricole*]]),"",IF(ISERROR(MATCH(FarmUnit[[#This Row],[1. Identifiant interne d’exploitation agricole*]],GroupMember[1. Identifiant interne d’exploitation agricole*],0)),FALSE,TRUE))</f>
        <v>1</v>
      </c>
      <c r="G802" s="4">
        <f t="shared" si="25"/>
        <v>6.6982999999999997</v>
      </c>
      <c r="H802" s="4">
        <f t="shared" si="26"/>
        <v>-8.0725999999999996</v>
      </c>
      <c r="I802" s="20" t="str">
        <f t="array" ref="I802">IF(ISBLANK(C802),"",IF(C802=MAX(IF(FarmUnit[1. Identifiant interne d’exploitation agricole*]=A802,FarmUnit[3. Superficie de l’unité agricole (ha)*])),"!","-"))</f>
        <v>!</v>
      </c>
      <c r="J802" s="9" t="str">
        <f ca="1">IFERROR(CONCATENATE(VLOOKUP(A802,GM_Table,12,FALSE)," ",(VLOOKUP(A802,GM_Table,13,FALSE))),"")</f>
        <v/>
      </c>
    </row>
    <row r="803" spans="1:10" ht="15" x14ac:dyDescent="0.2">
      <c r="A803" s="193" t="s">
        <v>2799</v>
      </c>
      <c r="B803" s="193" t="s">
        <v>2799</v>
      </c>
      <c r="C803" s="264">
        <v>2.04</v>
      </c>
      <c r="D803" s="270">
        <v>6.6822999999999997</v>
      </c>
      <c r="E803" s="270">
        <v>-8.0587999999999997</v>
      </c>
      <c r="F803" s="122" t="b">
        <f>IF(ISBLANK(FarmUnit[[#This Row],[1. Identifiant interne d’exploitation agricole*]]),"",IF(ISERROR(MATCH(FarmUnit[[#This Row],[1. Identifiant interne d’exploitation agricole*]],GroupMember[1. Identifiant interne d’exploitation agricole*],0)),FALSE,TRUE))</f>
        <v>1</v>
      </c>
      <c r="G803" s="4">
        <f t="shared" si="25"/>
        <v>6.6822999999999997</v>
      </c>
      <c r="H803" s="4">
        <f t="shared" si="26"/>
        <v>-8.0587999999999997</v>
      </c>
      <c r="I803" s="20" t="str">
        <f t="array" ref="I803">IF(ISBLANK(C803),"",IF(C803=MAX(IF(FarmUnit[1. Identifiant interne d’exploitation agricole*]=A803,FarmUnit[3. Superficie de l’unité agricole (ha)*])),"!","-"))</f>
        <v>!</v>
      </c>
      <c r="J803" s="9" t="str">
        <f ca="1">IFERROR(CONCATENATE(VLOOKUP(A803,GM_Table,12,FALSE)," ",(VLOOKUP(A803,GM_Table,13,FALSE))),"")</f>
        <v/>
      </c>
    </row>
    <row r="804" spans="1:10" ht="15" x14ac:dyDescent="0.2">
      <c r="A804" s="193" t="s">
        <v>2802</v>
      </c>
      <c r="B804" s="193" t="s">
        <v>2802</v>
      </c>
      <c r="C804" s="264">
        <v>1.91</v>
      </c>
      <c r="D804" s="270">
        <v>6.68</v>
      </c>
      <c r="E804" s="270">
        <v>-8.0093999999999994</v>
      </c>
      <c r="F804" s="122" t="b">
        <f>IF(ISBLANK(FarmUnit[[#This Row],[1. Identifiant interne d’exploitation agricole*]]),"",IF(ISERROR(MATCH(FarmUnit[[#This Row],[1. Identifiant interne d’exploitation agricole*]],GroupMember[1. Identifiant interne d’exploitation agricole*],0)),FALSE,TRUE))</f>
        <v>1</v>
      </c>
      <c r="G804" s="4">
        <f t="shared" si="25"/>
        <v>6.68</v>
      </c>
      <c r="H804" s="4">
        <f t="shared" si="26"/>
        <v>-8.0093999999999994</v>
      </c>
      <c r="I804" s="20" t="str">
        <f t="array" ref="I804">IF(ISBLANK(C804),"",IF(C804=MAX(IF(FarmUnit[1. Identifiant interne d’exploitation agricole*]=A804,FarmUnit[3. Superficie de l’unité agricole (ha)*])),"!","-"))</f>
        <v>!</v>
      </c>
      <c r="J804" s="9" t="str">
        <f ca="1">IFERROR(CONCATENATE(VLOOKUP(A804,GM_Table,12,FALSE)," ",(VLOOKUP(A804,GM_Table,13,FALSE))),"")</f>
        <v/>
      </c>
    </row>
    <row r="805" spans="1:10" ht="15" x14ac:dyDescent="0.2">
      <c r="A805" s="193" t="s">
        <v>2805</v>
      </c>
      <c r="B805" s="193" t="s">
        <v>2805</v>
      </c>
      <c r="C805" s="264">
        <v>0.56000000000000005</v>
      </c>
      <c r="D805" s="270">
        <v>6.7205000000000004</v>
      </c>
      <c r="E805" s="270">
        <v>-8.0744000000000007</v>
      </c>
      <c r="F805" s="122" t="b">
        <f>IF(ISBLANK(FarmUnit[[#This Row],[1. Identifiant interne d’exploitation agricole*]]),"",IF(ISERROR(MATCH(FarmUnit[[#This Row],[1. Identifiant interne d’exploitation agricole*]],GroupMember[1. Identifiant interne d’exploitation agricole*],0)),FALSE,TRUE))</f>
        <v>1</v>
      </c>
      <c r="G805" s="4">
        <f t="shared" si="25"/>
        <v>6.7205000000000004</v>
      </c>
      <c r="H805" s="4">
        <f t="shared" si="26"/>
        <v>-8.0744000000000007</v>
      </c>
      <c r="I805" s="20" t="str">
        <f t="array" ref="I805">IF(ISBLANK(C805),"",IF(C805=MAX(IF(FarmUnit[1. Identifiant interne d’exploitation agricole*]=A805,FarmUnit[3. Superficie de l’unité agricole (ha)*])),"!","-"))</f>
        <v>!</v>
      </c>
      <c r="J805" s="9" t="str">
        <f ca="1">IFERROR(CONCATENATE(VLOOKUP(A805,GM_Table,12,FALSE)," ",(VLOOKUP(A805,GM_Table,13,FALSE))),"")</f>
        <v/>
      </c>
    </row>
    <row r="806" spans="1:10" ht="15" x14ac:dyDescent="0.2">
      <c r="A806" s="193" t="s">
        <v>2806</v>
      </c>
      <c r="B806" s="193" t="s">
        <v>2806</v>
      </c>
      <c r="C806" s="264">
        <v>0.92</v>
      </c>
      <c r="D806" s="270">
        <v>6.7279</v>
      </c>
      <c r="E806" s="270">
        <v>-8.0739999999999998</v>
      </c>
      <c r="F806" s="122" t="b">
        <f>IF(ISBLANK(FarmUnit[[#This Row],[1. Identifiant interne d’exploitation agricole*]]),"",IF(ISERROR(MATCH(FarmUnit[[#This Row],[1. Identifiant interne d’exploitation agricole*]],GroupMember[1. Identifiant interne d’exploitation agricole*],0)),FALSE,TRUE))</f>
        <v>1</v>
      </c>
      <c r="G806" s="4">
        <f t="shared" si="25"/>
        <v>6.7279</v>
      </c>
      <c r="H806" s="4">
        <f t="shared" si="26"/>
        <v>-8.0739999999999998</v>
      </c>
      <c r="I806" s="20" t="str">
        <f t="array" ref="I806">IF(ISBLANK(C806),"",IF(C806=MAX(IF(FarmUnit[1. Identifiant interne d’exploitation agricole*]=A806,FarmUnit[3. Superficie de l’unité agricole (ha)*])),"!","-"))</f>
        <v>!</v>
      </c>
      <c r="J806" s="9" t="str">
        <f ca="1">IFERROR(CONCATENATE(VLOOKUP(A806,GM_Table,12,FALSE)," ",(VLOOKUP(A806,GM_Table,13,FALSE))),"")</f>
        <v/>
      </c>
    </row>
    <row r="807" spans="1:10" ht="15" x14ac:dyDescent="0.2">
      <c r="A807" s="193" t="s">
        <v>2807</v>
      </c>
      <c r="B807" s="193" t="s">
        <v>2807</v>
      </c>
      <c r="C807" s="264">
        <v>3.59</v>
      </c>
      <c r="D807" s="270">
        <v>6.7179000000000002</v>
      </c>
      <c r="E807" s="270">
        <v>-8.0653000000000006</v>
      </c>
      <c r="F807" s="122" t="b">
        <f>IF(ISBLANK(FarmUnit[[#This Row],[1. Identifiant interne d’exploitation agricole*]]),"",IF(ISERROR(MATCH(FarmUnit[[#This Row],[1. Identifiant interne d’exploitation agricole*]],GroupMember[1. Identifiant interne d’exploitation agricole*],0)),FALSE,TRUE))</f>
        <v>1</v>
      </c>
      <c r="G807" s="4">
        <f t="shared" si="25"/>
        <v>6.7179000000000002</v>
      </c>
      <c r="H807" s="4">
        <f t="shared" si="26"/>
        <v>-8.0653000000000006</v>
      </c>
      <c r="I807" s="20" t="str">
        <f t="array" ref="I807">IF(ISBLANK(C807),"",IF(C807=MAX(IF(FarmUnit[1. Identifiant interne d’exploitation agricole*]=A807,FarmUnit[3. Superficie de l’unité agricole (ha)*])),"!","-"))</f>
        <v>!</v>
      </c>
      <c r="J807" s="9" t="str">
        <f ca="1">IFERROR(CONCATENATE(VLOOKUP(A807,GM_Table,12,FALSE)," ",(VLOOKUP(A807,GM_Table,13,FALSE))),"")</f>
        <v/>
      </c>
    </row>
    <row r="808" spans="1:10" ht="15" x14ac:dyDescent="0.2">
      <c r="A808" s="193" t="s">
        <v>2808</v>
      </c>
      <c r="B808" s="193" t="s">
        <v>2808</v>
      </c>
      <c r="C808" s="264">
        <v>1.37</v>
      </c>
      <c r="D808" s="270">
        <v>6.7312000000000003</v>
      </c>
      <c r="E808" s="270">
        <v>-8.0776000000000003</v>
      </c>
      <c r="F808" s="122" t="b">
        <f>IF(ISBLANK(FarmUnit[[#This Row],[1. Identifiant interne d’exploitation agricole*]]),"",IF(ISERROR(MATCH(FarmUnit[[#This Row],[1. Identifiant interne d’exploitation agricole*]],GroupMember[1. Identifiant interne d’exploitation agricole*],0)),FALSE,TRUE))</f>
        <v>1</v>
      </c>
      <c r="G808" s="4">
        <f t="shared" si="25"/>
        <v>6.7312000000000003</v>
      </c>
      <c r="H808" s="4">
        <f t="shared" si="26"/>
        <v>-8.0776000000000003</v>
      </c>
      <c r="I808" s="20" t="str">
        <f t="array" ref="I808">IF(ISBLANK(C808),"",IF(C808=MAX(IF(FarmUnit[1. Identifiant interne d’exploitation agricole*]=A808,FarmUnit[3. Superficie de l’unité agricole (ha)*])),"!","-"))</f>
        <v>!</v>
      </c>
      <c r="J808" s="9" t="str">
        <f ca="1">IFERROR(CONCATENATE(VLOOKUP(A808,GM_Table,12,FALSE)," ",(VLOOKUP(A808,GM_Table,13,FALSE))),"")</f>
        <v/>
      </c>
    </row>
    <row r="809" spans="1:10" ht="15" x14ac:dyDescent="0.2">
      <c r="A809" s="193" t="s">
        <v>2809</v>
      </c>
      <c r="B809" s="193" t="s">
        <v>2809</v>
      </c>
      <c r="C809" s="264">
        <v>2.66</v>
      </c>
      <c r="D809" s="270">
        <v>6.7304000000000004</v>
      </c>
      <c r="E809" s="270">
        <v>-8.0784000000000002</v>
      </c>
      <c r="F809" s="122" t="b">
        <f>IF(ISBLANK(FarmUnit[[#This Row],[1. Identifiant interne d’exploitation agricole*]]),"",IF(ISERROR(MATCH(FarmUnit[[#This Row],[1. Identifiant interne d’exploitation agricole*]],GroupMember[1. Identifiant interne d’exploitation agricole*],0)),FALSE,TRUE))</f>
        <v>1</v>
      </c>
      <c r="G809" s="4">
        <f t="shared" si="25"/>
        <v>6.7304000000000004</v>
      </c>
      <c r="H809" s="4">
        <f t="shared" si="26"/>
        <v>-8.0784000000000002</v>
      </c>
      <c r="I809" s="20" t="str">
        <f t="array" ref="I809">IF(ISBLANK(C809),"",IF(C809=MAX(IF(FarmUnit[1. Identifiant interne d’exploitation agricole*]=A809,FarmUnit[3. Superficie de l’unité agricole (ha)*])),"!","-"))</f>
        <v>!</v>
      </c>
      <c r="J809" s="9" t="str">
        <f ca="1">IFERROR(CONCATENATE(VLOOKUP(A809,GM_Table,12,FALSE)," ",(VLOOKUP(A809,GM_Table,13,FALSE))),"")</f>
        <v/>
      </c>
    </row>
    <row r="810" spans="1:10" ht="15" x14ac:dyDescent="0.2">
      <c r="A810" s="193" t="s">
        <v>2810</v>
      </c>
      <c r="B810" s="193" t="s">
        <v>2810</v>
      </c>
      <c r="C810" s="264">
        <v>2.85</v>
      </c>
      <c r="D810" s="270">
        <v>6.7262000000000004</v>
      </c>
      <c r="E810" s="270">
        <v>-8.0732999999999997</v>
      </c>
      <c r="F810" s="122" t="b">
        <f>IF(ISBLANK(FarmUnit[[#This Row],[1. Identifiant interne d’exploitation agricole*]]),"",IF(ISERROR(MATCH(FarmUnit[[#This Row],[1. Identifiant interne d’exploitation agricole*]],GroupMember[1. Identifiant interne d’exploitation agricole*],0)),FALSE,TRUE))</f>
        <v>1</v>
      </c>
      <c r="G810" s="4">
        <f t="shared" si="25"/>
        <v>6.7262000000000004</v>
      </c>
      <c r="H810" s="4">
        <f t="shared" si="26"/>
        <v>-8.0732999999999997</v>
      </c>
      <c r="I810" s="20" t="str">
        <f t="array" ref="I810">IF(ISBLANK(C810),"",IF(C810=MAX(IF(FarmUnit[1. Identifiant interne d’exploitation agricole*]=A810,FarmUnit[3. Superficie de l’unité agricole (ha)*])),"!","-"))</f>
        <v>!</v>
      </c>
      <c r="J810" s="9" t="str">
        <f ca="1">IFERROR(CONCATENATE(VLOOKUP(A810,GM_Table,12,FALSE)," ",(VLOOKUP(A810,GM_Table,13,FALSE))),"")</f>
        <v/>
      </c>
    </row>
    <row r="811" spans="1:10" ht="15" x14ac:dyDescent="0.2">
      <c r="A811" s="193" t="s">
        <v>2811</v>
      </c>
      <c r="B811" s="193" t="s">
        <v>2811</v>
      </c>
      <c r="C811" s="264">
        <v>3.76</v>
      </c>
      <c r="D811" s="270">
        <v>6.7290000000000001</v>
      </c>
      <c r="E811" s="270">
        <v>-8.0704999999999991</v>
      </c>
      <c r="F811" s="122" t="b">
        <f>IF(ISBLANK(FarmUnit[[#This Row],[1. Identifiant interne d’exploitation agricole*]]),"",IF(ISERROR(MATCH(FarmUnit[[#This Row],[1. Identifiant interne d’exploitation agricole*]],GroupMember[1. Identifiant interne d’exploitation agricole*],0)),FALSE,TRUE))</f>
        <v>1</v>
      </c>
      <c r="G811" s="4">
        <f t="shared" si="25"/>
        <v>6.7290000000000001</v>
      </c>
      <c r="H811" s="4">
        <f t="shared" si="26"/>
        <v>-8.0704999999999991</v>
      </c>
      <c r="I811" s="20" t="str">
        <f t="array" ref="I811">IF(ISBLANK(C811),"",IF(C811=MAX(IF(FarmUnit[1. Identifiant interne d’exploitation agricole*]=A811,FarmUnit[3. Superficie de l’unité agricole (ha)*])),"!","-"))</f>
        <v>!</v>
      </c>
      <c r="J811" s="9" t="str">
        <f ca="1">IFERROR(CONCATENATE(VLOOKUP(A811,GM_Table,12,FALSE)," ",(VLOOKUP(A811,GM_Table,13,FALSE))),"")</f>
        <v/>
      </c>
    </row>
    <row r="812" spans="1:10" ht="15" x14ac:dyDescent="0.2">
      <c r="A812" s="193" t="s">
        <v>2813</v>
      </c>
      <c r="B812" s="193" t="s">
        <v>2813</v>
      </c>
      <c r="C812" s="264">
        <v>1.45</v>
      </c>
      <c r="D812" s="270">
        <v>6.7305000000000001</v>
      </c>
      <c r="E812" s="270">
        <v>-8.0709</v>
      </c>
      <c r="F812" s="122" t="b">
        <f>IF(ISBLANK(FarmUnit[[#This Row],[1. Identifiant interne d’exploitation agricole*]]),"",IF(ISERROR(MATCH(FarmUnit[[#This Row],[1. Identifiant interne d’exploitation agricole*]],GroupMember[1. Identifiant interne d’exploitation agricole*],0)),FALSE,TRUE))</f>
        <v>1</v>
      </c>
      <c r="G812" s="4">
        <f t="shared" si="25"/>
        <v>6.7305000000000001</v>
      </c>
      <c r="H812" s="4">
        <f t="shared" si="26"/>
        <v>-8.0709</v>
      </c>
      <c r="I812" s="20" t="str">
        <f t="array" ref="I812">IF(ISBLANK(C812),"",IF(C812=MAX(IF(FarmUnit[1. Identifiant interne d’exploitation agricole*]=A812,FarmUnit[3. Superficie de l’unité agricole (ha)*])),"!","-"))</f>
        <v>!</v>
      </c>
      <c r="J812" s="9" t="str">
        <f ca="1">IFERROR(CONCATENATE(VLOOKUP(A812,GM_Table,12,FALSE)," ",(VLOOKUP(A812,GM_Table,13,FALSE))),"")</f>
        <v/>
      </c>
    </row>
    <row r="813" spans="1:10" ht="15" x14ac:dyDescent="0.2">
      <c r="A813" s="193" t="s">
        <v>2814</v>
      </c>
      <c r="B813" s="193" t="s">
        <v>2814</v>
      </c>
      <c r="C813" s="264">
        <v>0.91</v>
      </c>
      <c r="D813" s="270">
        <v>6.7233999999999998</v>
      </c>
      <c r="E813" s="270">
        <v>-8.0736000000000008</v>
      </c>
      <c r="F813" s="122" t="b">
        <f>IF(ISBLANK(FarmUnit[[#This Row],[1. Identifiant interne d’exploitation agricole*]]),"",IF(ISERROR(MATCH(FarmUnit[[#This Row],[1. Identifiant interne d’exploitation agricole*]],GroupMember[1. Identifiant interne d’exploitation agricole*],0)),FALSE,TRUE))</f>
        <v>1</v>
      </c>
      <c r="G813" s="4">
        <f t="shared" si="25"/>
        <v>6.7233999999999998</v>
      </c>
      <c r="H813" s="4">
        <f t="shared" si="26"/>
        <v>-8.0736000000000008</v>
      </c>
      <c r="I813" s="20" t="str">
        <f t="array" ref="I813">IF(ISBLANK(C813),"",IF(C813=MAX(IF(FarmUnit[1. Identifiant interne d’exploitation agricole*]=A813,FarmUnit[3. Superficie de l’unité agricole (ha)*])),"!","-"))</f>
        <v>!</v>
      </c>
      <c r="J813" s="9" t="str">
        <f ca="1">IFERROR(CONCATENATE(VLOOKUP(A813,GM_Table,12,FALSE)," ",(VLOOKUP(A813,GM_Table,13,FALSE))),"")</f>
        <v/>
      </c>
    </row>
    <row r="814" spans="1:10" ht="15" x14ac:dyDescent="0.2">
      <c r="A814" s="193" t="s">
        <v>2815</v>
      </c>
      <c r="B814" s="193" t="s">
        <v>2815</v>
      </c>
      <c r="C814" s="264">
        <v>2.87</v>
      </c>
      <c r="D814" s="270">
        <v>6.7241999999999997</v>
      </c>
      <c r="E814" s="270">
        <v>-8.0693999999999999</v>
      </c>
      <c r="F814" s="122" t="b">
        <f>IF(ISBLANK(FarmUnit[[#This Row],[1. Identifiant interne d’exploitation agricole*]]),"",IF(ISERROR(MATCH(FarmUnit[[#This Row],[1. Identifiant interne d’exploitation agricole*]],GroupMember[1. Identifiant interne d’exploitation agricole*],0)),FALSE,TRUE))</f>
        <v>1</v>
      </c>
      <c r="G814" s="4">
        <f t="shared" si="25"/>
        <v>6.7241999999999997</v>
      </c>
      <c r="H814" s="4">
        <f t="shared" si="26"/>
        <v>-8.0693999999999999</v>
      </c>
      <c r="I814" s="20" t="str">
        <f t="array" ref="I814">IF(ISBLANK(C814),"",IF(C814=MAX(IF(FarmUnit[1. Identifiant interne d’exploitation agricole*]=A814,FarmUnit[3. Superficie de l’unité agricole (ha)*])),"!","-"))</f>
        <v>!</v>
      </c>
      <c r="J814" s="9" t="str">
        <f ca="1">IFERROR(CONCATENATE(VLOOKUP(A814,GM_Table,12,FALSE)," ",(VLOOKUP(A814,GM_Table,13,FALSE))),"")</f>
        <v/>
      </c>
    </row>
    <row r="815" spans="1:10" ht="15" x14ac:dyDescent="0.2">
      <c r="A815" s="193" t="s">
        <v>2816</v>
      </c>
      <c r="B815" s="193" t="s">
        <v>2816</v>
      </c>
      <c r="C815" s="264">
        <v>0.86</v>
      </c>
      <c r="D815" s="270">
        <v>6.7213000000000003</v>
      </c>
      <c r="E815" s="270">
        <v>-8.0883000000000003</v>
      </c>
      <c r="F815" s="122" t="b">
        <f>IF(ISBLANK(FarmUnit[[#This Row],[1. Identifiant interne d’exploitation agricole*]]),"",IF(ISERROR(MATCH(FarmUnit[[#This Row],[1. Identifiant interne d’exploitation agricole*]],GroupMember[1. Identifiant interne d’exploitation agricole*],0)),FALSE,TRUE))</f>
        <v>1</v>
      </c>
      <c r="G815" s="4">
        <f t="shared" si="25"/>
        <v>6.7213000000000003</v>
      </c>
      <c r="H815" s="4">
        <f t="shared" si="26"/>
        <v>-8.0883000000000003</v>
      </c>
      <c r="I815" s="20" t="str">
        <f t="array" ref="I815">IF(ISBLANK(C815),"",IF(C815=MAX(IF(FarmUnit[1. Identifiant interne d’exploitation agricole*]=A815,FarmUnit[3. Superficie de l’unité agricole (ha)*])),"!","-"))</f>
        <v>!</v>
      </c>
      <c r="J815" s="9" t="str">
        <f ca="1">IFERROR(CONCATENATE(VLOOKUP(A815,GM_Table,12,FALSE)," ",(VLOOKUP(A815,GM_Table,13,FALSE))),"")</f>
        <v/>
      </c>
    </row>
    <row r="816" spans="1:10" ht="15" x14ac:dyDescent="0.2">
      <c r="A816" s="193" t="s">
        <v>2818</v>
      </c>
      <c r="B816" s="193" t="s">
        <v>2818</v>
      </c>
      <c r="C816" s="264">
        <v>2.09</v>
      </c>
      <c r="D816" s="270">
        <v>6.7225999999999999</v>
      </c>
      <c r="E816" s="270">
        <v>-8.0913000000000004</v>
      </c>
      <c r="F816" s="122" t="b">
        <f>IF(ISBLANK(FarmUnit[[#This Row],[1. Identifiant interne d’exploitation agricole*]]),"",IF(ISERROR(MATCH(FarmUnit[[#This Row],[1. Identifiant interne d’exploitation agricole*]],GroupMember[1. Identifiant interne d’exploitation agricole*],0)),FALSE,TRUE))</f>
        <v>1</v>
      </c>
      <c r="G816" s="4">
        <f t="shared" si="25"/>
        <v>6.7225999999999999</v>
      </c>
      <c r="H816" s="4">
        <f t="shared" si="26"/>
        <v>-8.0913000000000004</v>
      </c>
      <c r="I816" s="20" t="str">
        <f t="array" ref="I816">IF(ISBLANK(C816),"",IF(C816=MAX(IF(FarmUnit[1. Identifiant interne d’exploitation agricole*]=A816,FarmUnit[3. Superficie de l’unité agricole (ha)*])),"!","-"))</f>
        <v>!</v>
      </c>
      <c r="J816" s="9" t="str">
        <f ca="1">IFERROR(CONCATENATE(VLOOKUP(A816,GM_Table,12,FALSE)," ",(VLOOKUP(A816,GM_Table,13,FALSE))),"")</f>
        <v/>
      </c>
    </row>
    <row r="817" spans="1:10" ht="15" x14ac:dyDescent="0.2">
      <c r="A817" s="193" t="s">
        <v>2820</v>
      </c>
      <c r="B817" s="193" t="s">
        <v>2820</v>
      </c>
      <c r="C817" s="264">
        <v>1.63</v>
      </c>
      <c r="D817" s="270">
        <v>6.7237</v>
      </c>
      <c r="E817" s="270">
        <v>-8.0882000000000005</v>
      </c>
      <c r="F817" s="122" t="b">
        <f>IF(ISBLANK(FarmUnit[[#This Row],[1. Identifiant interne d’exploitation agricole*]]),"",IF(ISERROR(MATCH(FarmUnit[[#This Row],[1. Identifiant interne d’exploitation agricole*]],GroupMember[1. Identifiant interne d’exploitation agricole*],0)),FALSE,TRUE))</f>
        <v>1</v>
      </c>
      <c r="G817" s="4">
        <f t="shared" si="25"/>
        <v>6.7237</v>
      </c>
      <c r="H817" s="4">
        <f t="shared" si="26"/>
        <v>-8.0882000000000005</v>
      </c>
      <c r="I817" s="20" t="str">
        <f t="array" ref="I817">IF(ISBLANK(C817),"",IF(C817=MAX(IF(FarmUnit[1. Identifiant interne d’exploitation agricole*]=A817,FarmUnit[3. Superficie de l’unité agricole (ha)*])),"!","-"))</f>
        <v>!</v>
      </c>
      <c r="J817" s="9" t="str">
        <f ca="1">IFERROR(CONCATENATE(VLOOKUP(A817,GM_Table,12,FALSE)," ",(VLOOKUP(A817,GM_Table,13,FALSE))),"")</f>
        <v/>
      </c>
    </row>
    <row r="818" spans="1:10" ht="15" x14ac:dyDescent="0.2">
      <c r="A818" s="193" t="s">
        <v>2821</v>
      </c>
      <c r="B818" s="193" t="s">
        <v>2821</v>
      </c>
      <c r="C818" s="264">
        <v>4.76</v>
      </c>
      <c r="D818" s="270">
        <v>6.7229999999999999</v>
      </c>
      <c r="E818" s="270">
        <v>-8.0823</v>
      </c>
      <c r="F818" s="122" t="b">
        <f>IF(ISBLANK(FarmUnit[[#This Row],[1. Identifiant interne d’exploitation agricole*]]),"",IF(ISERROR(MATCH(FarmUnit[[#This Row],[1. Identifiant interne d’exploitation agricole*]],GroupMember[1. Identifiant interne d’exploitation agricole*],0)),FALSE,TRUE))</f>
        <v>1</v>
      </c>
      <c r="G818" s="4">
        <f t="shared" si="25"/>
        <v>6.7229999999999999</v>
      </c>
      <c r="H818" s="4">
        <f t="shared" si="26"/>
        <v>-8.0823</v>
      </c>
      <c r="I818" s="20" t="str">
        <f t="array" ref="I818">IF(ISBLANK(C818),"",IF(C818=MAX(IF(FarmUnit[1. Identifiant interne d’exploitation agricole*]=A818,FarmUnit[3. Superficie de l’unité agricole (ha)*])),"!","-"))</f>
        <v>!</v>
      </c>
      <c r="J818" s="9" t="str">
        <f ca="1">IFERROR(CONCATENATE(VLOOKUP(A818,GM_Table,12,FALSE)," ",(VLOOKUP(A818,GM_Table,13,FALSE))),"")</f>
        <v/>
      </c>
    </row>
    <row r="819" spans="1:10" ht="15" x14ac:dyDescent="0.2">
      <c r="A819" s="193" t="s">
        <v>2822</v>
      </c>
      <c r="B819" s="193" t="s">
        <v>2822</v>
      </c>
      <c r="C819" s="264">
        <v>1.86</v>
      </c>
      <c r="D819" s="270">
        <v>6.7287999999999997</v>
      </c>
      <c r="E819" s="270">
        <v>-8.0730000000000004</v>
      </c>
      <c r="F819" s="122" t="b">
        <f>IF(ISBLANK(FarmUnit[[#This Row],[1. Identifiant interne d’exploitation agricole*]]),"",IF(ISERROR(MATCH(FarmUnit[[#This Row],[1. Identifiant interne d’exploitation agricole*]],GroupMember[1. Identifiant interne d’exploitation agricole*],0)),FALSE,TRUE))</f>
        <v>1</v>
      </c>
      <c r="G819" s="4">
        <f t="shared" ref="G819:G882" si="27">IF(D819=0,"",D819)</f>
        <v>6.7287999999999997</v>
      </c>
      <c r="H819" s="4">
        <f t="shared" ref="H819:H882" si="28">IF(E819=0,"",E819)</f>
        <v>-8.0730000000000004</v>
      </c>
      <c r="I819" s="20" t="str">
        <f t="array" ref="I819">IF(ISBLANK(C819),"",IF(C819=MAX(IF(FarmUnit[1. Identifiant interne d’exploitation agricole*]=A819,FarmUnit[3. Superficie de l’unité agricole (ha)*])),"!","-"))</f>
        <v>!</v>
      </c>
      <c r="J819" s="9" t="str">
        <f ca="1">IFERROR(CONCATENATE(VLOOKUP(A819,GM_Table,12,FALSE)," ",(VLOOKUP(A819,GM_Table,13,FALSE))),"")</f>
        <v/>
      </c>
    </row>
    <row r="820" spans="1:10" ht="15" x14ac:dyDescent="0.2">
      <c r="A820" s="193" t="s">
        <v>2823</v>
      </c>
      <c r="B820" s="193" t="s">
        <v>2823</v>
      </c>
      <c r="C820" s="264">
        <v>4.78</v>
      </c>
      <c r="D820" s="270">
        <v>6.7168000000000001</v>
      </c>
      <c r="E820" s="270">
        <v>-8.0218000000000007</v>
      </c>
      <c r="F820" s="122" t="b">
        <f>IF(ISBLANK(FarmUnit[[#This Row],[1. Identifiant interne d’exploitation agricole*]]),"",IF(ISERROR(MATCH(FarmUnit[[#This Row],[1. Identifiant interne d’exploitation agricole*]],GroupMember[1. Identifiant interne d’exploitation agricole*],0)),FALSE,TRUE))</f>
        <v>1</v>
      </c>
      <c r="G820" s="4">
        <f t="shared" si="27"/>
        <v>6.7168000000000001</v>
      </c>
      <c r="H820" s="4">
        <f t="shared" si="28"/>
        <v>-8.0218000000000007</v>
      </c>
      <c r="I820" s="20" t="str">
        <f t="array" ref="I820">IF(ISBLANK(C820),"",IF(C820=MAX(IF(FarmUnit[1. Identifiant interne d’exploitation agricole*]=A820,FarmUnit[3. Superficie de l’unité agricole (ha)*])),"!","-"))</f>
        <v>!</v>
      </c>
      <c r="J820" s="9" t="str">
        <f ca="1">IFERROR(CONCATENATE(VLOOKUP(A820,GM_Table,12,FALSE)," ",(VLOOKUP(A820,GM_Table,13,FALSE))),"")</f>
        <v/>
      </c>
    </row>
    <row r="821" spans="1:10" ht="15" x14ac:dyDescent="0.2">
      <c r="A821" s="193" t="s">
        <v>2827</v>
      </c>
      <c r="B821" s="193" t="s">
        <v>2827</v>
      </c>
      <c r="C821" s="264">
        <v>4.9800000000000004</v>
      </c>
      <c r="D821" s="270">
        <v>6.7023999999999999</v>
      </c>
      <c r="E821" s="270">
        <v>-8.0328999999999997</v>
      </c>
      <c r="F821" s="122" t="b">
        <f>IF(ISBLANK(FarmUnit[[#This Row],[1. Identifiant interne d’exploitation agricole*]]),"",IF(ISERROR(MATCH(FarmUnit[[#This Row],[1. Identifiant interne d’exploitation agricole*]],GroupMember[1. Identifiant interne d’exploitation agricole*],0)),FALSE,TRUE))</f>
        <v>1</v>
      </c>
      <c r="G821" s="4">
        <f t="shared" si="27"/>
        <v>6.7023999999999999</v>
      </c>
      <c r="H821" s="4">
        <f t="shared" si="28"/>
        <v>-8.0328999999999997</v>
      </c>
      <c r="I821" s="20" t="str">
        <f t="array" ref="I821">IF(ISBLANK(C821),"",IF(C821=MAX(IF(FarmUnit[1. Identifiant interne d’exploitation agricole*]=A821,FarmUnit[3. Superficie de l’unité agricole (ha)*])),"!","-"))</f>
        <v>!</v>
      </c>
      <c r="J821" s="9" t="str">
        <f ca="1">IFERROR(CONCATENATE(VLOOKUP(A821,GM_Table,12,FALSE)," ",(VLOOKUP(A821,GM_Table,13,FALSE))),"")</f>
        <v/>
      </c>
    </row>
    <row r="822" spans="1:10" ht="15" x14ac:dyDescent="0.2">
      <c r="A822" s="193" t="s">
        <v>2828</v>
      </c>
      <c r="B822" s="193" t="s">
        <v>2828</v>
      </c>
      <c r="C822" s="264">
        <v>3.28</v>
      </c>
      <c r="D822" s="270">
        <v>6.7058</v>
      </c>
      <c r="E822" s="270">
        <v>-8.0083000000000002</v>
      </c>
      <c r="F822" s="122" t="b">
        <f>IF(ISBLANK(FarmUnit[[#This Row],[1. Identifiant interne d’exploitation agricole*]]),"",IF(ISERROR(MATCH(FarmUnit[[#This Row],[1. Identifiant interne d’exploitation agricole*]],GroupMember[1. Identifiant interne d’exploitation agricole*],0)),FALSE,TRUE))</f>
        <v>1</v>
      </c>
      <c r="G822" s="4">
        <f t="shared" si="27"/>
        <v>6.7058</v>
      </c>
      <c r="H822" s="4">
        <f t="shared" si="28"/>
        <v>-8.0083000000000002</v>
      </c>
      <c r="I822" s="20" t="str">
        <f t="array" ref="I822">IF(ISBLANK(C822),"",IF(C822=MAX(IF(FarmUnit[1. Identifiant interne d’exploitation agricole*]=A822,FarmUnit[3. Superficie de l’unité agricole (ha)*])),"!","-"))</f>
        <v>!</v>
      </c>
      <c r="J822" s="9" t="str">
        <f ca="1">IFERROR(CONCATENATE(VLOOKUP(A822,GM_Table,12,FALSE)," ",(VLOOKUP(A822,GM_Table,13,FALSE))),"")</f>
        <v/>
      </c>
    </row>
    <row r="823" spans="1:10" ht="15" x14ac:dyDescent="0.2">
      <c r="A823" s="193" t="s">
        <v>2829</v>
      </c>
      <c r="B823" s="193" t="s">
        <v>2829</v>
      </c>
      <c r="C823" s="264">
        <v>1.97</v>
      </c>
      <c r="D823" s="270">
        <v>6.7119</v>
      </c>
      <c r="E823" s="270">
        <v>-8.0328999999999997</v>
      </c>
      <c r="F823" s="122" t="b">
        <f>IF(ISBLANK(FarmUnit[[#This Row],[1. Identifiant interne d’exploitation agricole*]]),"",IF(ISERROR(MATCH(FarmUnit[[#This Row],[1. Identifiant interne d’exploitation agricole*]],GroupMember[1. Identifiant interne d’exploitation agricole*],0)),FALSE,TRUE))</f>
        <v>1</v>
      </c>
      <c r="G823" s="4">
        <f t="shared" si="27"/>
        <v>6.7119</v>
      </c>
      <c r="H823" s="4">
        <f t="shared" si="28"/>
        <v>-8.0328999999999997</v>
      </c>
      <c r="I823" s="20" t="str">
        <f t="array" ref="I823">IF(ISBLANK(C823),"",IF(C823=MAX(IF(FarmUnit[1. Identifiant interne d’exploitation agricole*]=A823,FarmUnit[3. Superficie de l’unité agricole (ha)*])),"!","-"))</f>
        <v>!</v>
      </c>
      <c r="J823" s="9" t="str">
        <f ca="1">IFERROR(CONCATENATE(VLOOKUP(A823,GM_Table,12,FALSE)," ",(VLOOKUP(A823,GM_Table,13,FALSE))),"")</f>
        <v/>
      </c>
    </row>
    <row r="824" spans="1:10" ht="15" x14ac:dyDescent="0.2">
      <c r="A824" s="193" t="s">
        <v>2830</v>
      </c>
      <c r="B824" s="193" t="s">
        <v>2830</v>
      </c>
      <c r="C824" s="264">
        <v>12.78</v>
      </c>
      <c r="D824" s="270">
        <v>6.7135999999999996</v>
      </c>
      <c r="E824" s="270">
        <v>-8.0717999999999996</v>
      </c>
      <c r="F824" s="122" t="b">
        <f>IF(ISBLANK(FarmUnit[[#This Row],[1. Identifiant interne d’exploitation agricole*]]),"",IF(ISERROR(MATCH(FarmUnit[[#This Row],[1. Identifiant interne d’exploitation agricole*]],GroupMember[1. Identifiant interne d’exploitation agricole*],0)),FALSE,TRUE))</f>
        <v>1</v>
      </c>
      <c r="G824" s="4">
        <f t="shared" si="27"/>
        <v>6.7135999999999996</v>
      </c>
      <c r="H824" s="4">
        <f t="shared" si="28"/>
        <v>-8.0717999999999996</v>
      </c>
      <c r="I824" s="20" t="str">
        <f t="array" ref="I824">IF(ISBLANK(C824),"",IF(C824=MAX(IF(FarmUnit[1. Identifiant interne d’exploitation agricole*]=A824,FarmUnit[3. Superficie de l’unité agricole (ha)*])),"!","-"))</f>
        <v>!</v>
      </c>
      <c r="J824" s="9" t="str">
        <f ca="1">IFERROR(CONCATENATE(VLOOKUP(A824,GM_Table,12,FALSE)," ",(VLOOKUP(A824,GM_Table,13,FALSE))),"")</f>
        <v/>
      </c>
    </row>
    <row r="825" spans="1:10" ht="15" x14ac:dyDescent="0.2">
      <c r="A825" s="193" t="s">
        <v>2832</v>
      </c>
      <c r="B825" s="193" t="s">
        <v>2832</v>
      </c>
      <c r="C825" s="264">
        <v>10.36</v>
      </c>
      <c r="D825" s="270">
        <v>6.7026000000000003</v>
      </c>
      <c r="E825" s="270">
        <v>-8.0791000000000004</v>
      </c>
      <c r="F825" s="122" t="b">
        <f>IF(ISBLANK(FarmUnit[[#This Row],[1. Identifiant interne d’exploitation agricole*]]),"",IF(ISERROR(MATCH(FarmUnit[[#This Row],[1. Identifiant interne d’exploitation agricole*]],GroupMember[1. Identifiant interne d’exploitation agricole*],0)),FALSE,TRUE))</f>
        <v>1</v>
      </c>
      <c r="G825" s="4">
        <f t="shared" si="27"/>
        <v>6.7026000000000003</v>
      </c>
      <c r="H825" s="4">
        <f t="shared" si="28"/>
        <v>-8.0791000000000004</v>
      </c>
      <c r="I825" s="20" t="str">
        <f t="array" ref="I825">IF(ISBLANK(C825),"",IF(C825=MAX(IF(FarmUnit[1. Identifiant interne d’exploitation agricole*]=A825,FarmUnit[3. Superficie de l’unité agricole (ha)*])),"!","-"))</f>
        <v>!</v>
      </c>
      <c r="J825" s="9" t="str">
        <f ca="1">IFERROR(CONCATENATE(VLOOKUP(A825,GM_Table,12,FALSE)," ",(VLOOKUP(A825,GM_Table,13,FALSE))),"")</f>
        <v/>
      </c>
    </row>
    <row r="826" spans="1:10" ht="15" x14ac:dyDescent="0.2">
      <c r="A826" s="193" t="s">
        <v>2834</v>
      </c>
      <c r="B826" s="193" t="s">
        <v>2834</v>
      </c>
      <c r="C826" s="264">
        <v>2.98</v>
      </c>
      <c r="D826" s="270">
        <v>6.7058</v>
      </c>
      <c r="E826" s="270">
        <v>-8.0775000000000006</v>
      </c>
      <c r="F826" s="122" t="b">
        <f>IF(ISBLANK(FarmUnit[[#This Row],[1. Identifiant interne d’exploitation agricole*]]),"",IF(ISERROR(MATCH(FarmUnit[[#This Row],[1. Identifiant interne d’exploitation agricole*]],GroupMember[1. Identifiant interne d’exploitation agricole*],0)),FALSE,TRUE))</f>
        <v>1</v>
      </c>
      <c r="G826" s="4">
        <f t="shared" si="27"/>
        <v>6.7058</v>
      </c>
      <c r="H826" s="4">
        <f t="shared" si="28"/>
        <v>-8.0775000000000006</v>
      </c>
      <c r="I826" s="20" t="str">
        <f t="array" ref="I826">IF(ISBLANK(C826),"",IF(C826=MAX(IF(FarmUnit[1. Identifiant interne d’exploitation agricole*]=A826,FarmUnit[3. Superficie de l’unité agricole (ha)*])),"!","-"))</f>
        <v>!</v>
      </c>
      <c r="J826" s="9" t="str">
        <f ca="1">IFERROR(CONCATENATE(VLOOKUP(A826,GM_Table,12,FALSE)," ",(VLOOKUP(A826,GM_Table,13,FALSE))),"")</f>
        <v/>
      </c>
    </row>
    <row r="827" spans="1:10" ht="15" x14ac:dyDescent="0.2">
      <c r="A827" s="193" t="s">
        <v>2836</v>
      </c>
      <c r="B827" s="193" t="s">
        <v>2836</v>
      </c>
      <c r="C827" s="175">
        <v>5</v>
      </c>
      <c r="D827" s="271">
        <v>6.6570070000000001</v>
      </c>
      <c r="E827" s="272">
        <v>-8.1129949999999997</v>
      </c>
      <c r="F827" s="122" t="b">
        <f>IF(ISBLANK(FarmUnit[[#This Row],[1. Identifiant interne d’exploitation agricole*]]),"",IF(ISERROR(MATCH(FarmUnit[[#This Row],[1. Identifiant interne d’exploitation agricole*]],GroupMember[1. Identifiant interne d’exploitation agricole*],0)),FALSE,TRUE))</f>
        <v>1</v>
      </c>
      <c r="G827" s="4">
        <f t="shared" si="27"/>
        <v>6.6570070000000001</v>
      </c>
      <c r="H827" s="4">
        <f t="shared" si="28"/>
        <v>-8.1129949999999997</v>
      </c>
      <c r="I827" s="20" t="str">
        <f t="array" ref="I827">IF(ISBLANK(C827),"",IF(C827=MAX(IF(FarmUnit[1. Identifiant interne d’exploitation agricole*]=A827,FarmUnit[3. Superficie de l’unité agricole (ha)*])),"!","-"))</f>
        <v>!</v>
      </c>
      <c r="J827" s="9" t="str">
        <f ca="1">IFERROR(CONCATENATE(VLOOKUP(A827,GM_Table,12,FALSE)," ",(VLOOKUP(A827,GM_Table,13,FALSE))),"")</f>
        <v/>
      </c>
    </row>
    <row r="828" spans="1:10" ht="15" x14ac:dyDescent="0.2">
      <c r="A828" s="193" t="s">
        <v>2841</v>
      </c>
      <c r="B828" s="193" t="s">
        <v>2841</v>
      </c>
      <c r="C828" s="175">
        <v>1.86</v>
      </c>
      <c r="D828" s="271">
        <v>6.6567920000000003</v>
      </c>
      <c r="E828" s="272">
        <v>-8.1135000000000002</v>
      </c>
      <c r="F828" s="122" t="b">
        <f>IF(ISBLANK(FarmUnit[[#This Row],[1. Identifiant interne d’exploitation agricole*]]),"",IF(ISERROR(MATCH(FarmUnit[[#This Row],[1. Identifiant interne d’exploitation agricole*]],GroupMember[1. Identifiant interne d’exploitation agricole*],0)),FALSE,TRUE))</f>
        <v>1</v>
      </c>
      <c r="G828" s="4">
        <f t="shared" si="27"/>
        <v>6.6567920000000003</v>
      </c>
      <c r="H828" s="4">
        <f t="shared" si="28"/>
        <v>-8.1135000000000002</v>
      </c>
      <c r="I828" s="20" t="str">
        <f t="array" ref="I828">IF(ISBLANK(C828),"",IF(C828=MAX(IF(FarmUnit[1. Identifiant interne d’exploitation agricole*]=A828,FarmUnit[3. Superficie de l’unité agricole (ha)*])),"!","-"))</f>
        <v>!</v>
      </c>
      <c r="J828" s="9" t="str">
        <f ca="1">IFERROR(CONCATENATE(VLOOKUP(A828,GM_Table,12,FALSE)," ",(VLOOKUP(A828,GM_Table,13,FALSE))),"")</f>
        <v/>
      </c>
    </row>
    <row r="829" spans="1:10" ht="15" x14ac:dyDescent="0.2">
      <c r="A829" s="193" t="s">
        <v>2845</v>
      </c>
      <c r="B829" s="193" t="s">
        <v>2845</v>
      </c>
      <c r="C829" s="175">
        <v>1.5103</v>
      </c>
      <c r="D829" s="271">
        <v>6.6822470000000003</v>
      </c>
      <c r="E829" s="272">
        <v>-8.1146270000000005</v>
      </c>
      <c r="F829" s="122" t="b">
        <f>IF(ISBLANK(FarmUnit[[#This Row],[1. Identifiant interne d’exploitation agricole*]]),"",IF(ISERROR(MATCH(FarmUnit[[#This Row],[1. Identifiant interne d’exploitation agricole*]],GroupMember[1. Identifiant interne d’exploitation agricole*],0)),FALSE,TRUE))</f>
        <v>1</v>
      </c>
      <c r="G829" s="4">
        <f t="shared" si="27"/>
        <v>6.6822470000000003</v>
      </c>
      <c r="H829" s="4">
        <f t="shared" si="28"/>
        <v>-8.1146270000000005</v>
      </c>
      <c r="I829" s="20" t="str">
        <f t="array" ref="I829">IF(ISBLANK(C829),"",IF(C829=MAX(IF(FarmUnit[1. Identifiant interne d’exploitation agricole*]=A829,FarmUnit[3. Superficie de l’unité agricole (ha)*])),"!","-"))</f>
        <v>!</v>
      </c>
      <c r="J829" s="9" t="str">
        <f ca="1">IFERROR(CONCATENATE(VLOOKUP(A829,GM_Table,12,FALSE)," ",(VLOOKUP(A829,GM_Table,13,FALSE))),"")</f>
        <v/>
      </c>
    </row>
    <row r="830" spans="1:10" ht="15" x14ac:dyDescent="0.2">
      <c r="A830" s="193" t="s">
        <v>2849</v>
      </c>
      <c r="B830" s="193" t="s">
        <v>2849</v>
      </c>
      <c r="C830" s="175">
        <v>1.5047999999999999</v>
      </c>
      <c r="D830" s="271">
        <v>6.6822150000000002</v>
      </c>
      <c r="E830" s="272">
        <v>-8.1181450000000002</v>
      </c>
      <c r="F830" s="122" t="b">
        <f>IF(ISBLANK(FarmUnit[[#This Row],[1. Identifiant interne d’exploitation agricole*]]),"",IF(ISERROR(MATCH(FarmUnit[[#This Row],[1. Identifiant interne d’exploitation agricole*]],GroupMember[1. Identifiant interne d’exploitation agricole*],0)),FALSE,TRUE))</f>
        <v>1</v>
      </c>
      <c r="G830" s="4">
        <f t="shared" si="27"/>
        <v>6.6822150000000002</v>
      </c>
      <c r="H830" s="4">
        <f t="shared" si="28"/>
        <v>-8.1181450000000002</v>
      </c>
      <c r="I830" s="20" t="str">
        <f t="array" ref="I830">IF(ISBLANK(C830),"",IF(C830=MAX(IF(FarmUnit[1. Identifiant interne d’exploitation agricole*]=A830,FarmUnit[3. Superficie de l’unité agricole (ha)*])),"!","-"))</f>
        <v>!</v>
      </c>
      <c r="J830" s="9" t="str">
        <f ca="1">IFERROR(CONCATENATE(VLOOKUP(A830,GM_Table,12,FALSE)," ",(VLOOKUP(A830,GM_Table,13,FALSE))),"")</f>
        <v/>
      </c>
    </row>
    <row r="831" spans="1:10" ht="15" x14ac:dyDescent="0.2">
      <c r="A831" s="193" t="s">
        <v>2852</v>
      </c>
      <c r="B831" s="193" t="s">
        <v>2852</v>
      </c>
      <c r="C831" s="175">
        <v>1.0746</v>
      </c>
      <c r="D831" s="271">
        <v>6.6820919999999999</v>
      </c>
      <c r="E831" s="272">
        <v>-8.1178919999999994</v>
      </c>
      <c r="F831" s="122" t="b">
        <f>IF(ISBLANK(FarmUnit[[#This Row],[1. Identifiant interne d’exploitation agricole*]]),"",IF(ISERROR(MATCH(FarmUnit[[#This Row],[1. Identifiant interne d’exploitation agricole*]],GroupMember[1. Identifiant interne d’exploitation agricole*],0)),FALSE,TRUE))</f>
        <v>1</v>
      </c>
      <c r="G831" s="4">
        <f t="shared" si="27"/>
        <v>6.6820919999999999</v>
      </c>
      <c r="H831" s="4">
        <f t="shared" si="28"/>
        <v>-8.1178919999999994</v>
      </c>
      <c r="I831" s="20" t="str">
        <f t="array" ref="I831">IF(ISBLANK(C831),"",IF(C831=MAX(IF(FarmUnit[1. Identifiant interne d’exploitation agricole*]=A831,FarmUnit[3. Superficie de l’unité agricole (ha)*])),"!","-"))</f>
        <v>!</v>
      </c>
      <c r="J831" s="9" t="str">
        <f ca="1">IFERROR(CONCATENATE(VLOOKUP(A831,GM_Table,12,FALSE)," ",(VLOOKUP(A831,GM_Table,13,FALSE))),"")</f>
        <v/>
      </c>
    </row>
    <row r="832" spans="1:10" ht="15" x14ac:dyDescent="0.2">
      <c r="A832" s="193" t="s">
        <v>2854</v>
      </c>
      <c r="B832" s="193" t="s">
        <v>2854</v>
      </c>
      <c r="C832" s="175">
        <v>1.1218999999999999</v>
      </c>
      <c r="D832" s="271">
        <v>6.6893919999999998</v>
      </c>
      <c r="E832" s="272">
        <v>-8.1222200000000004</v>
      </c>
      <c r="F832" s="122" t="b">
        <f>IF(ISBLANK(FarmUnit[[#This Row],[1. Identifiant interne d’exploitation agricole*]]),"",IF(ISERROR(MATCH(FarmUnit[[#This Row],[1. Identifiant interne d’exploitation agricole*]],GroupMember[1. Identifiant interne d’exploitation agricole*],0)),FALSE,TRUE))</f>
        <v>1</v>
      </c>
      <c r="G832" s="4">
        <f t="shared" si="27"/>
        <v>6.6893919999999998</v>
      </c>
      <c r="H832" s="4">
        <f t="shared" si="28"/>
        <v>-8.1222200000000004</v>
      </c>
      <c r="I832" s="20" t="str">
        <f t="array" ref="I832">IF(ISBLANK(C832),"",IF(C832=MAX(IF(FarmUnit[1. Identifiant interne d’exploitation agricole*]=A832,FarmUnit[3. Superficie de l’unité agricole (ha)*])),"!","-"))</f>
        <v>!</v>
      </c>
      <c r="J832" s="9" t="str">
        <f ca="1">IFERROR(CONCATENATE(VLOOKUP(A832,GM_Table,12,FALSE)," ",(VLOOKUP(A832,GM_Table,13,FALSE))),"")</f>
        <v/>
      </c>
    </row>
    <row r="833" spans="1:10" ht="15" x14ac:dyDescent="0.2">
      <c r="A833" s="193" t="s">
        <v>2858</v>
      </c>
      <c r="B833" s="193" t="s">
        <v>2858</v>
      </c>
      <c r="C833" s="175">
        <v>0.80649999999999999</v>
      </c>
      <c r="D833" s="271">
        <v>6.6884949999999996</v>
      </c>
      <c r="E833" s="272">
        <v>-8.1213630000000006</v>
      </c>
      <c r="F833" s="122" t="b">
        <f>IF(ISBLANK(FarmUnit[[#This Row],[1. Identifiant interne d’exploitation agricole*]]),"",IF(ISERROR(MATCH(FarmUnit[[#This Row],[1. Identifiant interne d’exploitation agricole*]],GroupMember[1. Identifiant interne d’exploitation agricole*],0)),FALSE,TRUE))</f>
        <v>1</v>
      </c>
      <c r="G833" s="4">
        <f t="shared" si="27"/>
        <v>6.6884949999999996</v>
      </c>
      <c r="H833" s="4">
        <f t="shared" si="28"/>
        <v>-8.1213630000000006</v>
      </c>
      <c r="I833" s="20" t="str">
        <f t="array" ref="I833">IF(ISBLANK(C833),"",IF(C833=MAX(IF(FarmUnit[1. Identifiant interne d’exploitation agricole*]=A833,FarmUnit[3. Superficie de l’unité agricole (ha)*])),"!","-"))</f>
        <v>!</v>
      </c>
      <c r="J833" s="9" t="str">
        <f ca="1">IFERROR(CONCATENATE(VLOOKUP(A833,GM_Table,12,FALSE)," ",(VLOOKUP(A833,GM_Table,13,FALSE))),"")</f>
        <v/>
      </c>
    </row>
    <row r="834" spans="1:10" ht="15" x14ac:dyDescent="0.2">
      <c r="A834" s="193" t="s">
        <v>2862</v>
      </c>
      <c r="B834" s="193" t="s">
        <v>2862</v>
      </c>
      <c r="C834" s="175">
        <v>2.9636</v>
      </c>
      <c r="D834" s="271">
        <v>6.6910780000000001</v>
      </c>
      <c r="E834" s="272">
        <v>-8.1111850000000008</v>
      </c>
      <c r="F834" s="122" t="b">
        <f>IF(ISBLANK(FarmUnit[[#This Row],[1. Identifiant interne d’exploitation agricole*]]),"",IF(ISERROR(MATCH(FarmUnit[[#This Row],[1. Identifiant interne d’exploitation agricole*]],GroupMember[1. Identifiant interne d’exploitation agricole*],0)),FALSE,TRUE))</f>
        <v>1</v>
      </c>
      <c r="G834" s="4">
        <f t="shared" si="27"/>
        <v>6.6910780000000001</v>
      </c>
      <c r="H834" s="4">
        <f t="shared" si="28"/>
        <v>-8.1111850000000008</v>
      </c>
      <c r="I834" s="20" t="str">
        <f t="array" ref="I834">IF(ISBLANK(C834),"",IF(C834=MAX(IF(FarmUnit[1. Identifiant interne d’exploitation agricole*]=A834,FarmUnit[3. Superficie de l’unité agricole (ha)*])),"!","-"))</f>
        <v>!</v>
      </c>
      <c r="J834" s="9" t="str">
        <f ca="1">IFERROR(CONCATENATE(VLOOKUP(A834,GM_Table,12,FALSE)," ",(VLOOKUP(A834,GM_Table,13,FALSE))),"")</f>
        <v/>
      </c>
    </row>
    <row r="835" spans="1:10" ht="15" x14ac:dyDescent="0.2">
      <c r="A835" s="193" t="s">
        <v>2865</v>
      </c>
      <c r="B835" s="193" t="s">
        <v>2865</v>
      </c>
      <c r="C835" s="175">
        <v>1.96</v>
      </c>
      <c r="D835" s="271">
        <v>6.6147130000000001</v>
      </c>
      <c r="E835" s="272">
        <v>-8.131183</v>
      </c>
      <c r="F835" s="122" t="b">
        <f>IF(ISBLANK(FarmUnit[[#This Row],[1. Identifiant interne d’exploitation agricole*]]),"",IF(ISERROR(MATCH(FarmUnit[[#This Row],[1. Identifiant interne d’exploitation agricole*]],GroupMember[1. Identifiant interne d’exploitation agricole*],0)),FALSE,TRUE))</f>
        <v>1</v>
      </c>
      <c r="G835" s="4">
        <f t="shared" si="27"/>
        <v>6.6147130000000001</v>
      </c>
      <c r="H835" s="4">
        <f t="shared" si="28"/>
        <v>-8.131183</v>
      </c>
      <c r="I835" s="20" t="str">
        <f t="array" ref="I835">IF(ISBLANK(C835),"",IF(C835=MAX(IF(FarmUnit[1. Identifiant interne d’exploitation agricole*]=A835,FarmUnit[3. Superficie de l’unité agricole (ha)*])),"!","-"))</f>
        <v>!</v>
      </c>
      <c r="J835" s="9" t="str">
        <f ca="1">IFERROR(CONCATENATE(VLOOKUP(A835,GM_Table,12,FALSE)," ",(VLOOKUP(A835,GM_Table,13,FALSE))),"")</f>
        <v/>
      </c>
    </row>
    <row r="836" spans="1:10" ht="15" x14ac:dyDescent="0.2">
      <c r="A836" s="193" t="s">
        <v>2868</v>
      </c>
      <c r="B836" s="193" t="s">
        <v>2868</v>
      </c>
      <c r="C836" s="175">
        <v>2.8355999999999999</v>
      </c>
      <c r="D836" s="271">
        <v>6.574535</v>
      </c>
      <c r="E836" s="272">
        <v>-8.1166879999999999</v>
      </c>
      <c r="F836" s="122" t="b">
        <f>IF(ISBLANK(FarmUnit[[#This Row],[1. Identifiant interne d’exploitation agricole*]]),"",IF(ISERROR(MATCH(FarmUnit[[#This Row],[1. Identifiant interne d’exploitation agricole*]],GroupMember[1. Identifiant interne d’exploitation agricole*],0)),FALSE,TRUE))</f>
        <v>1</v>
      </c>
      <c r="G836" s="4">
        <f t="shared" si="27"/>
        <v>6.574535</v>
      </c>
      <c r="H836" s="4">
        <f t="shared" si="28"/>
        <v>-8.1166879999999999</v>
      </c>
      <c r="I836" s="20" t="str">
        <f t="array" ref="I836">IF(ISBLANK(C836),"",IF(C836=MAX(IF(FarmUnit[1. Identifiant interne d’exploitation agricole*]=A836,FarmUnit[3. Superficie de l’unité agricole (ha)*])),"!","-"))</f>
        <v>!</v>
      </c>
      <c r="J836" s="9" t="str">
        <f ca="1">IFERROR(CONCATENATE(VLOOKUP(A836,GM_Table,12,FALSE)," ",(VLOOKUP(A836,GM_Table,13,FALSE))),"")</f>
        <v/>
      </c>
    </row>
    <row r="837" spans="1:10" ht="15" x14ac:dyDescent="0.2">
      <c r="A837" s="193" t="s">
        <v>2869</v>
      </c>
      <c r="B837" s="193" t="s">
        <v>2869</v>
      </c>
      <c r="C837" s="175">
        <v>2.8420999999999998</v>
      </c>
      <c r="D837" s="271">
        <v>6.5600199999999997</v>
      </c>
      <c r="E837" s="272">
        <v>-8.1316349999999993</v>
      </c>
      <c r="F837" s="122" t="b">
        <f>IF(ISBLANK(FarmUnit[[#This Row],[1. Identifiant interne d’exploitation agricole*]]),"",IF(ISERROR(MATCH(FarmUnit[[#This Row],[1. Identifiant interne d’exploitation agricole*]],GroupMember[1. Identifiant interne d’exploitation agricole*],0)),FALSE,TRUE))</f>
        <v>1</v>
      </c>
      <c r="G837" s="4">
        <f t="shared" si="27"/>
        <v>6.5600199999999997</v>
      </c>
      <c r="H837" s="4">
        <f t="shared" si="28"/>
        <v>-8.1316349999999993</v>
      </c>
      <c r="I837" s="20" t="str">
        <f t="array" ref="I837">IF(ISBLANK(C837),"",IF(C837=MAX(IF(FarmUnit[1. Identifiant interne d’exploitation agricole*]=A837,FarmUnit[3. Superficie de l’unité agricole (ha)*])),"!","-"))</f>
        <v>!</v>
      </c>
      <c r="J837" s="9" t="str">
        <f ca="1">IFERROR(CONCATENATE(VLOOKUP(A837,GM_Table,12,FALSE)," ",(VLOOKUP(A837,GM_Table,13,FALSE))),"")</f>
        <v/>
      </c>
    </row>
    <row r="838" spans="1:10" ht="15" x14ac:dyDescent="0.2">
      <c r="A838" s="193" t="s">
        <v>2873</v>
      </c>
      <c r="B838" s="193" t="s">
        <v>2873</v>
      </c>
      <c r="C838" s="175">
        <v>1.4096</v>
      </c>
      <c r="D838" s="271">
        <v>6.5743299999999998</v>
      </c>
      <c r="E838" s="272">
        <v>-8.096857</v>
      </c>
      <c r="F838" s="122" t="b">
        <f>IF(ISBLANK(FarmUnit[[#This Row],[1. Identifiant interne d’exploitation agricole*]]),"",IF(ISERROR(MATCH(FarmUnit[[#This Row],[1. Identifiant interne d’exploitation agricole*]],GroupMember[1. Identifiant interne d’exploitation agricole*],0)),FALSE,TRUE))</f>
        <v>1</v>
      </c>
      <c r="G838" s="4">
        <f t="shared" si="27"/>
        <v>6.5743299999999998</v>
      </c>
      <c r="H838" s="4">
        <f t="shared" si="28"/>
        <v>-8.096857</v>
      </c>
      <c r="I838" s="20" t="str">
        <f t="array" ref="I838">IF(ISBLANK(C838),"",IF(C838=MAX(IF(FarmUnit[1. Identifiant interne d’exploitation agricole*]=A838,FarmUnit[3. Superficie de l’unité agricole (ha)*])),"!","-"))</f>
        <v>!</v>
      </c>
      <c r="J838" s="9" t="str">
        <f ca="1">IFERROR(CONCATENATE(VLOOKUP(A838,GM_Table,12,FALSE)," ",(VLOOKUP(A838,GM_Table,13,FALSE))),"")</f>
        <v/>
      </c>
    </row>
    <row r="839" spans="1:10" ht="15" x14ac:dyDescent="0.2">
      <c r="A839" s="193" t="s">
        <v>2876</v>
      </c>
      <c r="B839" s="193" t="s">
        <v>2876</v>
      </c>
      <c r="C839" s="175">
        <v>2.4041999999999999</v>
      </c>
      <c r="D839" s="271">
        <v>6.5732720000000002</v>
      </c>
      <c r="E839" s="272">
        <v>-8.0970580000000005</v>
      </c>
      <c r="F839" s="122" t="b">
        <f>IF(ISBLANK(FarmUnit[[#This Row],[1. Identifiant interne d’exploitation agricole*]]),"",IF(ISERROR(MATCH(FarmUnit[[#This Row],[1. Identifiant interne d’exploitation agricole*]],GroupMember[1. Identifiant interne d’exploitation agricole*],0)),FALSE,TRUE))</f>
        <v>1</v>
      </c>
      <c r="G839" s="4">
        <f t="shared" si="27"/>
        <v>6.5732720000000002</v>
      </c>
      <c r="H839" s="4">
        <f t="shared" si="28"/>
        <v>-8.0970580000000005</v>
      </c>
      <c r="I839" s="20" t="str">
        <f t="array" ref="I839">IF(ISBLANK(C839),"",IF(C839=MAX(IF(FarmUnit[1. Identifiant interne d’exploitation agricole*]=A839,FarmUnit[3. Superficie de l’unité agricole (ha)*])),"!","-"))</f>
        <v>!</v>
      </c>
      <c r="J839" s="9" t="str">
        <f ca="1">IFERROR(CONCATENATE(VLOOKUP(A839,GM_Table,12,FALSE)," ",(VLOOKUP(A839,GM_Table,13,FALSE))),"")</f>
        <v/>
      </c>
    </row>
    <row r="840" spans="1:10" ht="15" x14ac:dyDescent="0.2">
      <c r="A840" s="193" t="s">
        <v>2880</v>
      </c>
      <c r="B840" s="193" t="s">
        <v>2880</v>
      </c>
      <c r="C840" s="175">
        <v>7.5579000000000001</v>
      </c>
      <c r="D840" s="271">
        <v>6.7036829999999998</v>
      </c>
      <c r="E840" s="272">
        <v>-8.0934170000000005</v>
      </c>
      <c r="F840" s="122" t="b">
        <f>IF(ISBLANK(FarmUnit[[#This Row],[1. Identifiant interne d’exploitation agricole*]]),"",IF(ISERROR(MATCH(FarmUnit[[#This Row],[1. Identifiant interne d’exploitation agricole*]],GroupMember[1. Identifiant interne d’exploitation agricole*],0)),FALSE,TRUE))</f>
        <v>1</v>
      </c>
      <c r="G840" s="4">
        <f t="shared" si="27"/>
        <v>6.7036829999999998</v>
      </c>
      <c r="H840" s="4">
        <f t="shared" si="28"/>
        <v>-8.0934170000000005</v>
      </c>
      <c r="I840" s="20" t="str">
        <f t="array" ref="I840">IF(ISBLANK(C840),"",IF(C840=MAX(IF(FarmUnit[1. Identifiant interne d’exploitation agricole*]=A840,FarmUnit[3. Superficie de l’unité agricole (ha)*])),"!","-"))</f>
        <v>!</v>
      </c>
      <c r="J840" s="9" t="str">
        <f ca="1">IFERROR(CONCATENATE(VLOOKUP(A840,GM_Table,12,FALSE)," ",(VLOOKUP(A840,GM_Table,13,FALSE))),"")</f>
        <v/>
      </c>
    </row>
    <row r="841" spans="1:10" ht="15" x14ac:dyDescent="0.2">
      <c r="A841" s="193" t="s">
        <v>2885</v>
      </c>
      <c r="B841" s="193" t="s">
        <v>2885</v>
      </c>
      <c r="C841" s="175">
        <v>3.1768999999999998</v>
      </c>
      <c r="D841" s="271">
        <v>6.7026570000000003</v>
      </c>
      <c r="E841" s="272">
        <v>-8.0910430000000009</v>
      </c>
      <c r="F841" s="122" t="b">
        <f>IF(ISBLANK(FarmUnit[[#This Row],[1. Identifiant interne d’exploitation agricole*]]),"",IF(ISERROR(MATCH(FarmUnit[[#This Row],[1. Identifiant interne d’exploitation agricole*]],GroupMember[1. Identifiant interne d’exploitation agricole*],0)),FALSE,TRUE))</f>
        <v>1</v>
      </c>
      <c r="G841" s="4">
        <f t="shared" si="27"/>
        <v>6.7026570000000003</v>
      </c>
      <c r="H841" s="4">
        <f t="shared" si="28"/>
        <v>-8.0910430000000009</v>
      </c>
      <c r="I841" s="20" t="str">
        <f t="array" ref="I841">IF(ISBLANK(C841),"",IF(C841=MAX(IF(FarmUnit[1. Identifiant interne d’exploitation agricole*]=A841,FarmUnit[3. Superficie de l’unité agricole (ha)*])),"!","-"))</f>
        <v>!</v>
      </c>
      <c r="J841" s="9" t="str">
        <f ca="1">IFERROR(CONCATENATE(VLOOKUP(A841,GM_Table,12,FALSE)," ",(VLOOKUP(A841,GM_Table,13,FALSE))),"")</f>
        <v/>
      </c>
    </row>
    <row r="842" spans="1:10" ht="15" x14ac:dyDescent="0.2">
      <c r="A842" s="193" t="s">
        <v>2886</v>
      </c>
      <c r="B842" s="193" t="s">
        <v>2886</v>
      </c>
      <c r="C842" s="175">
        <v>1.24</v>
      </c>
      <c r="D842" s="271">
        <v>6.7090519999999998</v>
      </c>
      <c r="E842" s="272">
        <v>-8.0924080000000007</v>
      </c>
      <c r="F842" s="122" t="b">
        <f>IF(ISBLANK(FarmUnit[[#This Row],[1. Identifiant interne d’exploitation agricole*]]),"",IF(ISERROR(MATCH(FarmUnit[[#This Row],[1. Identifiant interne d’exploitation agricole*]],GroupMember[1. Identifiant interne d’exploitation agricole*],0)),FALSE,TRUE))</f>
        <v>1</v>
      </c>
      <c r="G842" s="4">
        <f t="shared" si="27"/>
        <v>6.7090519999999998</v>
      </c>
      <c r="H842" s="4">
        <f t="shared" si="28"/>
        <v>-8.0924080000000007</v>
      </c>
      <c r="I842" s="20" t="str">
        <f t="array" ref="I842">IF(ISBLANK(C842),"",IF(C842=MAX(IF(FarmUnit[1. Identifiant interne d’exploitation agricole*]=A842,FarmUnit[3. Superficie de l’unité agricole (ha)*])),"!","-"))</f>
        <v>!</v>
      </c>
      <c r="J842" s="9" t="str">
        <f ca="1">IFERROR(CONCATENATE(VLOOKUP(A842,GM_Table,12,FALSE)," ",(VLOOKUP(A842,GM_Table,13,FALSE))),"")</f>
        <v/>
      </c>
    </row>
    <row r="843" spans="1:10" ht="15" x14ac:dyDescent="0.2">
      <c r="A843" s="193" t="s">
        <v>2889</v>
      </c>
      <c r="B843" s="193" t="s">
        <v>2889</v>
      </c>
      <c r="C843" s="175">
        <v>2.6076999999999999</v>
      </c>
      <c r="D843" s="271">
        <v>6.9109309999999997</v>
      </c>
      <c r="E843" s="272">
        <v>-7.9588010000000002</v>
      </c>
      <c r="F843" s="122" t="b">
        <f>IF(ISBLANK(FarmUnit[[#This Row],[1. Identifiant interne d’exploitation agricole*]]),"",IF(ISERROR(MATCH(FarmUnit[[#This Row],[1. Identifiant interne d’exploitation agricole*]],GroupMember[1. Identifiant interne d’exploitation agricole*],0)),FALSE,TRUE))</f>
        <v>1</v>
      </c>
      <c r="G843" s="4">
        <f t="shared" si="27"/>
        <v>6.9109309999999997</v>
      </c>
      <c r="H843" s="4">
        <f t="shared" si="28"/>
        <v>-7.9588010000000002</v>
      </c>
      <c r="I843" s="20" t="str">
        <f t="array" ref="I843">IF(ISBLANK(C843),"",IF(C843=MAX(IF(FarmUnit[1. Identifiant interne d’exploitation agricole*]=A843,FarmUnit[3. Superficie de l’unité agricole (ha)*])),"!","-"))</f>
        <v>!</v>
      </c>
      <c r="J843" s="9" t="str">
        <f ca="1">IFERROR(CONCATENATE(VLOOKUP(A843,GM_Table,12,FALSE)," ",(VLOOKUP(A843,GM_Table,13,FALSE))),"")</f>
        <v/>
      </c>
    </row>
    <row r="844" spans="1:10" ht="15" x14ac:dyDescent="0.2">
      <c r="A844" s="193" t="s">
        <v>2891</v>
      </c>
      <c r="B844" s="193" t="s">
        <v>2891</v>
      </c>
      <c r="C844" s="175">
        <v>2.2238000000000002</v>
      </c>
      <c r="D844" s="271">
        <v>6.705133</v>
      </c>
      <c r="E844" s="272">
        <v>-8.0904220000000002</v>
      </c>
      <c r="F844" s="122" t="b">
        <f>IF(ISBLANK(FarmUnit[[#This Row],[1. Identifiant interne d’exploitation agricole*]]),"",IF(ISERROR(MATCH(FarmUnit[[#This Row],[1. Identifiant interne d’exploitation agricole*]],GroupMember[1. Identifiant interne d’exploitation agricole*],0)),FALSE,TRUE))</f>
        <v>1</v>
      </c>
      <c r="G844" s="4">
        <f t="shared" si="27"/>
        <v>6.705133</v>
      </c>
      <c r="H844" s="4">
        <f t="shared" si="28"/>
        <v>-8.0904220000000002</v>
      </c>
      <c r="I844" s="20" t="str">
        <f t="array" ref="I844">IF(ISBLANK(C844),"",IF(C844=MAX(IF(FarmUnit[1. Identifiant interne d’exploitation agricole*]=A844,FarmUnit[3. Superficie de l’unité agricole (ha)*])),"!","-"))</f>
        <v>!</v>
      </c>
      <c r="J844" s="9" t="str">
        <f ca="1">IFERROR(CONCATENATE(VLOOKUP(A844,GM_Table,12,FALSE)," ",(VLOOKUP(A844,GM_Table,13,FALSE))),"")</f>
        <v/>
      </c>
    </row>
    <row r="845" spans="1:10" ht="15" x14ac:dyDescent="0.2">
      <c r="A845" s="193" t="s">
        <v>2894</v>
      </c>
      <c r="B845" s="193" t="s">
        <v>2894</v>
      </c>
      <c r="C845" s="175">
        <v>2.8443000000000001</v>
      </c>
      <c r="D845" s="271">
        <v>6.7044750000000004</v>
      </c>
      <c r="E845" s="272">
        <v>-8.0909999999999993</v>
      </c>
      <c r="F845" s="122" t="b">
        <f>IF(ISBLANK(FarmUnit[[#This Row],[1. Identifiant interne d’exploitation agricole*]]),"",IF(ISERROR(MATCH(FarmUnit[[#This Row],[1. Identifiant interne d’exploitation agricole*]],GroupMember[1. Identifiant interne d’exploitation agricole*],0)),FALSE,TRUE))</f>
        <v>1</v>
      </c>
      <c r="G845" s="4">
        <f t="shared" si="27"/>
        <v>6.7044750000000004</v>
      </c>
      <c r="H845" s="4">
        <f t="shared" si="28"/>
        <v>-8.0909999999999993</v>
      </c>
      <c r="I845" s="20" t="str">
        <f t="array" ref="I845">IF(ISBLANK(C845),"",IF(C845=MAX(IF(FarmUnit[1. Identifiant interne d’exploitation agricole*]=A845,FarmUnit[3. Superficie de l’unité agricole (ha)*])),"!","-"))</f>
        <v>!</v>
      </c>
      <c r="J845" s="9" t="str">
        <f ca="1">IFERROR(CONCATENATE(VLOOKUP(A845,GM_Table,12,FALSE)," ",(VLOOKUP(A845,GM_Table,13,FALSE))),"")</f>
        <v/>
      </c>
    </row>
    <row r="846" spans="1:10" ht="15" x14ac:dyDescent="0.2">
      <c r="A846" s="193" t="s">
        <v>2898</v>
      </c>
      <c r="B846" s="193" t="s">
        <v>2898</v>
      </c>
      <c r="C846" s="175">
        <v>4.5297000000000001</v>
      </c>
      <c r="D846" s="271">
        <v>6.7082569999999997</v>
      </c>
      <c r="E846" s="272">
        <v>-8.0930169999999997</v>
      </c>
      <c r="F846" s="122" t="b">
        <f>IF(ISBLANK(FarmUnit[[#This Row],[1. Identifiant interne d’exploitation agricole*]]),"",IF(ISERROR(MATCH(FarmUnit[[#This Row],[1. Identifiant interne d’exploitation agricole*]],GroupMember[1. Identifiant interne d’exploitation agricole*],0)),FALSE,TRUE))</f>
        <v>1</v>
      </c>
      <c r="G846" s="4">
        <f t="shared" si="27"/>
        <v>6.7082569999999997</v>
      </c>
      <c r="H846" s="4">
        <f t="shared" si="28"/>
        <v>-8.0930169999999997</v>
      </c>
      <c r="I846" s="20" t="str">
        <f t="array" ref="I846">IF(ISBLANK(C846),"",IF(C846=MAX(IF(FarmUnit[1. Identifiant interne d’exploitation agricole*]=A846,FarmUnit[3. Superficie de l’unité agricole (ha)*])),"!","-"))</f>
        <v>!</v>
      </c>
      <c r="J846" s="9" t="str">
        <f ca="1">IFERROR(CONCATENATE(VLOOKUP(A846,GM_Table,12,FALSE)," ",(VLOOKUP(A846,GM_Table,13,FALSE))),"")</f>
        <v/>
      </c>
    </row>
    <row r="847" spans="1:10" ht="15" x14ac:dyDescent="0.2">
      <c r="A847" s="193" t="s">
        <v>2900</v>
      </c>
      <c r="B847" s="193" t="s">
        <v>2900</v>
      </c>
      <c r="C847" s="175">
        <v>5.8080999999999996</v>
      </c>
      <c r="D847" s="271">
        <v>6.7146179999999998</v>
      </c>
      <c r="E847" s="272">
        <v>-8.0982269999999996</v>
      </c>
      <c r="F847" s="122" t="b">
        <f>IF(ISBLANK(FarmUnit[[#This Row],[1. Identifiant interne d’exploitation agricole*]]),"",IF(ISERROR(MATCH(FarmUnit[[#This Row],[1. Identifiant interne d’exploitation agricole*]],GroupMember[1. Identifiant interne d’exploitation agricole*],0)),FALSE,TRUE))</f>
        <v>1</v>
      </c>
      <c r="G847" s="4">
        <f t="shared" si="27"/>
        <v>6.7146179999999998</v>
      </c>
      <c r="H847" s="4">
        <f t="shared" si="28"/>
        <v>-8.0982269999999996</v>
      </c>
      <c r="I847" s="20" t="str">
        <f t="array" ref="I847">IF(ISBLANK(C847),"",IF(C847=MAX(IF(FarmUnit[1. Identifiant interne d’exploitation agricole*]=A847,FarmUnit[3. Superficie de l’unité agricole (ha)*])),"!","-"))</f>
        <v>!</v>
      </c>
      <c r="J847" s="9" t="str">
        <f ca="1">IFERROR(CONCATENATE(VLOOKUP(A847,GM_Table,12,FALSE)," ",(VLOOKUP(A847,GM_Table,13,FALSE))),"")</f>
        <v/>
      </c>
    </row>
    <row r="848" spans="1:10" ht="15" x14ac:dyDescent="0.2">
      <c r="A848" s="193" t="s">
        <v>2901</v>
      </c>
      <c r="B848" s="193" t="s">
        <v>2901</v>
      </c>
      <c r="C848" s="175">
        <v>2.4281999999999999</v>
      </c>
      <c r="D848" s="271">
        <v>6.7110079999999996</v>
      </c>
      <c r="E848" s="272">
        <v>-8.0788170000000008</v>
      </c>
      <c r="F848" s="122" t="b">
        <f>IF(ISBLANK(FarmUnit[[#This Row],[1. Identifiant interne d’exploitation agricole*]]),"",IF(ISERROR(MATCH(FarmUnit[[#This Row],[1. Identifiant interne d’exploitation agricole*]],GroupMember[1. Identifiant interne d’exploitation agricole*],0)),FALSE,TRUE))</f>
        <v>1</v>
      </c>
      <c r="G848" s="4">
        <f t="shared" si="27"/>
        <v>6.7110079999999996</v>
      </c>
      <c r="H848" s="4">
        <f t="shared" si="28"/>
        <v>-8.0788170000000008</v>
      </c>
      <c r="I848" s="20" t="str">
        <f t="array" ref="I848">IF(ISBLANK(C848),"",IF(C848=MAX(IF(FarmUnit[1. Identifiant interne d’exploitation agricole*]=A848,FarmUnit[3. Superficie de l’unité agricole (ha)*])),"!","-"))</f>
        <v>!</v>
      </c>
      <c r="J848" s="9" t="str">
        <f ca="1">IFERROR(CONCATENATE(VLOOKUP(A848,GM_Table,12,FALSE)," ",(VLOOKUP(A848,GM_Table,13,FALSE))),"")</f>
        <v/>
      </c>
    </row>
    <row r="849" spans="1:10" ht="15" x14ac:dyDescent="0.2">
      <c r="A849" s="193" t="s">
        <v>2904</v>
      </c>
      <c r="B849" s="193" t="s">
        <v>2904</v>
      </c>
      <c r="C849" s="175">
        <v>2.3639000000000001</v>
      </c>
      <c r="D849" s="271">
        <v>6.7108220000000003</v>
      </c>
      <c r="E849" s="272">
        <v>-8.0794029999999992</v>
      </c>
      <c r="F849" s="122" t="b">
        <f>IF(ISBLANK(FarmUnit[[#This Row],[1. Identifiant interne d’exploitation agricole*]]),"",IF(ISERROR(MATCH(FarmUnit[[#This Row],[1. Identifiant interne d’exploitation agricole*]],GroupMember[1. Identifiant interne d’exploitation agricole*],0)),FALSE,TRUE))</f>
        <v>1</v>
      </c>
      <c r="G849" s="4">
        <f t="shared" si="27"/>
        <v>6.7108220000000003</v>
      </c>
      <c r="H849" s="4">
        <f t="shared" si="28"/>
        <v>-8.0794029999999992</v>
      </c>
      <c r="I849" s="20" t="str">
        <f t="array" ref="I849">IF(ISBLANK(C849),"",IF(C849=MAX(IF(FarmUnit[1. Identifiant interne d’exploitation agricole*]=A849,FarmUnit[3. Superficie de l’unité agricole (ha)*])),"!","-"))</f>
        <v>!</v>
      </c>
      <c r="J849" s="9" t="str">
        <f ca="1">IFERROR(CONCATENATE(VLOOKUP(A849,GM_Table,12,FALSE)," ",(VLOOKUP(A849,GM_Table,13,FALSE))),"")</f>
        <v/>
      </c>
    </row>
    <row r="850" spans="1:10" ht="15" x14ac:dyDescent="0.2">
      <c r="A850" s="193" t="s">
        <v>2907</v>
      </c>
      <c r="B850" s="193" t="s">
        <v>2907</v>
      </c>
      <c r="C850" s="175">
        <v>1.9213</v>
      </c>
      <c r="D850" s="271">
        <v>6.7098649999999997</v>
      </c>
      <c r="E850" s="272">
        <v>-8.0814620000000001</v>
      </c>
      <c r="F850" s="122" t="b">
        <f>IF(ISBLANK(FarmUnit[[#This Row],[1. Identifiant interne d’exploitation agricole*]]),"",IF(ISERROR(MATCH(FarmUnit[[#This Row],[1. Identifiant interne d’exploitation agricole*]],GroupMember[1. Identifiant interne d’exploitation agricole*],0)),FALSE,TRUE))</f>
        <v>1</v>
      </c>
      <c r="G850" s="4">
        <f t="shared" si="27"/>
        <v>6.7098649999999997</v>
      </c>
      <c r="H850" s="4">
        <f t="shared" si="28"/>
        <v>-8.0814620000000001</v>
      </c>
      <c r="I850" s="20" t="str">
        <f t="array" ref="I850">IF(ISBLANK(C850),"",IF(C850=MAX(IF(FarmUnit[1. Identifiant interne d’exploitation agricole*]=A850,FarmUnit[3. Superficie de l’unité agricole (ha)*])),"!","-"))</f>
        <v>!</v>
      </c>
      <c r="J850" s="9" t="str">
        <f ca="1">IFERROR(CONCATENATE(VLOOKUP(A850,GM_Table,12,FALSE)," ",(VLOOKUP(A850,GM_Table,13,FALSE))),"")</f>
        <v/>
      </c>
    </row>
    <row r="851" spans="1:10" ht="15" x14ac:dyDescent="0.2">
      <c r="A851" s="193" t="s">
        <v>2909</v>
      </c>
      <c r="B851" s="193" t="s">
        <v>2909</v>
      </c>
      <c r="C851" s="175">
        <v>3.0809000000000002</v>
      </c>
      <c r="D851" s="271">
        <v>6.6096870000000001</v>
      </c>
      <c r="E851" s="272">
        <v>-8.1246749999999999</v>
      </c>
      <c r="F851" s="122" t="b">
        <f>IF(ISBLANK(FarmUnit[[#This Row],[1. Identifiant interne d’exploitation agricole*]]),"",IF(ISERROR(MATCH(FarmUnit[[#This Row],[1. Identifiant interne d’exploitation agricole*]],GroupMember[1. Identifiant interne d’exploitation agricole*],0)),FALSE,TRUE))</f>
        <v>1</v>
      </c>
      <c r="G851" s="4">
        <f t="shared" si="27"/>
        <v>6.6096870000000001</v>
      </c>
      <c r="H851" s="4">
        <f t="shared" si="28"/>
        <v>-8.1246749999999999</v>
      </c>
      <c r="I851" s="20" t="str">
        <f t="array" ref="I851">IF(ISBLANK(C851),"",IF(C851=MAX(IF(FarmUnit[1. Identifiant interne d’exploitation agricole*]=A851,FarmUnit[3. Superficie de l’unité agricole (ha)*])),"!","-"))</f>
        <v>!</v>
      </c>
      <c r="J851" s="9" t="str">
        <f ca="1">IFERROR(CONCATENATE(VLOOKUP(A851,GM_Table,12,FALSE)," ",(VLOOKUP(A851,GM_Table,13,FALSE))),"")</f>
        <v/>
      </c>
    </row>
    <row r="852" spans="1:10" ht="15" x14ac:dyDescent="0.2">
      <c r="A852" s="193" t="s">
        <v>2912</v>
      </c>
      <c r="B852" s="193" t="s">
        <v>2912</v>
      </c>
      <c r="C852" s="175">
        <v>1.2838000000000001</v>
      </c>
      <c r="D852" s="271">
        <v>6.5787469999999999</v>
      </c>
      <c r="E852" s="272">
        <v>-8.1022320000000008</v>
      </c>
      <c r="F852" s="122" t="b">
        <f>IF(ISBLANK(FarmUnit[[#This Row],[1. Identifiant interne d’exploitation agricole*]]),"",IF(ISERROR(MATCH(FarmUnit[[#This Row],[1. Identifiant interne d’exploitation agricole*]],GroupMember[1. Identifiant interne d’exploitation agricole*],0)),FALSE,TRUE))</f>
        <v>1</v>
      </c>
      <c r="G852" s="4">
        <f t="shared" si="27"/>
        <v>6.5787469999999999</v>
      </c>
      <c r="H852" s="4">
        <f t="shared" si="28"/>
        <v>-8.1022320000000008</v>
      </c>
      <c r="I852" s="20" t="str">
        <f t="array" ref="I852">IF(ISBLANK(C852),"",IF(C852=MAX(IF(FarmUnit[1. Identifiant interne d’exploitation agricole*]=A852,FarmUnit[3. Superficie de l’unité agricole (ha)*])),"!","-"))</f>
        <v>!</v>
      </c>
      <c r="J852" s="9" t="str">
        <f ca="1">IFERROR(CONCATENATE(VLOOKUP(A852,GM_Table,12,FALSE)," ",(VLOOKUP(A852,GM_Table,13,FALSE))),"")</f>
        <v/>
      </c>
    </row>
    <row r="853" spans="1:10" ht="15" x14ac:dyDescent="0.2">
      <c r="A853" s="193" t="s">
        <v>2916</v>
      </c>
      <c r="B853" s="193" t="s">
        <v>2916</v>
      </c>
      <c r="C853" s="175">
        <v>1.2367999999999999</v>
      </c>
      <c r="D853" s="271">
        <v>6.5655669999999997</v>
      </c>
      <c r="E853" s="272">
        <v>-8.1225120000000004</v>
      </c>
      <c r="F853" s="122" t="b">
        <f>IF(ISBLANK(FarmUnit[[#This Row],[1. Identifiant interne d’exploitation agricole*]]),"",IF(ISERROR(MATCH(FarmUnit[[#This Row],[1. Identifiant interne d’exploitation agricole*]],GroupMember[1. Identifiant interne d’exploitation agricole*],0)),FALSE,TRUE))</f>
        <v>1</v>
      </c>
      <c r="G853" s="4">
        <f t="shared" si="27"/>
        <v>6.5655669999999997</v>
      </c>
      <c r="H853" s="4">
        <f t="shared" si="28"/>
        <v>-8.1225120000000004</v>
      </c>
      <c r="I853" s="20" t="str">
        <f t="array" ref="I853">IF(ISBLANK(C853),"",IF(C853=MAX(IF(FarmUnit[1. Identifiant interne d’exploitation agricole*]=A853,FarmUnit[3. Superficie de l’unité agricole (ha)*])),"!","-"))</f>
        <v>!</v>
      </c>
      <c r="J853" s="9" t="str">
        <f ca="1">IFERROR(CONCATENATE(VLOOKUP(A853,GM_Table,12,FALSE)," ",(VLOOKUP(A853,GM_Table,13,FALSE))),"")</f>
        <v/>
      </c>
    </row>
    <row r="854" spans="1:10" ht="15" x14ac:dyDescent="0.2">
      <c r="A854" s="193" t="s">
        <v>2917</v>
      </c>
      <c r="B854" s="193" t="s">
        <v>2917</v>
      </c>
      <c r="C854" s="175">
        <v>1.9717</v>
      </c>
      <c r="D854" s="271">
        <v>6.550522</v>
      </c>
      <c r="E854" s="272">
        <v>-8.1147980000000004</v>
      </c>
      <c r="F854" s="122" t="b">
        <f>IF(ISBLANK(FarmUnit[[#This Row],[1. Identifiant interne d’exploitation agricole*]]),"",IF(ISERROR(MATCH(FarmUnit[[#This Row],[1. Identifiant interne d’exploitation agricole*]],GroupMember[1. Identifiant interne d’exploitation agricole*],0)),FALSE,TRUE))</f>
        <v>1</v>
      </c>
      <c r="G854" s="4">
        <f t="shared" si="27"/>
        <v>6.550522</v>
      </c>
      <c r="H854" s="4">
        <f t="shared" si="28"/>
        <v>-8.1147980000000004</v>
      </c>
      <c r="I854" s="20" t="str">
        <f t="array" ref="I854">IF(ISBLANK(C854),"",IF(C854=MAX(IF(FarmUnit[1. Identifiant interne d’exploitation agricole*]=A854,FarmUnit[3. Superficie de l’unité agricole (ha)*])),"!","-"))</f>
        <v>!</v>
      </c>
      <c r="J854" s="9" t="str">
        <f ca="1">IFERROR(CONCATENATE(VLOOKUP(A854,GM_Table,12,FALSE)," ",(VLOOKUP(A854,GM_Table,13,FALSE))),"")</f>
        <v/>
      </c>
    </row>
    <row r="855" spans="1:10" ht="15" x14ac:dyDescent="0.2">
      <c r="A855" s="193" t="s">
        <v>2920</v>
      </c>
      <c r="B855" s="193" t="s">
        <v>2920</v>
      </c>
      <c r="C855" s="175">
        <v>1.6894</v>
      </c>
      <c r="D855" s="271">
        <v>6.5656720000000002</v>
      </c>
      <c r="E855" s="272">
        <v>-8.1222169999999991</v>
      </c>
      <c r="F855" s="122" t="b">
        <f>IF(ISBLANK(FarmUnit[[#This Row],[1. Identifiant interne d’exploitation agricole*]]),"",IF(ISERROR(MATCH(FarmUnit[[#This Row],[1. Identifiant interne d’exploitation agricole*]],GroupMember[1. Identifiant interne d’exploitation agricole*],0)),FALSE,TRUE))</f>
        <v>1</v>
      </c>
      <c r="G855" s="4">
        <f t="shared" si="27"/>
        <v>6.5656720000000002</v>
      </c>
      <c r="H855" s="4">
        <f t="shared" si="28"/>
        <v>-8.1222169999999991</v>
      </c>
      <c r="I855" s="20" t="str">
        <f t="array" ref="I855">IF(ISBLANK(C855),"",IF(C855=MAX(IF(FarmUnit[1. Identifiant interne d’exploitation agricole*]=A855,FarmUnit[3. Superficie de l’unité agricole (ha)*])),"!","-"))</f>
        <v>!</v>
      </c>
      <c r="J855" s="9" t="str">
        <f ca="1">IFERROR(CONCATENATE(VLOOKUP(A855,GM_Table,12,FALSE)," ",(VLOOKUP(A855,GM_Table,13,FALSE))),"")</f>
        <v/>
      </c>
    </row>
    <row r="856" spans="1:10" ht="15" x14ac:dyDescent="0.2">
      <c r="A856" s="193" t="s">
        <v>2922</v>
      </c>
      <c r="B856" s="193" t="s">
        <v>2922</v>
      </c>
      <c r="C856" s="175">
        <v>2.1745000000000001</v>
      </c>
      <c r="D856" s="271">
        <v>6.6303799999999997</v>
      </c>
      <c r="E856" s="272">
        <v>-8.0979419999999998</v>
      </c>
      <c r="F856" s="122" t="b">
        <f>IF(ISBLANK(FarmUnit[[#This Row],[1. Identifiant interne d’exploitation agricole*]]),"",IF(ISERROR(MATCH(FarmUnit[[#This Row],[1. Identifiant interne d’exploitation agricole*]],GroupMember[1. Identifiant interne d’exploitation agricole*],0)),FALSE,TRUE))</f>
        <v>1</v>
      </c>
      <c r="G856" s="4">
        <f t="shared" si="27"/>
        <v>6.6303799999999997</v>
      </c>
      <c r="H856" s="4">
        <f t="shared" si="28"/>
        <v>-8.0979419999999998</v>
      </c>
      <c r="I856" s="20" t="str">
        <f t="array" ref="I856">IF(ISBLANK(C856),"",IF(C856=MAX(IF(FarmUnit[1. Identifiant interne d’exploitation agricole*]=A856,FarmUnit[3. Superficie de l’unité agricole (ha)*])),"!","-"))</f>
        <v>!</v>
      </c>
      <c r="J856" s="9" t="str">
        <f ca="1">IFERROR(CONCATENATE(VLOOKUP(A856,GM_Table,12,FALSE)," ",(VLOOKUP(A856,GM_Table,13,FALSE))),"")</f>
        <v/>
      </c>
    </row>
    <row r="857" spans="1:10" ht="15" x14ac:dyDescent="0.2">
      <c r="A857" s="193" t="s">
        <v>2926</v>
      </c>
      <c r="B857" s="193" t="s">
        <v>2926</v>
      </c>
      <c r="C857" s="175">
        <v>1.3766</v>
      </c>
      <c r="D857" s="271">
        <v>6.5323219999999997</v>
      </c>
      <c r="E857" s="272">
        <v>-8.1031549999999992</v>
      </c>
      <c r="F857" s="122" t="b">
        <f>IF(ISBLANK(FarmUnit[[#This Row],[1. Identifiant interne d’exploitation agricole*]]),"",IF(ISERROR(MATCH(FarmUnit[[#This Row],[1. Identifiant interne d’exploitation agricole*]],GroupMember[1. Identifiant interne d’exploitation agricole*],0)),FALSE,TRUE))</f>
        <v>1</v>
      </c>
      <c r="G857" s="4">
        <f t="shared" si="27"/>
        <v>6.5323219999999997</v>
      </c>
      <c r="H857" s="4">
        <f t="shared" si="28"/>
        <v>-8.1031549999999992</v>
      </c>
      <c r="I857" s="20" t="str">
        <f t="array" ref="I857">IF(ISBLANK(C857),"",IF(C857=MAX(IF(FarmUnit[1. Identifiant interne d’exploitation agricole*]=A857,FarmUnit[3. Superficie de l’unité agricole (ha)*])),"!","-"))</f>
        <v>!</v>
      </c>
      <c r="J857" s="9" t="str">
        <f ca="1">IFERROR(CONCATENATE(VLOOKUP(A857,GM_Table,12,FALSE)," ",(VLOOKUP(A857,GM_Table,13,FALSE))),"")</f>
        <v/>
      </c>
    </row>
    <row r="858" spans="1:10" ht="15" x14ac:dyDescent="0.2">
      <c r="A858" s="193" t="s">
        <v>2930</v>
      </c>
      <c r="B858" s="193" t="s">
        <v>2930</v>
      </c>
      <c r="C858" s="175">
        <v>5.46</v>
      </c>
      <c r="D858" s="271">
        <v>7.0076000000000001</v>
      </c>
      <c r="E858" s="272">
        <v>-7.9320000000000004</v>
      </c>
      <c r="F858" s="122" t="b">
        <f>IF(ISBLANK(FarmUnit[[#This Row],[1. Identifiant interne d’exploitation agricole*]]),"",IF(ISERROR(MATCH(FarmUnit[[#This Row],[1. Identifiant interne d’exploitation agricole*]],GroupMember[1. Identifiant interne d’exploitation agricole*],0)),FALSE,TRUE))</f>
        <v>1</v>
      </c>
      <c r="G858" s="4">
        <f t="shared" si="27"/>
        <v>7.0076000000000001</v>
      </c>
      <c r="H858" s="4">
        <f t="shared" si="28"/>
        <v>-7.9320000000000004</v>
      </c>
      <c r="I858" s="20" t="str">
        <f t="array" ref="I858">IF(ISBLANK(C858),"",IF(C858=MAX(IF(FarmUnit[1. Identifiant interne d’exploitation agricole*]=A858,FarmUnit[3. Superficie de l’unité agricole (ha)*])),"!","-"))</f>
        <v>!</v>
      </c>
      <c r="J858" s="9" t="str">
        <f ca="1">IFERROR(CONCATENATE(VLOOKUP(A858,GM_Table,12,FALSE)," ",(VLOOKUP(A858,GM_Table,13,FALSE))),"")</f>
        <v/>
      </c>
    </row>
    <row r="859" spans="1:10" ht="15" x14ac:dyDescent="0.2">
      <c r="A859" s="193" t="s">
        <v>2934</v>
      </c>
      <c r="B859" s="193" t="s">
        <v>2934</v>
      </c>
      <c r="C859" s="175">
        <v>1.89</v>
      </c>
      <c r="D859" s="271">
        <v>7.0107999999999997</v>
      </c>
      <c r="E859" s="272">
        <v>-7.9307999999999996</v>
      </c>
      <c r="F859" s="122" t="b">
        <f>IF(ISBLANK(FarmUnit[[#This Row],[1. Identifiant interne d’exploitation agricole*]]),"",IF(ISERROR(MATCH(FarmUnit[[#This Row],[1. Identifiant interne d’exploitation agricole*]],GroupMember[1. Identifiant interne d’exploitation agricole*],0)),FALSE,TRUE))</f>
        <v>1</v>
      </c>
      <c r="G859" s="4">
        <f t="shared" si="27"/>
        <v>7.0107999999999997</v>
      </c>
      <c r="H859" s="4">
        <f t="shared" si="28"/>
        <v>-7.9307999999999996</v>
      </c>
      <c r="I859" s="20" t="str">
        <f t="array" ref="I859">IF(ISBLANK(C859),"",IF(C859=MAX(IF(FarmUnit[1. Identifiant interne d’exploitation agricole*]=A859,FarmUnit[3. Superficie de l’unité agricole (ha)*])),"!","-"))</f>
        <v>!</v>
      </c>
      <c r="J859" s="9" t="str">
        <f ca="1">IFERROR(CONCATENATE(VLOOKUP(A859,GM_Table,12,FALSE)," ",(VLOOKUP(A859,GM_Table,13,FALSE))),"")</f>
        <v/>
      </c>
    </row>
    <row r="860" spans="1:10" ht="15" x14ac:dyDescent="0.2">
      <c r="A860" s="193" t="s">
        <v>2937</v>
      </c>
      <c r="B860" s="193" t="s">
        <v>2937</v>
      </c>
      <c r="C860" s="175">
        <v>2.34</v>
      </c>
      <c r="D860" s="271">
        <v>7.0091000000000001</v>
      </c>
      <c r="E860" s="272">
        <v>-7.9284999999999997</v>
      </c>
      <c r="F860" s="122" t="b">
        <f>IF(ISBLANK(FarmUnit[[#This Row],[1. Identifiant interne d’exploitation agricole*]]),"",IF(ISERROR(MATCH(FarmUnit[[#This Row],[1. Identifiant interne d’exploitation agricole*]],GroupMember[1. Identifiant interne d’exploitation agricole*],0)),FALSE,TRUE))</f>
        <v>1</v>
      </c>
      <c r="G860" s="4">
        <f t="shared" si="27"/>
        <v>7.0091000000000001</v>
      </c>
      <c r="H860" s="4">
        <f t="shared" si="28"/>
        <v>-7.9284999999999997</v>
      </c>
      <c r="I860" s="20" t="str">
        <f t="array" ref="I860">IF(ISBLANK(C860),"",IF(C860=MAX(IF(FarmUnit[1. Identifiant interne d’exploitation agricole*]=A860,FarmUnit[3. Superficie de l’unité agricole (ha)*])),"!","-"))</f>
        <v>!</v>
      </c>
      <c r="J860" s="9" t="str">
        <f ca="1">IFERROR(CONCATENATE(VLOOKUP(A860,GM_Table,12,FALSE)," ",(VLOOKUP(A860,GM_Table,13,FALSE))),"")</f>
        <v/>
      </c>
    </row>
    <row r="861" spans="1:10" ht="15" x14ac:dyDescent="0.2">
      <c r="A861" s="193" t="s">
        <v>2941</v>
      </c>
      <c r="B861" s="193" t="s">
        <v>2941</v>
      </c>
      <c r="C861" s="175">
        <v>1.19</v>
      </c>
      <c r="D861" s="271">
        <v>7.0091000000000001</v>
      </c>
      <c r="E861" s="272">
        <v>-7.9272</v>
      </c>
      <c r="F861" s="122" t="b">
        <f>IF(ISBLANK(FarmUnit[[#This Row],[1. Identifiant interne d’exploitation agricole*]]),"",IF(ISERROR(MATCH(FarmUnit[[#This Row],[1. Identifiant interne d’exploitation agricole*]],GroupMember[1. Identifiant interne d’exploitation agricole*],0)),FALSE,TRUE))</f>
        <v>1</v>
      </c>
      <c r="G861" s="4">
        <f t="shared" si="27"/>
        <v>7.0091000000000001</v>
      </c>
      <c r="H861" s="4">
        <f t="shared" si="28"/>
        <v>-7.9272</v>
      </c>
      <c r="I861" s="20" t="str">
        <f t="array" ref="I861">IF(ISBLANK(C861),"",IF(C861=MAX(IF(FarmUnit[1. Identifiant interne d’exploitation agricole*]=A861,FarmUnit[3. Superficie de l’unité agricole (ha)*])),"!","-"))</f>
        <v>!</v>
      </c>
      <c r="J861" s="9" t="str">
        <f ca="1">IFERROR(CONCATENATE(VLOOKUP(A861,GM_Table,12,FALSE)," ",(VLOOKUP(A861,GM_Table,13,FALSE))),"")</f>
        <v/>
      </c>
    </row>
    <row r="862" spans="1:10" ht="15" x14ac:dyDescent="0.2">
      <c r="A862" s="193" t="s">
        <v>2944</v>
      </c>
      <c r="B862" s="193" t="s">
        <v>2944</v>
      </c>
      <c r="C862" s="175">
        <v>3.17</v>
      </c>
      <c r="D862" s="271">
        <v>7.0072999999999999</v>
      </c>
      <c r="E862" s="272">
        <v>-7.9280999999999997</v>
      </c>
      <c r="F862" s="122" t="b">
        <f>IF(ISBLANK(FarmUnit[[#This Row],[1. Identifiant interne d’exploitation agricole*]]),"",IF(ISERROR(MATCH(FarmUnit[[#This Row],[1. Identifiant interne d’exploitation agricole*]],GroupMember[1. Identifiant interne d’exploitation agricole*],0)),FALSE,TRUE))</f>
        <v>1</v>
      </c>
      <c r="G862" s="4">
        <f t="shared" si="27"/>
        <v>7.0072999999999999</v>
      </c>
      <c r="H862" s="4">
        <f t="shared" si="28"/>
        <v>-7.9280999999999997</v>
      </c>
      <c r="I862" s="20" t="str">
        <f t="array" ref="I862">IF(ISBLANK(C862),"",IF(C862=MAX(IF(FarmUnit[1. Identifiant interne d’exploitation agricole*]=A862,FarmUnit[3. Superficie de l’unité agricole (ha)*])),"!","-"))</f>
        <v>!</v>
      </c>
      <c r="J862" s="9" t="str">
        <f ca="1">IFERROR(CONCATENATE(VLOOKUP(A862,GM_Table,12,FALSE)," ",(VLOOKUP(A862,GM_Table,13,FALSE))),"")</f>
        <v/>
      </c>
    </row>
    <row r="863" spans="1:10" ht="15" x14ac:dyDescent="0.2">
      <c r="A863" s="193" t="s">
        <v>2947</v>
      </c>
      <c r="B863" s="193" t="s">
        <v>2947</v>
      </c>
      <c r="C863" s="175">
        <v>1.5</v>
      </c>
      <c r="D863" s="271">
        <v>7.0125999999999999</v>
      </c>
      <c r="E863" s="272">
        <v>-7.9452999999999996</v>
      </c>
      <c r="F863" s="122" t="b">
        <f>IF(ISBLANK(FarmUnit[[#This Row],[1. Identifiant interne d’exploitation agricole*]]),"",IF(ISERROR(MATCH(FarmUnit[[#This Row],[1. Identifiant interne d’exploitation agricole*]],GroupMember[1. Identifiant interne d’exploitation agricole*],0)),FALSE,TRUE))</f>
        <v>1</v>
      </c>
      <c r="G863" s="4">
        <f t="shared" si="27"/>
        <v>7.0125999999999999</v>
      </c>
      <c r="H863" s="4">
        <f t="shared" si="28"/>
        <v>-7.9452999999999996</v>
      </c>
      <c r="I863" s="20" t="str">
        <f t="array" ref="I863">IF(ISBLANK(C863),"",IF(C863=MAX(IF(FarmUnit[1. Identifiant interne d’exploitation agricole*]=A863,FarmUnit[3. Superficie de l’unité agricole (ha)*])),"!","-"))</f>
        <v>!</v>
      </c>
      <c r="J863" s="9" t="str">
        <f ca="1">IFERROR(CONCATENATE(VLOOKUP(A863,GM_Table,12,FALSE)," ",(VLOOKUP(A863,GM_Table,13,FALSE))),"")</f>
        <v/>
      </c>
    </row>
    <row r="864" spans="1:10" ht="15" x14ac:dyDescent="0.2">
      <c r="A864" s="193" t="s">
        <v>2950</v>
      </c>
      <c r="B864" s="193" t="s">
        <v>2950</v>
      </c>
      <c r="C864" s="175">
        <v>3.66</v>
      </c>
      <c r="D864" s="271">
        <v>7.0084999999999997</v>
      </c>
      <c r="E864" s="272">
        <v>-7.9405000000000001</v>
      </c>
      <c r="F864" s="122" t="b">
        <f>IF(ISBLANK(FarmUnit[[#This Row],[1. Identifiant interne d’exploitation agricole*]]),"",IF(ISERROR(MATCH(FarmUnit[[#This Row],[1. Identifiant interne d’exploitation agricole*]],GroupMember[1. Identifiant interne d’exploitation agricole*],0)),FALSE,TRUE))</f>
        <v>1</v>
      </c>
      <c r="G864" s="4">
        <f t="shared" si="27"/>
        <v>7.0084999999999997</v>
      </c>
      <c r="H864" s="4">
        <f t="shared" si="28"/>
        <v>-7.9405000000000001</v>
      </c>
      <c r="I864" s="20" t="str">
        <f t="array" ref="I864">IF(ISBLANK(C864),"",IF(C864=MAX(IF(FarmUnit[1. Identifiant interne d’exploitation agricole*]=A864,FarmUnit[3. Superficie de l’unité agricole (ha)*])),"!","-"))</f>
        <v>!</v>
      </c>
      <c r="J864" s="9" t="str">
        <f ca="1">IFERROR(CONCATENATE(VLOOKUP(A864,GM_Table,12,FALSE)," ",(VLOOKUP(A864,GM_Table,13,FALSE))),"")</f>
        <v/>
      </c>
    </row>
    <row r="865" spans="1:10" ht="15" x14ac:dyDescent="0.2">
      <c r="A865" s="193" t="s">
        <v>2953</v>
      </c>
      <c r="B865" s="193" t="s">
        <v>2953</v>
      </c>
      <c r="C865" s="175">
        <v>4.5599999999999996</v>
      </c>
      <c r="D865" s="271">
        <v>7.0091999999999999</v>
      </c>
      <c r="E865" s="272">
        <v>-7.9420000000000002</v>
      </c>
      <c r="F865" s="122" t="b">
        <f>IF(ISBLANK(FarmUnit[[#This Row],[1. Identifiant interne d’exploitation agricole*]]),"",IF(ISERROR(MATCH(FarmUnit[[#This Row],[1. Identifiant interne d’exploitation agricole*]],GroupMember[1. Identifiant interne d’exploitation agricole*],0)),FALSE,TRUE))</f>
        <v>1</v>
      </c>
      <c r="G865" s="4">
        <f t="shared" si="27"/>
        <v>7.0091999999999999</v>
      </c>
      <c r="H865" s="4">
        <f t="shared" si="28"/>
        <v>-7.9420000000000002</v>
      </c>
      <c r="I865" s="20" t="str">
        <f t="array" ref="I865">IF(ISBLANK(C865),"",IF(C865=MAX(IF(FarmUnit[1. Identifiant interne d’exploitation agricole*]=A865,FarmUnit[3. Superficie de l’unité agricole (ha)*])),"!","-"))</f>
        <v>!</v>
      </c>
      <c r="J865" s="9" t="str">
        <f ca="1">IFERROR(CONCATENATE(VLOOKUP(A865,GM_Table,12,FALSE)," ",(VLOOKUP(A865,GM_Table,13,FALSE))),"")</f>
        <v/>
      </c>
    </row>
    <row r="866" spans="1:10" ht="15" x14ac:dyDescent="0.2">
      <c r="A866" s="193" t="s">
        <v>2956</v>
      </c>
      <c r="B866" s="193" t="s">
        <v>2956</v>
      </c>
      <c r="C866" s="175">
        <v>3.55</v>
      </c>
      <c r="D866" s="271">
        <v>7.0301999999999998</v>
      </c>
      <c r="E866" s="272">
        <v>-7.9055999999999997</v>
      </c>
      <c r="F866" s="122" t="b">
        <f>IF(ISBLANK(FarmUnit[[#This Row],[1. Identifiant interne d’exploitation agricole*]]),"",IF(ISERROR(MATCH(FarmUnit[[#This Row],[1. Identifiant interne d’exploitation agricole*]],GroupMember[1. Identifiant interne d’exploitation agricole*],0)),FALSE,TRUE))</f>
        <v>1</v>
      </c>
      <c r="G866" s="4">
        <f t="shared" si="27"/>
        <v>7.0301999999999998</v>
      </c>
      <c r="H866" s="4">
        <f t="shared" si="28"/>
        <v>-7.9055999999999997</v>
      </c>
      <c r="I866" s="20" t="str">
        <f t="array" ref="I866">IF(ISBLANK(C866),"",IF(C866=MAX(IF(FarmUnit[1. Identifiant interne d’exploitation agricole*]=A866,FarmUnit[3. Superficie de l’unité agricole (ha)*])),"!","-"))</f>
        <v>!</v>
      </c>
      <c r="J866" s="9" t="str">
        <f ca="1">IFERROR(CONCATENATE(VLOOKUP(A866,GM_Table,12,FALSE)," ",(VLOOKUP(A866,GM_Table,13,FALSE))),"")</f>
        <v/>
      </c>
    </row>
    <row r="867" spans="1:10" ht="15" x14ac:dyDescent="0.2">
      <c r="A867" s="193" t="s">
        <v>2961</v>
      </c>
      <c r="B867" s="193" t="s">
        <v>2961</v>
      </c>
      <c r="C867" s="175">
        <v>3.21</v>
      </c>
      <c r="D867" s="271">
        <v>7.0297999999999998</v>
      </c>
      <c r="E867" s="272">
        <v>-7.8985000000000003</v>
      </c>
      <c r="F867" s="122" t="b">
        <f>IF(ISBLANK(FarmUnit[[#This Row],[1. Identifiant interne d’exploitation agricole*]]),"",IF(ISERROR(MATCH(FarmUnit[[#This Row],[1. Identifiant interne d’exploitation agricole*]],GroupMember[1. Identifiant interne d’exploitation agricole*],0)),FALSE,TRUE))</f>
        <v>1</v>
      </c>
      <c r="G867" s="4">
        <f t="shared" si="27"/>
        <v>7.0297999999999998</v>
      </c>
      <c r="H867" s="4">
        <f t="shared" si="28"/>
        <v>-7.8985000000000003</v>
      </c>
      <c r="I867" s="20" t="str">
        <f t="array" ref="I867">IF(ISBLANK(C867),"",IF(C867=MAX(IF(FarmUnit[1. Identifiant interne d’exploitation agricole*]=A867,FarmUnit[3. Superficie de l’unité agricole (ha)*])),"!","-"))</f>
        <v>!</v>
      </c>
      <c r="J867" s="9" t="str">
        <f ca="1">IFERROR(CONCATENATE(VLOOKUP(A867,GM_Table,12,FALSE)," ",(VLOOKUP(A867,GM_Table,13,FALSE))),"")</f>
        <v/>
      </c>
    </row>
    <row r="868" spans="1:10" ht="15" x14ac:dyDescent="0.2">
      <c r="A868" s="193" t="s">
        <v>2964</v>
      </c>
      <c r="B868" s="193" t="s">
        <v>2964</v>
      </c>
      <c r="C868" s="175">
        <v>2.73</v>
      </c>
      <c r="D868" s="271">
        <v>7.0888</v>
      </c>
      <c r="E868" s="272">
        <v>-7.8792</v>
      </c>
      <c r="F868" s="122" t="b">
        <f>IF(ISBLANK(FarmUnit[[#This Row],[1. Identifiant interne d’exploitation agricole*]]),"",IF(ISERROR(MATCH(FarmUnit[[#This Row],[1. Identifiant interne d’exploitation agricole*]],GroupMember[1. Identifiant interne d’exploitation agricole*],0)),FALSE,TRUE))</f>
        <v>1</v>
      </c>
      <c r="G868" s="4">
        <f t="shared" si="27"/>
        <v>7.0888</v>
      </c>
      <c r="H868" s="4">
        <f t="shared" si="28"/>
        <v>-7.8792</v>
      </c>
      <c r="I868" s="20" t="str">
        <f t="array" ref="I868">IF(ISBLANK(C868),"",IF(C868=MAX(IF(FarmUnit[1. Identifiant interne d’exploitation agricole*]=A868,FarmUnit[3. Superficie de l’unité agricole (ha)*])),"!","-"))</f>
        <v>!</v>
      </c>
      <c r="J868" s="9" t="str">
        <f ca="1">IFERROR(CONCATENATE(VLOOKUP(A868,GM_Table,12,FALSE)," ",(VLOOKUP(A868,GM_Table,13,FALSE))),"")</f>
        <v/>
      </c>
    </row>
    <row r="869" spans="1:10" ht="15" x14ac:dyDescent="0.2">
      <c r="A869" s="193" t="s">
        <v>2969</v>
      </c>
      <c r="B869" s="193" t="s">
        <v>2969</v>
      </c>
      <c r="C869" s="175">
        <v>3.55</v>
      </c>
      <c r="D869" s="271">
        <v>7.0918999999999999</v>
      </c>
      <c r="E869" s="272">
        <v>-7.883</v>
      </c>
      <c r="F869" s="122" t="b">
        <f>IF(ISBLANK(FarmUnit[[#This Row],[1. Identifiant interne d’exploitation agricole*]]),"",IF(ISERROR(MATCH(FarmUnit[[#This Row],[1. Identifiant interne d’exploitation agricole*]],GroupMember[1. Identifiant interne d’exploitation agricole*],0)),FALSE,TRUE))</f>
        <v>1</v>
      </c>
      <c r="G869" s="4">
        <f t="shared" si="27"/>
        <v>7.0918999999999999</v>
      </c>
      <c r="H869" s="4">
        <f t="shared" si="28"/>
        <v>-7.883</v>
      </c>
      <c r="I869" s="20" t="str">
        <f t="array" ref="I869">IF(ISBLANK(C869),"",IF(C869=MAX(IF(FarmUnit[1. Identifiant interne d’exploitation agricole*]=A869,FarmUnit[3. Superficie de l’unité agricole (ha)*])),"!","-"))</f>
        <v>!</v>
      </c>
      <c r="J869" s="9" t="str">
        <f ca="1">IFERROR(CONCATENATE(VLOOKUP(A869,GM_Table,12,FALSE)," ",(VLOOKUP(A869,GM_Table,13,FALSE))),"")</f>
        <v/>
      </c>
    </row>
    <row r="870" spans="1:10" ht="15" x14ac:dyDescent="0.2">
      <c r="A870" s="193" t="s">
        <v>2972</v>
      </c>
      <c r="B870" s="193" t="s">
        <v>2972</v>
      </c>
      <c r="C870" s="175">
        <v>2.7</v>
      </c>
      <c r="D870" s="271">
        <v>7.0885999999999996</v>
      </c>
      <c r="E870" s="272">
        <v>-7.8856000000000002</v>
      </c>
      <c r="F870" s="122" t="b">
        <f>IF(ISBLANK(FarmUnit[[#This Row],[1. Identifiant interne d’exploitation agricole*]]),"",IF(ISERROR(MATCH(FarmUnit[[#This Row],[1. Identifiant interne d’exploitation agricole*]],GroupMember[1. Identifiant interne d’exploitation agricole*],0)),FALSE,TRUE))</f>
        <v>1</v>
      </c>
      <c r="G870" s="4">
        <f t="shared" si="27"/>
        <v>7.0885999999999996</v>
      </c>
      <c r="H870" s="4">
        <f t="shared" si="28"/>
        <v>-7.8856000000000002</v>
      </c>
      <c r="I870" s="20" t="str">
        <f t="array" ref="I870">IF(ISBLANK(C870),"",IF(C870=MAX(IF(FarmUnit[1. Identifiant interne d’exploitation agricole*]=A870,FarmUnit[3. Superficie de l’unité agricole (ha)*])),"!","-"))</f>
        <v>!</v>
      </c>
      <c r="J870" s="9" t="str">
        <f ca="1">IFERROR(CONCATENATE(VLOOKUP(A870,GM_Table,12,FALSE)," ",(VLOOKUP(A870,GM_Table,13,FALSE))),"")</f>
        <v/>
      </c>
    </row>
    <row r="871" spans="1:10" ht="15" x14ac:dyDescent="0.2">
      <c r="A871" s="193" t="s">
        <v>2975</v>
      </c>
      <c r="B871" s="193" t="s">
        <v>2975</v>
      </c>
      <c r="C871" s="175">
        <v>3.24</v>
      </c>
      <c r="D871" s="271">
        <v>7.0898000000000003</v>
      </c>
      <c r="E871" s="272">
        <v>-7.8861999999999997</v>
      </c>
      <c r="F871" s="122" t="b">
        <f>IF(ISBLANK(FarmUnit[[#This Row],[1. Identifiant interne d’exploitation agricole*]]),"",IF(ISERROR(MATCH(FarmUnit[[#This Row],[1. Identifiant interne d’exploitation agricole*]],GroupMember[1. Identifiant interne d’exploitation agricole*],0)),FALSE,TRUE))</f>
        <v>1</v>
      </c>
      <c r="G871" s="4">
        <f t="shared" si="27"/>
        <v>7.0898000000000003</v>
      </c>
      <c r="H871" s="4">
        <f t="shared" si="28"/>
        <v>-7.8861999999999997</v>
      </c>
      <c r="I871" s="20" t="str">
        <f t="array" ref="I871">IF(ISBLANK(C871),"",IF(C871=MAX(IF(FarmUnit[1. Identifiant interne d’exploitation agricole*]=A871,FarmUnit[3. Superficie de l’unité agricole (ha)*])),"!","-"))</f>
        <v>!</v>
      </c>
      <c r="J871" s="9" t="str">
        <f ca="1">IFERROR(CONCATENATE(VLOOKUP(A871,GM_Table,12,FALSE)," ",(VLOOKUP(A871,GM_Table,13,FALSE))),"")</f>
        <v/>
      </c>
    </row>
    <row r="872" spans="1:10" ht="15" x14ac:dyDescent="0.2">
      <c r="A872" s="193" t="s">
        <v>2977</v>
      </c>
      <c r="B872" s="193" t="s">
        <v>2977</v>
      </c>
      <c r="C872" s="175">
        <v>4.29</v>
      </c>
      <c r="D872" s="271">
        <v>7.0362999999999998</v>
      </c>
      <c r="E872" s="272">
        <v>-7.891</v>
      </c>
      <c r="F872" s="122" t="b">
        <f>IF(ISBLANK(FarmUnit[[#This Row],[1. Identifiant interne d’exploitation agricole*]]),"",IF(ISERROR(MATCH(FarmUnit[[#This Row],[1. Identifiant interne d’exploitation agricole*]],GroupMember[1. Identifiant interne d’exploitation agricole*],0)),FALSE,TRUE))</f>
        <v>1</v>
      </c>
      <c r="G872" s="4">
        <f t="shared" si="27"/>
        <v>7.0362999999999998</v>
      </c>
      <c r="H872" s="4">
        <f t="shared" si="28"/>
        <v>-7.891</v>
      </c>
      <c r="I872" s="20" t="str">
        <f t="array" ref="I872">IF(ISBLANK(C872),"",IF(C872=MAX(IF(FarmUnit[1. Identifiant interne d’exploitation agricole*]=A872,FarmUnit[3. Superficie de l’unité agricole (ha)*])),"!","-"))</f>
        <v>!</v>
      </c>
      <c r="J872" s="9" t="str">
        <f ca="1">IFERROR(CONCATENATE(VLOOKUP(A872,GM_Table,12,FALSE)," ",(VLOOKUP(A872,GM_Table,13,FALSE))),"")</f>
        <v/>
      </c>
    </row>
    <row r="873" spans="1:10" ht="15" x14ac:dyDescent="0.2">
      <c r="A873" s="193" t="s">
        <v>2979</v>
      </c>
      <c r="B873" s="193" t="s">
        <v>2979</v>
      </c>
      <c r="C873" s="175">
        <v>2.5</v>
      </c>
      <c r="D873" s="271">
        <v>7.0071000000000003</v>
      </c>
      <c r="E873" s="272">
        <v>-7.8822999999999999</v>
      </c>
      <c r="F873" s="122" t="b">
        <f>IF(ISBLANK(FarmUnit[[#This Row],[1. Identifiant interne d’exploitation agricole*]]),"",IF(ISERROR(MATCH(FarmUnit[[#This Row],[1. Identifiant interne d’exploitation agricole*]],GroupMember[1. Identifiant interne d’exploitation agricole*],0)),FALSE,TRUE))</f>
        <v>1</v>
      </c>
      <c r="G873" s="4">
        <f t="shared" si="27"/>
        <v>7.0071000000000003</v>
      </c>
      <c r="H873" s="4">
        <f t="shared" si="28"/>
        <v>-7.8822999999999999</v>
      </c>
      <c r="I873" s="20" t="str">
        <f t="array" ref="I873">IF(ISBLANK(C873),"",IF(C873=MAX(IF(FarmUnit[1. Identifiant interne d’exploitation agricole*]=A873,FarmUnit[3. Superficie de l’unité agricole (ha)*])),"!","-"))</f>
        <v>!</v>
      </c>
      <c r="J873" s="9" t="str">
        <f ca="1">IFERROR(CONCATENATE(VLOOKUP(A873,GM_Table,12,FALSE)," ",(VLOOKUP(A873,GM_Table,13,FALSE))),"")</f>
        <v/>
      </c>
    </row>
    <row r="874" spans="1:10" ht="15" x14ac:dyDescent="0.2">
      <c r="A874" s="193" t="s">
        <v>2981</v>
      </c>
      <c r="B874" s="193" t="s">
        <v>2981</v>
      </c>
      <c r="C874" s="175">
        <v>2.96</v>
      </c>
      <c r="D874" s="271">
        <v>7.0477999999999996</v>
      </c>
      <c r="E874" s="272">
        <v>-7.8399000000000001</v>
      </c>
      <c r="F874" s="122" t="b">
        <f>IF(ISBLANK(FarmUnit[[#This Row],[1. Identifiant interne d’exploitation agricole*]]),"",IF(ISERROR(MATCH(FarmUnit[[#This Row],[1. Identifiant interne d’exploitation agricole*]],GroupMember[1. Identifiant interne d’exploitation agricole*],0)),FALSE,TRUE))</f>
        <v>1</v>
      </c>
      <c r="G874" s="4">
        <f t="shared" si="27"/>
        <v>7.0477999999999996</v>
      </c>
      <c r="H874" s="4">
        <f t="shared" si="28"/>
        <v>-7.8399000000000001</v>
      </c>
      <c r="I874" s="20" t="str">
        <f t="array" ref="I874">IF(ISBLANK(C874),"",IF(C874=MAX(IF(FarmUnit[1. Identifiant interne d’exploitation agricole*]=A874,FarmUnit[3. Superficie de l’unité agricole (ha)*])),"!","-"))</f>
        <v>!</v>
      </c>
      <c r="J874" s="9" t="str">
        <f ca="1">IFERROR(CONCATENATE(VLOOKUP(A874,GM_Table,12,FALSE)," ",(VLOOKUP(A874,GM_Table,13,FALSE))),"")</f>
        <v/>
      </c>
    </row>
    <row r="875" spans="1:10" ht="15" x14ac:dyDescent="0.2">
      <c r="A875" s="193" t="s">
        <v>2985</v>
      </c>
      <c r="B875" s="193" t="s">
        <v>2985</v>
      </c>
      <c r="C875" s="175">
        <v>2.92</v>
      </c>
      <c r="D875" s="271">
        <v>7.0385</v>
      </c>
      <c r="E875" s="272">
        <v>-7.8472</v>
      </c>
      <c r="F875" s="122" t="b">
        <f>IF(ISBLANK(FarmUnit[[#This Row],[1. Identifiant interne d’exploitation agricole*]]),"",IF(ISERROR(MATCH(FarmUnit[[#This Row],[1. Identifiant interne d’exploitation agricole*]],GroupMember[1. Identifiant interne d’exploitation agricole*],0)),FALSE,TRUE))</f>
        <v>1</v>
      </c>
      <c r="G875" s="4">
        <f t="shared" si="27"/>
        <v>7.0385</v>
      </c>
      <c r="H875" s="4">
        <f t="shared" si="28"/>
        <v>-7.8472</v>
      </c>
      <c r="I875" s="20" t="str">
        <f t="array" ref="I875">IF(ISBLANK(C875),"",IF(C875=MAX(IF(FarmUnit[1. Identifiant interne d’exploitation agricole*]=A875,FarmUnit[3. Superficie de l’unité agricole (ha)*])),"!","-"))</f>
        <v>!</v>
      </c>
      <c r="J875" s="9" t="str">
        <f ca="1">IFERROR(CONCATENATE(VLOOKUP(A875,GM_Table,12,FALSE)," ",(VLOOKUP(A875,GM_Table,13,FALSE))),"")</f>
        <v/>
      </c>
    </row>
    <row r="876" spans="1:10" ht="15" x14ac:dyDescent="0.2">
      <c r="A876" s="193" t="s">
        <v>2988</v>
      </c>
      <c r="B876" s="193" t="s">
        <v>2988</v>
      </c>
      <c r="C876" s="175">
        <v>6.25</v>
      </c>
      <c r="D876" s="271">
        <v>7.0373999999999999</v>
      </c>
      <c r="E876" s="272">
        <v>-7.8464999999999998</v>
      </c>
      <c r="F876" s="122" t="b">
        <f>IF(ISBLANK(FarmUnit[[#This Row],[1. Identifiant interne d’exploitation agricole*]]),"",IF(ISERROR(MATCH(FarmUnit[[#This Row],[1. Identifiant interne d’exploitation agricole*]],GroupMember[1. Identifiant interne d’exploitation agricole*],0)),FALSE,TRUE))</f>
        <v>1</v>
      </c>
      <c r="G876" s="4">
        <f t="shared" si="27"/>
        <v>7.0373999999999999</v>
      </c>
      <c r="H876" s="4">
        <f t="shared" si="28"/>
        <v>-7.8464999999999998</v>
      </c>
      <c r="I876" s="20" t="str">
        <f t="array" ref="I876">IF(ISBLANK(C876),"",IF(C876=MAX(IF(FarmUnit[1. Identifiant interne d’exploitation agricole*]=A876,FarmUnit[3. Superficie de l’unité agricole (ha)*])),"!","-"))</f>
        <v>!</v>
      </c>
      <c r="J876" s="9" t="str">
        <f ca="1">IFERROR(CONCATENATE(VLOOKUP(A876,GM_Table,12,FALSE)," ",(VLOOKUP(A876,GM_Table,13,FALSE))),"")</f>
        <v/>
      </c>
    </row>
    <row r="877" spans="1:10" ht="15" x14ac:dyDescent="0.2">
      <c r="A877" s="193" t="s">
        <v>2992</v>
      </c>
      <c r="B877" s="193" t="s">
        <v>2992</v>
      </c>
      <c r="C877" s="175">
        <v>6.83</v>
      </c>
      <c r="D877" s="271">
        <v>7.0366</v>
      </c>
      <c r="E877" s="272">
        <v>-7.8457999999999997</v>
      </c>
      <c r="F877" s="122" t="b">
        <f>IF(ISBLANK(FarmUnit[[#This Row],[1. Identifiant interne d’exploitation agricole*]]),"",IF(ISERROR(MATCH(FarmUnit[[#This Row],[1. Identifiant interne d’exploitation agricole*]],GroupMember[1. Identifiant interne d’exploitation agricole*],0)),FALSE,TRUE))</f>
        <v>1</v>
      </c>
      <c r="G877" s="4">
        <f t="shared" si="27"/>
        <v>7.0366</v>
      </c>
      <c r="H877" s="4">
        <f t="shared" si="28"/>
        <v>-7.8457999999999997</v>
      </c>
      <c r="I877" s="20" t="str">
        <f t="array" ref="I877">IF(ISBLANK(C877),"",IF(C877=MAX(IF(FarmUnit[1. Identifiant interne d’exploitation agricole*]=A877,FarmUnit[3. Superficie de l’unité agricole (ha)*])),"!","-"))</f>
        <v>!</v>
      </c>
      <c r="J877" s="9" t="str">
        <f ca="1">IFERROR(CONCATENATE(VLOOKUP(A877,GM_Table,12,FALSE)," ",(VLOOKUP(A877,GM_Table,13,FALSE))),"")</f>
        <v/>
      </c>
    </row>
    <row r="878" spans="1:10" ht="15" x14ac:dyDescent="0.2">
      <c r="A878" s="193" t="s">
        <v>2995</v>
      </c>
      <c r="B878" s="193" t="s">
        <v>2995</v>
      </c>
      <c r="C878" s="175">
        <v>7.93</v>
      </c>
      <c r="D878" s="271">
        <v>7.0151000000000003</v>
      </c>
      <c r="E878" s="272">
        <v>-7.84</v>
      </c>
      <c r="F878" s="122" t="b">
        <f>IF(ISBLANK(FarmUnit[[#This Row],[1. Identifiant interne d’exploitation agricole*]]),"",IF(ISERROR(MATCH(FarmUnit[[#This Row],[1. Identifiant interne d’exploitation agricole*]],GroupMember[1. Identifiant interne d’exploitation agricole*],0)),FALSE,TRUE))</f>
        <v>1</v>
      </c>
      <c r="G878" s="4">
        <f t="shared" si="27"/>
        <v>7.0151000000000003</v>
      </c>
      <c r="H878" s="4">
        <f t="shared" si="28"/>
        <v>-7.84</v>
      </c>
      <c r="I878" s="20" t="str">
        <f t="array" ref="I878">IF(ISBLANK(C878),"",IF(C878=MAX(IF(FarmUnit[1. Identifiant interne d’exploitation agricole*]=A878,FarmUnit[3. Superficie de l’unité agricole (ha)*])),"!","-"))</f>
        <v>!</v>
      </c>
      <c r="J878" s="9" t="str">
        <f ca="1">IFERROR(CONCATENATE(VLOOKUP(A878,GM_Table,12,FALSE)," ",(VLOOKUP(A878,GM_Table,13,FALSE))),"")</f>
        <v/>
      </c>
    </row>
    <row r="879" spans="1:10" ht="15" x14ac:dyDescent="0.2">
      <c r="A879" s="193" t="s">
        <v>2999</v>
      </c>
      <c r="B879" s="193" t="s">
        <v>2999</v>
      </c>
      <c r="C879" s="175">
        <v>2.14</v>
      </c>
      <c r="D879" s="271">
        <v>7.0301</v>
      </c>
      <c r="E879" s="272">
        <v>-7.9256000000000002</v>
      </c>
      <c r="F879" s="122" t="b">
        <f>IF(ISBLANK(FarmUnit[[#This Row],[1. Identifiant interne d’exploitation agricole*]]),"",IF(ISERROR(MATCH(FarmUnit[[#This Row],[1. Identifiant interne d’exploitation agricole*]],GroupMember[1. Identifiant interne d’exploitation agricole*],0)),FALSE,TRUE))</f>
        <v>1</v>
      </c>
      <c r="G879" s="4">
        <f t="shared" si="27"/>
        <v>7.0301</v>
      </c>
      <c r="H879" s="4">
        <f t="shared" si="28"/>
        <v>-7.9256000000000002</v>
      </c>
      <c r="I879" s="20" t="str">
        <f t="array" ref="I879">IF(ISBLANK(C879),"",IF(C879=MAX(IF(FarmUnit[1. Identifiant interne d’exploitation agricole*]=A879,FarmUnit[3. Superficie de l’unité agricole (ha)*])),"!","-"))</f>
        <v>!</v>
      </c>
      <c r="J879" s="9" t="str">
        <f ca="1">IFERROR(CONCATENATE(VLOOKUP(A879,GM_Table,12,FALSE)," ",(VLOOKUP(A879,GM_Table,13,FALSE))),"")</f>
        <v/>
      </c>
    </row>
    <row r="880" spans="1:10" ht="15" x14ac:dyDescent="0.2">
      <c r="A880" s="193" t="s">
        <v>3002</v>
      </c>
      <c r="B880" s="193" t="s">
        <v>3002</v>
      </c>
      <c r="C880" s="175">
        <v>4.7</v>
      </c>
      <c r="D880" s="271">
        <v>7.0342000000000002</v>
      </c>
      <c r="E880" s="272">
        <v>-7.9279000000000002</v>
      </c>
      <c r="F880" s="122" t="b">
        <f>IF(ISBLANK(FarmUnit[[#This Row],[1. Identifiant interne d’exploitation agricole*]]),"",IF(ISERROR(MATCH(FarmUnit[[#This Row],[1. Identifiant interne d’exploitation agricole*]],GroupMember[1. Identifiant interne d’exploitation agricole*],0)),FALSE,TRUE))</f>
        <v>1</v>
      </c>
      <c r="G880" s="4">
        <f t="shared" si="27"/>
        <v>7.0342000000000002</v>
      </c>
      <c r="H880" s="4">
        <f t="shared" si="28"/>
        <v>-7.9279000000000002</v>
      </c>
      <c r="I880" s="20" t="str">
        <f t="array" ref="I880">IF(ISBLANK(C880),"",IF(C880=MAX(IF(FarmUnit[1. Identifiant interne d’exploitation agricole*]=A880,FarmUnit[3. Superficie de l’unité agricole (ha)*])),"!","-"))</f>
        <v>!</v>
      </c>
      <c r="J880" s="9" t="str">
        <f ca="1">IFERROR(CONCATENATE(VLOOKUP(A880,GM_Table,12,FALSE)," ",(VLOOKUP(A880,GM_Table,13,FALSE))),"")</f>
        <v/>
      </c>
    </row>
    <row r="881" spans="1:10" ht="15" x14ac:dyDescent="0.2">
      <c r="A881" s="193" t="s">
        <v>3004</v>
      </c>
      <c r="B881" s="193" t="s">
        <v>3004</v>
      </c>
      <c r="C881" s="175">
        <v>5.83</v>
      </c>
      <c r="D881" s="271">
        <v>7.0339999999999998</v>
      </c>
      <c r="E881" s="272">
        <v>-7.9390000000000001</v>
      </c>
      <c r="F881" s="122" t="b">
        <f>IF(ISBLANK(FarmUnit[[#This Row],[1. Identifiant interne d’exploitation agricole*]]),"",IF(ISERROR(MATCH(FarmUnit[[#This Row],[1. Identifiant interne d’exploitation agricole*]],GroupMember[1. Identifiant interne d’exploitation agricole*],0)),FALSE,TRUE))</f>
        <v>1</v>
      </c>
      <c r="G881" s="4">
        <f t="shared" si="27"/>
        <v>7.0339999999999998</v>
      </c>
      <c r="H881" s="4">
        <f t="shared" si="28"/>
        <v>-7.9390000000000001</v>
      </c>
      <c r="I881" s="20" t="str">
        <f t="array" ref="I881">IF(ISBLANK(C881),"",IF(C881=MAX(IF(FarmUnit[1. Identifiant interne d’exploitation agricole*]=A881,FarmUnit[3. Superficie de l’unité agricole (ha)*])),"!","-"))</f>
        <v>!</v>
      </c>
      <c r="J881" s="9" t="str">
        <f ca="1">IFERROR(CONCATENATE(VLOOKUP(A881,GM_Table,12,FALSE)," ",(VLOOKUP(A881,GM_Table,13,FALSE))),"")</f>
        <v/>
      </c>
    </row>
    <row r="882" spans="1:10" ht="15" x14ac:dyDescent="0.2">
      <c r="A882" s="193" t="s">
        <v>3007</v>
      </c>
      <c r="B882" s="193" t="s">
        <v>3007</v>
      </c>
      <c r="C882" s="175">
        <v>2.62</v>
      </c>
      <c r="D882" s="271">
        <v>7.0492999999999997</v>
      </c>
      <c r="E882" s="272">
        <v>-7.8685999999999998</v>
      </c>
      <c r="F882" s="122" t="b">
        <f>IF(ISBLANK(FarmUnit[[#This Row],[1. Identifiant interne d’exploitation agricole*]]),"",IF(ISERROR(MATCH(FarmUnit[[#This Row],[1. Identifiant interne d’exploitation agricole*]],GroupMember[1. Identifiant interne d’exploitation agricole*],0)),FALSE,TRUE))</f>
        <v>1</v>
      </c>
      <c r="G882" s="4">
        <f t="shared" si="27"/>
        <v>7.0492999999999997</v>
      </c>
      <c r="H882" s="4">
        <f t="shared" si="28"/>
        <v>-7.8685999999999998</v>
      </c>
      <c r="I882" s="20" t="str">
        <f t="array" ref="I882">IF(ISBLANK(C882),"",IF(C882=MAX(IF(FarmUnit[1. Identifiant interne d’exploitation agricole*]=A882,FarmUnit[3. Superficie de l’unité agricole (ha)*])),"!","-"))</f>
        <v>!</v>
      </c>
      <c r="J882" s="9" t="str">
        <f ca="1">IFERROR(CONCATENATE(VLOOKUP(A882,GM_Table,12,FALSE)," ",(VLOOKUP(A882,GM_Table,13,FALSE))),"")</f>
        <v/>
      </c>
    </row>
    <row r="883" spans="1:10" ht="15" x14ac:dyDescent="0.2">
      <c r="A883" s="193" t="s">
        <v>3010</v>
      </c>
      <c r="B883" s="193" t="s">
        <v>3010</v>
      </c>
      <c r="C883" s="175">
        <v>2.17</v>
      </c>
      <c r="D883" s="271">
        <v>7.0553999999999997</v>
      </c>
      <c r="E883" s="272">
        <v>-7.8181000000000003</v>
      </c>
      <c r="F883" s="122" t="b">
        <f>IF(ISBLANK(FarmUnit[[#This Row],[1. Identifiant interne d’exploitation agricole*]]),"",IF(ISERROR(MATCH(FarmUnit[[#This Row],[1. Identifiant interne d’exploitation agricole*]],GroupMember[1. Identifiant interne d’exploitation agricole*],0)),FALSE,TRUE))</f>
        <v>1</v>
      </c>
      <c r="G883" s="4">
        <f t="shared" ref="G883:G946" si="29">IF(D883=0,"",D883)</f>
        <v>7.0553999999999997</v>
      </c>
      <c r="H883" s="4">
        <f t="shared" ref="H883:H946" si="30">IF(E883=0,"",E883)</f>
        <v>-7.8181000000000003</v>
      </c>
      <c r="I883" s="20" t="str">
        <f t="array" ref="I883">IF(ISBLANK(C883),"",IF(C883=MAX(IF(FarmUnit[1. Identifiant interne d’exploitation agricole*]=A883,FarmUnit[3. Superficie de l’unité agricole (ha)*])),"!","-"))</f>
        <v>!</v>
      </c>
      <c r="J883" s="9" t="str">
        <f ca="1">IFERROR(CONCATENATE(VLOOKUP(A883,GM_Table,12,FALSE)," ",(VLOOKUP(A883,GM_Table,13,FALSE))),"")</f>
        <v/>
      </c>
    </row>
    <row r="884" spans="1:10" ht="15" x14ac:dyDescent="0.2">
      <c r="A884" s="193" t="s">
        <v>3014</v>
      </c>
      <c r="B884" s="193" t="s">
        <v>3014</v>
      </c>
      <c r="C884" s="175">
        <v>1.1499999999999999</v>
      </c>
      <c r="D884" s="271">
        <v>7.0564999999999998</v>
      </c>
      <c r="E884" s="272">
        <v>-7.8266</v>
      </c>
      <c r="F884" s="122" t="b">
        <f>IF(ISBLANK(FarmUnit[[#This Row],[1. Identifiant interne d’exploitation agricole*]]),"",IF(ISERROR(MATCH(FarmUnit[[#This Row],[1. Identifiant interne d’exploitation agricole*]],GroupMember[1. Identifiant interne d’exploitation agricole*],0)),FALSE,TRUE))</f>
        <v>1</v>
      </c>
      <c r="G884" s="4">
        <f t="shared" si="29"/>
        <v>7.0564999999999998</v>
      </c>
      <c r="H884" s="4">
        <f t="shared" si="30"/>
        <v>-7.8266</v>
      </c>
      <c r="I884" s="20" t="str">
        <f t="array" ref="I884">IF(ISBLANK(C884),"",IF(C884=MAX(IF(FarmUnit[1. Identifiant interne d’exploitation agricole*]=A884,FarmUnit[3. Superficie de l’unité agricole (ha)*])),"!","-"))</f>
        <v>!</v>
      </c>
      <c r="J884" s="9" t="str">
        <f ca="1">IFERROR(CONCATENATE(VLOOKUP(A884,GM_Table,12,FALSE)," ",(VLOOKUP(A884,GM_Table,13,FALSE))),"")</f>
        <v/>
      </c>
    </row>
    <row r="885" spans="1:10" ht="15" x14ac:dyDescent="0.2">
      <c r="A885" s="193" t="s">
        <v>3016</v>
      </c>
      <c r="B885" s="193" t="s">
        <v>3016</v>
      </c>
      <c r="C885" s="175">
        <v>1.79</v>
      </c>
      <c r="D885" s="271">
        <v>7.0509000000000004</v>
      </c>
      <c r="E885" s="272">
        <v>-7.8159000000000001</v>
      </c>
      <c r="F885" s="122" t="b">
        <f>IF(ISBLANK(FarmUnit[[#This Row],[1. Identifiant interne d’exploitation agricole*]]),"",IF(ISERROR(MATCH(FarmUnit[[#This Row],[1. Identifiant interne d’exploitation agricole*]],GroupMember[1. Identifiant interne d’exploitation agricole*],0)),FALSE,TRUE))</f>
        <v>1</v>
      </c>
      <c r="G885" s="4">
        <f t="shared" si="29"/>
        <v>7.0509000000000004</v>
      </c>
      <c r="H885" s="4">
        <f t="shared" si="30"/>
        <v>-7.8159000000000001</v>
      </c>
      <c r="I885" s="20" t="str">
        <f t="array" ref="I885">IF(ISBLANK(C885),"",IF(C885=MAX(IF(FarmUnit[1. Identifiant interne d’exploitation agricole*]=A885,FarmUnit[3. Superficie de l’unité agricole (ha)*])),"!","-"))</f>
        <v>!</v>
      </c>
      <c r="J885" s="9" t="str">
        <f ca="1">IFERROR(CONCATENATE(VLOOKUP(A885,GM_Table,12,FALSE)," ",(VLOOKUP(A885,GM_Table,13,FALSE))),"")</f>
        <v/>
      </c>
    </row>
    <row r="886" spans="1:10" ht="15" x14ac:dyDescent="0.2">
      <c r="A886" s="193" t="s">
        <v>3018</v>
      </c>
      <c r="B886" s="193" t="s">
        <v>3018</v>
      </c>
      <c r="C886" s="175">
        <v>3</v>
      </c>
      <c r="D886" s="271">
        <v>7.0464000000000002</v>
      </c>
      <c r="E886" s="272">
        <v>-7.8108000000000004</v>
      </c>
      <c r="F886" s="122" t="b">
        <f>IF(ISBLANK(FarmUnit[[#This Row],[1. Identifiant interne d’exploitation agricole*]]),"",IF(ISERROR(MATCH(FarmUnit[[#This Row],[1. Identifiant interne d’exploitation agricole*]],GroupMember[1. Identifiant interne d’exploitation agricole*],0)),FALSE,TRUE))</f>
        <v>1</v>
      </c>
      <c r="G886" s="4">
        <f t="shared" si="29"/>
        <v>7.0464000000000002</v>
      </c>
      <c r="H886" s="4">
        <f t="shared" si="30"/>
        <v>-7.8108000000000004</v>
      </c>
      <c r="I886" s="20" t="str">
        <f t="array" ref="I886">IF(ISBLANK(C886),"",IF(C886=MAX(IF(FarmUnit[1. Identifiant interne d’exploitation agricole*]=A886,FarmUnit[3. Superficie de l’unité agricole (ha)*])),"!","-"))</f>
        <v>!</v>
      </c>
      <c r="J886" s="9" t="str">
        <f ca="1">IFERROR(CONCATENATE(VLOOKUP(A886,GM_Table,12,FALSE)," ",(VLOOKUP(A886,GM_Table,13,FALSE))),"")</f>
        <v/>
      </c>
    </row>
    <row r="887" spans="1:10" ht="15" x14ac:dyDescent="0.2">
      <c r="A887" s="193" t="s">
        <v>3020</v>
      </c>
      <c r="B887" s="193" t="s">
        <v>3020</v>
      </c>
      <c r="C887" s="175">
        <v>2.09</v>
      </c>
      <c r="D887" s="271">
        <v>6.9606000000000003</v>
      </c>
      <c r="E887" s="272">
        <v>-7.8422999999999998</v>
      </c>
      <c r="F887" s="122" t="b">
        <f>IF(ISBLANK(FarmUnit[[#This Row],[1. Identifiant interne d’exploitation agricole*]]),"",IF(ISERROR(MATCH(FarmUnit[[#This Row],[1. Identifiant interne d’exploitation agricole*]],GroupMember[1. Identifiant interne d’exploitation agricole*],0)),FALSE,TRUE))</f>
        <v>1</v>
      </c>
      <c r="G887" s="4">
        <f t="shared" si="29"/>
        <v>6.9606000000000003</v>
      </c>
      <c r="H887" s="4">
        <f t="shared" si="30"/>
        <v>-7.8422999999999998</v>
      </c>
      <c r="I887" s="20" t="str">
        <f t="array" ref="I887">IF(ISBLANK(C887),"",IF(C887=MAX(IF(FarmUnit[1. Identifiant interne d’exploitation agricole*]=A887,FarmUnit[3. Superficie de l’unité agricole (ha)*])),"!","-"))</f>
        <v>!</v>
      </c>
      <c r="J887" s="9" t="str">
        <f ca="1">IFERROR(CONCATENATE(VLOOKUP(A887,GM_Table,12,FALSE)," ",(VLOOKUP(A887,GM_Table,13,FALSE))),"")</f>
        <v/>
      </c>
    </row>
    <row r="888" spans="1:10" ht="15" x14ac:dyDescent="0.2">
      <c r="A888" s="193" t="s">
        <v>3024</v>
      </c>
      <c r="B888" s="193" t="s">
        <v>3024</v>
      </c>
      <c r="C888" s="175">
        <v>4.09</v>
      </c>
      <c r="D888" s="271">
        <v>7.0411999999999999</v>
      </c>
      <c r="E888" s="272">
        <v>-7.9249999999999998</v>
      </c>
      <c r="F888" s="122" t="b">
        <f>IF(ISBLANK(FarmUnit[[#This Row],[1. Identifiant interne d’exploitation agricole*]]),"",IF(ISERROR(MATCH(FarmUnit[[#This Row],[1. Identifiant interne d’exploitation agricole*]],GroupMember[1. Identifiant interne d’exploitation agricole*],0)),FALSE,TRUE))</f>
        <v>1</v>
      </c>
      <c r="G888" s="4">
        <f t="shared" si="29"/>
        <v>7.0411999999999999</v>
      </c>
      <c r="H888" s="4">
        <f t="shared" si="30"/>
        <v>-7.9249999999999998</v>
      </c>
      <c r="I888" s="20" t="str">
        <f t="array" ref="I888">IF(ISBLANK(C888),"",IF(C888=MAX(IF(FarmUnit[1. Identifiant interne d’exploitation agricole*]=A888,FarmUnit[3. Superficie de l’unité agricole (ha)*])),"!","-"))</f>
        <v>!</v>
      </c>
      <c r="J888" s="9" t="str">
        <f ca="1">IFERROR(CONCATENATE(VLOOKUP(A888,GM_Table,12,FALSE)," ",(VLOOKUP(A888,GM_Table,13,FALSE))),"")</f>
        <v/>
      </c>
    </row>
    <row r="889" spans="1:10" ht="15" x14ac:dyDescent="0.2">
      <c r="A889" s="193" t="s">
        <v>3028</v>
      </c>
      <c r="B889" s="193" t="s">
        <v>3028</v>
      </c>
      <c r="C889" s="175">
        <v>2.63</v>
      </c>
      <c r="D889" s="271">
        <v>7.0416999999999996</v>
      </c>
      <c r="E889" s="272">
        <v>-7.9101999999999997</v>
      </c>
      <c r="F889" s="122" t="b">
        <f>IF(ISBLANK(FarmUnit[[#This Row],[1. Identifiant interne d’exploitation agricole*]]),"",IF(ISERROR(MATCH(FarmUnit[[#This Row],[1. Identifiant interne d’exploitation agricole*]],GroupMember[1. Identifiant interne d’exploitation agricole*],0)),FALSE,TRUE))</f>
        <v>1</v>
      </c>
      <c r="G889" s="4">
        <f t="shared" si="29"/>
        <v>7.0416999999999996</v>
      </c>
      <c r="H889" s="4">
        <f t="shared" si="30"/>
        <v>-7.9101999999999997</v>
      </c>
      <c r="I889" s="20" t="str">
        <f t="array" ref="I889">IF(ISBLANK(C889),"",IF(C889=MAX(IF(FarmUnit[1. Identifiant interne d’exploitation agricole*]=A889,FarmUnit[3. Superficie de l’unité agricole (ha)*])),"!","-"))</f>
        <v>!</v>
      </c>
      <c r="J889" s="9" t="str">
        <f ca="1">IFERROR(CONCATENATE(VLOOKUP(A889,GM_Table,12,FALSE)," ",(VLOOKUP(A889,GM_Table,13,FALSE))),"")</f>
        <v/>
      </c>
    </row>
    <row r="890" spans="1:10" ht="15" x14ac:dyDescent="0.2">
      <c r="A890" s="193" t="s">
        <v>3032</v>
      </c>
      <c r="B890" s="193" t="s">
        <v>3032</v>
      </c>
      <c r="C890" s="175">
        <v>2.7</v>
      </c>
      <c r="D890" s="271">
        <v>6.9470499999999999</v>
      </c>
      <c r="E890" s="272">
        <v>-7.8383399999999996</v>
      </c>
      <c r="F890" s="122" t="b">
        <f>IF(ISBLANK(FarmUnit[[#This Row],[1. Identifiant interne d’exploitation agricole*]]),"",IF(ISERROR(MATCH(FarmUnit[[#This Row],[1. Identifiant interne d’exploitation agricole*]],GroupMember[1. Identifiant interne d’exploitation agricole*],0)),FALSE,TRUE))</f>
        <v>1</v>
      </c>
      <c r="G890" s="4">
        <f t="shared" si="29"/>
        <v>6.9470499999999999</v>
      </c>
      <c r="H890" s="4">
        <f t="shared" si="30"/>
        <v>-7.8383399999999996</v>
      </c>
      <c r="I890" s="20" t="str">
        <f t="array" ref="I890">IF(ISBLANK(C890),"",IF(C890=MAX(IF(FarmUnit[1. Identifiant interne d’exploitation agricole*]=A890,FarmUnit[3. Superficie de l’unité agricole (ha)*])),"!","-"))</f>
        <v>!</v>
      </c>
      <c r="J890" s="9" t="str">
        <f ca="1">IFERROR(CONCATENATE(VLOOKUP(A890,GM_Table,12,FALSE)," ",(VLOOKUP(A890,GM_Table,13,FALSE))),"")</f>
        <v/>
      </c>
    </row>
    <row r="891" spans="1:10" ht="15" x14ac:dyDescent="0.2">
      <c r="A891" s="193" t="s">
        <v>3036</v>
      </c>
      <c r="B891" s="193" t="s">
        <v>3036</v>
      </c>
      <c r="C891" s="175">
        <v>6.21</v>
      </c>
      <c r="D891" s="271">
        <v>6.93337</v>
      </c>
      <c r="E891" s="272">
        <v>-7.8379300000000001</v>
      </c>
      <c r="F891" s="122" t="b">
        <f>IF(ISBLANK(FarmUnit[[#This Row],[1. Identifiant interne d’exploitation agricole*]]),"",IF(ISERROR(MATCH(FarmUnit[[#This Row],[1. Identifiant interne d’exploitation agricole*]],GroupMember[1. Identifiant interne d’exploitation agricole*],0)),FALSE,TRUE))</f>
        <v>1</v>
      </c>
      <c r="G891" s="4">
        <f t="shared" si="29"/>
        <v>6.93337</v>
      </c>
      <c r="H891" s="4">
        <f t="shared" si="30"/>
        <v>-7.8379300000000001</v>
      </c>
      <c r="I891" s="20" t="str">
        <f t="array" ref="I891">IF(ISBLANK(C891),"",IF(C891=MAX(IF(FarmUnit[1. Identifiant interne d’exploitation agricole*]=A891,FarmUnit[3. Superficie de l’unité agricole (ha)*])),"!","-"))</f>
        <v>!</v>
      </c>
      <c r="J891" s="9" t="str">
        <f ca="1">IFERROR(CONCATENATE(VLOOKUP(A891,GM_Table,12,FALSE)," ",(VLOOKUP(A891,GM_Table,13,FALSE))),"")</f>
        <v/>
      </c>
    </row>
    <row r="892" spans="1:10" ht="15" x14ac:dyDescent="0.2">
      <c r="A892" s="193" t="s">
        <v>3038</v>
      </c>
      <c r="B892" s="193" t="s">
        <v>3038</v>
      </c>
      <c r="C892" s="175">
        <v>1.77</v>
      </c>
      <c r="D892" s="271">
        <v>6.94095</v>
      </c>
      <c r="E892" s="272">
        <v>-7.8351100000000002</v>
      </c>
      <c r="F892" s="122" t="b">
        <f>IF(ISBLANK(FarmUnit[[#This Row],[1. Identifiant interne d’exploitation agricole*]]),"",IF(ISERROR(MATCH(FarmUnit[[#This Row],[1. Identifiant interne d’exploitation agricole*]],GroupMember[1. Identifiant interne d’exploitation agricole*],0)),FALSE,TRUE))</f>
        <v>1</v>
      </c>
      <c r="G892" s="4">
        <f t="shared" si="29"/>
        <v>6.94095</v>
      </c>
      <c r="H892" s="4">
        <f t="shared" si="30"/>
        <v>-7.8351100000000002</v>
      </c>
      <c r="I892" s="20" t="str">
        <f t="array" ref="I892">IF(ISBLANK(C892),"",IF(C892=MAX(IF(FarmUnit[1. Identifiant interne d’exploitation agricole*]=A892,FarmUnit[3. Superficie de l’unité agricole (ha)*])),"!","-"))</f>
        <v>!</v>
      </c>
      <c r="J892" s="9" t="str">
        <f ca="1">IFERROR(CONCATENATE(VLOOKUP(A892,GM_Table,12,FALSE)," ",(VLOOKUP(A892,GM_Table,13,FALSE))),"")</f>
        <v/>
      </c>
    </row>
    <row r="893" spans="1:10" ht="15" x14ac:dyDescent="0.2">
      <c r="A893" s="193" t="s">
        <v>3040</v>
      </c>
      <c r="B893" s="193" t="s">
        <v>3040</v>
      </c>
      <c r="C893" s="175">
        <v>3.0478999999999998</v>
      </c>
      <c r="D893" s="271">
        <v>7.0391500000000002</v>
      </c>
      <c r="E893" s="272">
        <v>-7.9070099999999996</v>
      </c>
      <c r="F893" s="122" t="b">
        <f>IF(ISBLANK(FarmUnit[[#This Row],[1. Identifiant interne d’exploitation agricole*]]),"",IF(ISERROR(MATCH(FarmUnit[[#This Row],[1. Identifiant interne d’exploitation agricole*]],GroupMember[1. Identifiant interne d’exploitation agricole*],0)),FALSE,TRUE))</f>
        <v>1</v>
      </c>
      <c r="G893" s="4">
        <f t="shared" si="29"/>
        <v>7.0391500000000002</v>
      </c>
      <c r="H893" s="4">
        <f t="shared" si="30"/>
        <v>-7.9070099999999996</v>
      </c>
      <c r="I893" s="20" t="str">
        <f t="array" ref="I893">IF(ISBLANK(C893),"",IF(C893=MAX(IF(FarmUnit[1. Identifiant interne d’exploitation agricole*]=A893,FarmUnit[3. Superficie de l’unité agricole (ha)*])),"!","-"))</f>
        <v>!</v>
      </c>
      <c r="J893" s="9" t="str">
        <f ca="1">IFERROR(CONCATENATE(VLOOKUP(A893,GM_Table,12,FALSE)," ",(VLOOKUP(A893,GM_Table,13,FALSE))),"")</f>
        <v/>
      </c>
    </row>
    <row r="894" spans="1:10" ht="15" x14ac:dyDescent="0.2">
      <c r="A894" s="193" t="s">
        <v>3042</v>
      </c>
      <c r="B894" s="193" t="s">
        <v>3042</v>
      </c>
      <c r="C894" s="175">
        <v>1.79</v>
      </c>
      <c r="D894" s="271">
        <v>7.0329100000000002</v>
      </c>
      <c r="E894" s="272">
        <v>-7.9060800000000002</v>
      </c>
      <c r="F894" s="122" t="b">
        <f>IF(ISBLANK(FarmUnit[[#This Row],[1. Identifiant interne d’exploitation agricole*]]),"",IF(ISERROR(MATCH(FarmUnit[[#This Row],[1. Identifiant interne d’exploitation agricole*]],GroupMember[1. Identifiant interne d’exploitation agricole*],0)),FALSE,TRUE))</f>
        <v>1</v>
      </c>
      <c r="G894" s="4">
        <f t="shared" si="29"/>
        <v>7.0329100000000002</v>
      </c>
      <c r="H894" s="4">
        <f t="shared" si="30"/>
        <v>-7.9060800000000002</v>
      </c>
      <c r="I894" s="20" t="str">
        <f t="array" ref="I894">IF(ISBLANK(C894),"",IF(C894=MAX(IF(FarmUnit[1. Identifiant interne d’exploitation agricole*]=A894,FarmUnit[3. Superficie de l’unité agricole (ha)*])),"!","-"))</f>
        <v>!</v>
      </c>
      <c r="J894" s="9" t="str">
        <f ca="1">IFERROR(CONCATENATE(VLOOKUP(A894,GM_Table,12,FALSE)," ",(VLOOKUP(A894,GM_Table,13,FALSE))),"")</f>
        <v/>
      </c>
    </row>
    <row r="895" spans="1:10" ht="15" x14ac:dyDescent="0.2">
      <c r="A895" s="193" t="s">
        <v>3044</v>
      </c>
      <c r="B895" s="193" t="s">
        <v>3044</v>
      </c>
      <c r="C895" s="175">
        <v>3.2</v>
      </c>
      <c r="D895" s="271">
        <v>6.9923999999999999</v>
      </c>
      <c r="E895" s="272">
        <v>-7.9471400000000001</v>
      </c>
      <c r="F895" s="122" t="b">
        <f>IF(ISBLANK(FarmUnit[[#This Row],[1. Identifiant interne d’exploitation agricole*]]),"",IF(ISERROR(MATCH(FarmUnit[[#This Row],[1. Identifiant interne d’exploitation agricole*]],GroupMember[1. Identifiant interne d’exploitation agricole*],0)),FALSE,TRUE))</f>
        <v>1</v>
      </c>
      <c r="G895" s="4">
        <f t="shared" si="29"/>
        <v>6.9923999999999999</v>
      </c>
      <c r="H895" s="4">
        <f t="shared" si="30"/>
        <v>-7.9471400000000001</v>
      </c>
      <c r="I895" s="20" t="str">
        <f t="array" ref="I895">IF(ISBLANK(C895),"",IF(C895=MAX(IF(FarmUnit[1. Identifiant interne d’exploitation agricole*]=A895,FarmUnit[3. Superficie de l’unité agricole (ha)*])),"!","-"))</f>
        <v>!</v>
      </c>
      <c r="J895" s="9" t="str">
        <f ca="1">IFERROR(CONCATENATE(VLOOKUP(A895,GM_Table,12,FALSE)," ",(VLOOKUP(A895,GM_Table,13,FALSE))),"")</f>
        <v/>
      </c>
    </row>
    <row r="896" spans="1:10" ht="15" x14ac:dyDescent="0.2">
      <c r="A896" s="193" t="s">
        <v>3049</v>
      </c>
      <c r="B896" s="193" t="s">
        <v>3049</v>
      </c>
      <c r="C896" s="175">
        <v>4.29</v>
      </c>
      <c r="D896" s="271">
        <v>6.9866599999999996</v>
      </c>
      <c r="E896" s="272">
        <v>-7.94245</v>
      </c>
      <c r="F896" s="122" t="b">
        <f>IF(ISBLANK(FarmUnit[[#This Row],[1. Identifiant interne d’exploitation agricole*]]),"",IF(ISERROR(MATCH(FarmUnit[[#This Row],[1. Identifiant interne d’exploitation agricole*]],GroupMember[1. Identifiant interne d’exploitation agricole*],0)),FALSE,TRUE))</f>
        <v>1</v>
      </c>
      <c r="G896" s="4">
        <f t="shared" si="29"/>
        <v>6.9866599999999996</v>
      </c>
      <c r="H896" s="4">
        <f t="shared" si="30"/>
        <v>-7.94245</v>
      </c>
      <c r="I896" s="20" t="str">
        <f t="array" ref="I896">IF(ISBLANK(C896),"",IF(C896=MAX(IF(FarmUnit[1. Identifiant interne d’exploitation agricole*]=A896,FarmUnit[3. Superficie de l’unité agricole (ha)*])),"!","-"))</f>
        <v>!</v>
      </c>
      <c r="J896" s="9" t="str">
        <f ca="1">IFERROR(CONCATENATE(VLOOKUP(A896,GM_Table,12,FALSE)," ",(VLOOKUP(A896,GM_Table,13,FALSE))),"")</f>
        <v/>
      </c>
    </row>
    <row r="897" spans="1:10" ht="15" x14ac:dyDescent="0.2">
      <c r="A897" s="193" t="s">
        <v>3052</v>
      </c>
      <c r="B897" s="193" t="s">
        <v>3052</v>
      </c>
      <c r="C897" s="175">
        <v>4.88</v>
      </c>
      <c r="D897" s="271">
        <v>6.9937300000000002</v>
      </c>
      <c r="E897" s="272">
        <v>-7.9436400000000003</v>
      </c>
      <c r="F897" s="122" t="b">
        <f>IF(ISBLANK(FarmUnit[[#This Row],[1. Identifiant interne d’exploitation agricole*]]),"",IF(ISERROR(MATCH(FarmUnit[[#This Row],[1. Identifiant interne d’exploitation agricole*]],GroupMember[1. Identifiant interne d’exploitation agricole*],0)),FALSE,TRUE))</f>
        <v>1</v>
      </c>
      <c r="G897" s="4">
        <f t="shared" si="29"/>
        <v>6.9937300000000002</v>
      </c>
      <c r="H897" s="4">
        <f t="shared" si="30"/>
        <v>-7.9436400000000003</v>
      </c>
      <c r="I897" s="20" t="str">
        <f t="array" ref="I897">IF(ISBLANK(C897),"",IF(C897=MAX(IF(FarmUnit[1. Identifiant interne d’exploitation agricole*]=A897,FarmUnit[3. Superficie de l’unité agricole (ha)*])),"!","-"))</f>
        <v>!</v>
      </c>
      <c r="J897" s="9" t="str">
        <f ca="1">IFERROR(CONCATENATE(VLOOKUP(A897,GM_Table,12,FALSE)," ",(VLOOKUP(A897,GM_Table,13,FALSE))),"")</f>
        <v/>
      </c>
    </row>
    <row r="898" spans="1:10" ht="15" x14ac:dyDescent="0.2">
      <c r="A898" s="193" t="s">
        <v>3055</v>
      </c>
      <c r="B898" s="193" t="s">
        <v>3055</v>
      </c>
      <c r="C898" s="175">
        <v>2.2000000000000002</v>
      </c>
      <c r="D898" s="271">
        <v>7.0412299999999997</v>
      </c>
      <c r="E898" s="272">
        <v>-7.8951700000000002</v>
      </c>
      <c r="F898" s="122" t="b">
        <f>IF(ISBLANK(FarmUnit[[#This Row],[1. Identifiant interne d’exploitation agricole*]]),"",IF(ISERROR(MATCH(FarmUnit[[#This Row],[1. Identifiant interne d’exploitation agricole*]],GroupMember[1. Identifiant interne d’exploitation agricole*],0)),FALSE,TRUE))</f>
        <v>1</v>
      </c>
      <c r="G898" s="4">
        <f t="shared" si="29"/>
        <v>7.0412299999999997</v>
      </c>
      <c r="H898" s="4">
        <f t="shared" si="30"/>
        <v>-7.8951700000000002</v>
      </c>
      <c r="I898" s="20" t="str">
        <f t="array" ref="I898">IF(ISBLANK(C898),"",IF(C898=MAX(IF(FarmUnit[1. Identifiant interne d’exploitation agricole*]=A898,FarmUnit[3. Superficie de l’unité agricole (ha)*])),"!","-"))</f>
        <v>!</v>
      </c>
      <c r="J898" s="9" t="str">
        <f ca="1">IFERROR(CONCATENATE(VLOOKUP(A898,GM_Table,12,FALSE)," ",(VLOOKUP(A898,GM_Table,13,FALSE))),"")</f>
        <v/>
      </c>
    </row>
    <row r="899" spans="1:10" ht="15" x14ac:dyDescent="0.2">
      <c r="A899" s="193" t="s">
        <v>3058</v>
      </c>
      <c r="B899" s="193" t="s">
        <v>3058</v>
      </c>
      <c r="C899" s="175">
        <v>8.35</v>
      </c>
      <c r="D899" s="271">
        <v>7.0257699999999996</v>
      </c>
      <c r="E899" s="272">
        <v>-7.9017299999999997</v>
      </c>
      <c r="F899" s="122" t="b">
        <f>IF(ISBLANK(FarmUnit[[#This Row],[1. Identifiant interne d’exploitation agricole*]]),"",IF(ISERROR(MATCH(FarmUnit[[#This Row],[1. Identifiant interne d’exploitation agricole*]],GroupMember[1. Identifiant interne d’exploitation agricole*],0)),FALSE,TRUE))</f>
        <v>1</v>
      </c>
      <c r="G899" s="4">
        <f t="shared" si="29"/>
        <v>7.0257699999999996</v>
      </c>
      <c r="H899" s="4">
        <f t="shared" si="30"/>
        <v>-7.9017299999999997</v>
      </c>
      <c r="I899" s="20" t="str">
        <f t="array" ref="I899">IF(ISBLANK(C899),"",IF(C899=MAX(IF(FarmUnit[1. Identifiant interne d’exploitation agricole*]=A899,FarmUnit[3. Superficie de l’unité agricole (ha)*])),"!","-"))</f>
        <v>!</v>
      </c>
      <c r="J899" s="9" t="str">
        <f ca="1">IFERROR(CONCATENATE(VLOOKUP(A899,GM_Table,12,FALSE)," ",(VLOOKUP(A899,GM_Table,13,FALSE))),"")</f>
        <v/>
      </c>
    </row>
    <row r="900" spans="1:10" ht="15" x14ac:dyDescent="0.2">
      <c r="A900" s="193" t="s">
        <v>3060</v>
      </c>
      <c r="B900" s="193" t="s">
        <v>3060</v>
      </c>
      <c r="C900" s="175">
        <v>3.84</v>
      </c>
      <c r="D900" s="271">
        <v>7.0354999999999999</v>
      </c>
      <c r="E900" s="272">
        <v>-7.8996199999999996</v>
      </c>
      <c r="F900" s="122" t="b">
        <f>IF(ISBLANK(FarmUnit[[#This Row],[1. Identifiant interne d’exploitation agricole*]]),"",IF(ISERROR(MATCH(FarmUnit[[#This Row],[1. Identifiant interne d’exploitation agricole*]],GroupMember[1. Identifiant interne d’exploitation agricole*],0)),FALSE,TRUE))</f>
        <v>1</v>
      </c>
      <c r="G900" s="4">
        <f t="shared" si="29"/>
        <v>7.0354999999999999</v>
      </c>
      <c r="H900" s="4">
        <f t="shared" si="30"/>
        <v>-7.8996199999999996</v>
      </c>
      <c r="I900" s="20" t="str">
        <f t="array" ref="I900">IF(ISBLANK(C900),"",IF(C900=MAX(IF(FarmUnit[1. Identifiant interne d’exploitation agricole*]=A900,FarmUnit[3. Superficie de l’unité agricole (ha)*])),"!","-"))</f>
        <v>!</v>
      </c>
      <c r="J900" s="9" t="str">
        <f ca="1">IFERROR(CONCATENATE(VLOOKUP(A900,GM_Table,12,FALSE)," ",(VLOOKUP(A900,GM_Table,13,FALSE))),"")</f>
        <v/>
      </c>
    </row>
    <row r="901" spans="1:10" ht="15" x14ac:dyDescent="0.2">
      <c r="A901" s="193" t="s">
        <v>3063</v>
      </c>
      <c r="B901" s="193" t="s">
        <v>3063</v>
      </c>
      <c r="C901" s="175">
        <v>4.33</v>
      </c>
      <c r="D901" s="271">
        <v>7.0023099999999996</v>
      </c>
      <c r="E901" s="272">
        <v>-7.9453100000000001</v>
      </c>
      <c r="F901" s="122" t="b">
        <f>IF(ISBLANK(FarmUnit[[#This Row],[1. Identifiant interne d’exploitation agricole*]]),"",IF(ISERROR(MATCH(FarmUnit[[#This Row],[1. Identifiant interne d’exploitation agricole*]],GroupMember[1. Identifiant interne d’exploitation agricole*],0)),FALSE,TRUE))</f>
        <v>1</v>
      </c>
      <c r="G901" s="4">
        <f t="shared" si="29"/>
        <v>7.0023099999999996</v>
      </c>
      <c r="H901" s="4">
        <f t="shared" si="30"/>
        <v>-7.9453100000000001</v>
      </c>
      <c r="I901" s="20" t="str">
        <f t="array" ref="I901">IF(ISBLANK(C901),"",IF(C901=MAX(IF(FarmUnit[1. Identifiant interne d’exploitation agricole*]=A901,FarmUnit[3. Superficie de l’unité agricole (ha)*])),"!","-"))</f>
        <v>!</v>
      </c>
      <c r="J901" s="9" t="str">
        <f ca="1">IFERROR(CONCATENATE(VLOOKUP(A901,GM_Table,12,FALSE)," ",(VLOOKUP(A901,GM_Table,13,FALSE))),"")</f>
        <v/>
      </c>
    </row>
    <row r="902" spans="1:10" ht="15" x14ac:dyDescent="0.2">
      <c r="A902" s="193" t="s">
        <v>3067</v>
      </c>
      <c r="B902" s="193" t="s">
        <v>3067</v>
      </c>
      <c r="C902" s="175">
        <v>1.8</v>
      </c>
      <c r="D902" s="271">
        <v>7.0112100000000002</v>
      </c>
      <c r="E902" s="272">
        <v>-7.9396300000000002</v>
      </c>
      <c r="F902" s="122" t="b">
        <f>IF(ISBLANK(FarmUnit[[#This Row],[1. Identifiant interne d’exploitation agricole*]]),"",IF(ISERROR(MATCH(FarmUnit[[#This Row],[1. Identifiant interne d’exploitation agricole*]],GroupMember[1. Identifiant interne d’exploitation agricole*],0)),FALSE,TRUE))</f>
        <v>1</v>
      </c>
      <c r="G902" s="4">
        <f t="shared" si="29"/>
        <v>7.0112100000000002</v>
      </c>
      <c r="H902" s="4">
        <f t="shared" si="30"/>
        <v>-7.9396300000000002</v>
      </c>
      <c r="I902" s="20" t="str">
        <f t="array" ref="I902">IF(ISBLANK(C902),"",IF(C902=MAX(IF(FarmUnit[1. Identifiant interne d’exploitation agricole*]=A902,FarmUnit[3. Superficie de l’unité agricole (ha)*])),"!","-"))</f>
        <v>!</v>
      </c>
      <c r="J902" s="9" t="str">
        <f ca="1">IFERROR(CONCATENATE(VLOOKUP(A902,GM_Table,12,FALSE)," ",(VLOOKUP(A902,GM_Table,13,FALSE))),"")</f>
        <v/>
      </c>
    </row>
    <row r="903" spans="1:10" ht="15" x14ac:dyDescent="0.2">
      <c r="A903" s="193" t="s">
        <v>3070</v>
      </c>
      <c r="B903" s="193" t="s">
        <v>3070</v>
      </c>
      <c r="C903" s="175">
        <v>2.1</v>
      </c>
      <c r="D903" s="271">
        <v>7.0128599999999999</v>
      </c>
      <c r="E903" s="272">
        <v>-7.9405200000000002</v>
      </c>
      <c r="F903" s="122" t="b">
        <f>IF(ISBLANK(FarmUnit[[#This Row],[1. Identifiant interne d’exploitation agricole*]]),"",IF(ISERROR(MATCH(FarmUnit[[#This Row],[1. Identifiant interne d’exploitation agricole*]],GroupMember[1. Identifiant interne d’exploitation agricole*],0)),FALSE,TRUE))</f>
        <v>1</v>
      </c>
      <c r="G903" s="4">
        <f t="shared" si="29"/>
        <v>7.0128599999999999</v>
      </c>
      <c r="H903" s="4">
        <f t="shared" si="30"/>
        <v>-7.9405200000000002</v>
      </c>
      <c r="I903" s="20" t="str">
        <f t="array" ref="I903">IF(ISBLANK(C903),"",IF(C903=MAX(IF(FarmUnit[1. Identifiant interne d’exploitation agricole*]=A903,FarmUnit[3. Superficie de l’unité agricole (ha)*])),"!","-"))</f>
        <v>!</v>
      </c>
      <c r="J903" s="9" t="str">
        <f ca="1">IFERROR(CONCATENATE(VLOOKUP(A903,GM_Table,12,FALSE)," ",(VLOOKUP(A903,GM_Table,13,FALSE))),"")</f>
        <v/>
      </c>
    </row>
    <row r="904" spans="1:10" ht="15" x14ac:dyDescent="0.2">
      <c r="A904" s="193" t="s">
        <v>3072</v>
      </c>
      <c r="B904" s="193" t="s">
        <v>3072</v>
      </c>
      <c r="C904" s="175">
        <v>3.82</v>
      </c>
      <c r="D904" s="271">
        <v>7.0126999999999997</v>
      </c>
      <c r="E904" s="272">
        <v>-7.9396199999999997</v>
      </c>
      <c r="F904" s="122" t="b">
        <f>IF(ISBLANK(FarmUnit[[#This Row],[1. Identifiant interne d’exploitation agricole*]]),"",IF(ISERROR(MATCH(FarmUnit[[#This Row],[1. Identifiant interne d’exploitation agricole*]],GroupMember[1. Identifiant interne d’exploitation agricole*],0)),FALSE,TRUE))</f>
        <v>1</v>
      </c>
      <c r="G904" s="4">
        <f t="shared" si="29"/>
        <v>7.0126999999999997</v>
      </c>
      <c r="H904" s="4">
        <f t="shared" si="30"/>
        <v>-7.9396199999999997</v>
      </c>
      <c r="I904" s="20" t="str">
        <f t="array" ref="I904">IF(ISBLANK(C904),"",IF(C904=MAX(IF(FarmUnit[1. Identifiant interne d’exploitation agricole*]=A904,FarmUnit[3. Superficie de l’unité agricole (ha)*])),"!","-"))</f>
        <v>!</v>
      </c>
      <c r="J904" s="9" t="str">
        <f ca="1">IFERROR(CONCATENATE(VLOOKUP(A904,GM_Table,12,FALSE)," ",(VLOOKUP(A904,GM_Table,13,FALSE))),"")</f>
        <v/>
      </c>
    </row>
    <row r="905" spans="1:10" ht="15" x14ac:dyDescent="0.2">
      <c r="A905" s="193" t="s">
        <v>3075</v>
      </c>
      <c r="B905" s="193" t="s">
        <v>3075</v>
      </c>
      <c r="C905" s="175">
        <v>1.73</v>
      </c>
      <c r="D905" s="271">
        <v>7.0449599999999997</v>
      </c>
      <c r="E905" s="272">
        <v>-7.9260200000000003</v>
      </c>
      <c r="F905" s="122" t="b">
        <f>IF(ISBLANK(FarmUnit[[#This Row],[1. Identifiant interne d’exploitation agricole*]]),"",IF(ISERROR(MATCH(FarmUnit[[#This Row],[1. Identifiant interne d’exploitation agricole*]],GroupMember[1. Identifiant interne d’exploitation agricole*],0)),FALSE,TRUE))</f>
        <v>1</v>
      </c>
      <c r="G905" s="4">
        <f t="shared" si="29"/>
        <v>7.0449599999999997</v>
      </c>
      <c r="H905" s="4">
        <f t="shared" si="30"/>
        <v>-7.9260200000000003</v>
      </c>
      <c r="I905" s="20" t="str">
        <f t="array" ref="I905">IF(ISBLANK(C905),"",IF(C905=MAX(IF(FarmUnit[1. Identifiant interne d’exploitation agricole*]=A905,FarmUnit[3. Superficie de l’unité agricole (ha)*])),"!","-"))</f>
        <v>!</v>
      </c>
      <c r="J905" s="9" t="str">
        <f ca="1">IFERROR(CONCATENATE(VLOOKUP(A905,GM_Table,12,FALSE)," ",(VLOOKUP(A905,GM_Table,13,FALSE))),"")</f>
        <v/>
      </c>
    </row>
    <row r="906" spans="1:10" ht="15" x14ac:dyDescent="0.2">
      <c r="A906" s="193" t="s">
        <v>3077</v>
      </c>
      <c r="B906" s="193" t="s">
        <v>3077</v>
      </c>
      <c r="C906" s="175">
        <v>2.2200000000000002</v>
      </c>
      <c r="D906" s="271">
        <v>7.0027699999999999</v>
      </c>
      <c r="E906" s="272">
        <v>-7.9288100000000004</v>
      </c>
      <c r="F906" s="122" t="b">
        <f>IF(ISBLANK(FarmUnit[[#This Row],[1. Identifiant interne d’exploitation agricole*]]),"",IF(ISERROR(MATCH(FarmUnit[[#This Row],[1. Identifiant interne d’exploitation agricole*]],GroupMember[1. Identifiant interne d’exploitation agricole*],0)),FALSE,TRUE))</f>
        <v>1</v>
      </c>
      <c r="G906" s="4">
        <f t="shared" si="29"/>
        <v>7.0027699999999999</v>
      </c>
      <c r="H906" s="4">
        <f t="shared" si="30"/>
        <v>-7.9288100000000004</v>
      </c>
      <c r="I906" s="20" t="str">
        <f t="array" ref="I906">IF(ISBLANK(C906),"",IF(C906=MAX(IF(FarmUnit[1. Identifiant interne d’exploitation agricole*]=A906,FarmUnit[3. Superficie de l’unité agricole (ha)*])),"!","-"))</f>
        <v>!</v>
      </c>
      <c r="J906" s="9" t="str">
        <f ca="1">IFERROR(CONCATENATE(VLOOKUP(A906,GM_Table,12,FALSE)," ",(VLOOKUP(A906,GM_Table,13,FALSE))),"")</f>
        <v/>
      </c>
    </row>
    <row r="907" spans="1:10" ht="15" x14ac:dyDescent="0.2">
      <c r="A907" s="193" t="s">
        <v>3079</v>
      </c>
      <c r="B907" s="193" t="s">
        <v>3079</v>
      </c>
      <c r="C907" s="175">
        <v>0.9224</v>
      </c>
      <c r="D907" s="271">
        <v>7.0004900000000001</v>
      </c>
      <c r="E907" s="272">
        <v>-7.9151800000000003</v>
      </c>
      <c r="F907" s="122" t="b">
        <f>IF(ISBLANK(FarmUnit[[#This Row],[1. Identifiant interne d’exploitation agricole*]]),"",IF(ISERROR(MATCH(FarmUnit[[#This Row],[1. Identifiant interne d’exploitation agricole*]],GroupMember[1. Identifiant interne d’exploitation agricole*],0)),FALSE,TRUE))</f>
        <v>1</v>
      </c>
      <c r="G907" s="4">
        <f t="shared" si="29"/>
        <v>7.0004900000000001</v>
      </c>
      <c r="H907" s="4">
        <f t="shared" si="30"/>
        <v>-7.9151800000000003</v>
      </c>
      <c r="I907" s="20" t="str">
        <f t="array" ref="I907">IF(ISBLANK(C907),"",IF(C907=MAX(IF(FarmUnit[1. Identifiant interne d’exploitation agricole*]=A907,FarmUnit[3. Superficie de l’unité agricole (ha)*])),"!","-"))</f>
        <v>!</v>
      </c>
      <c r="J907" s="9" t="str">
        <f ca="1">IFERROR(CONCATENATE(VLOOKUP(A907,GM_Table,12,FALSE)," ",(VLOOKUP(A907,GM_Table,13,FALSE))),"")</f>
        <v/>
      </c>
    </row>
    <row r="908" spans="1:10" ht="15" x14ac:dyDescent="0.2">
      <c r="A908" s="193" t="s">
        <v>3080</v>
      </c>
      <c r="B908" s="193" t="s">
        <v>3080</v>
      </c>
      <c r="C908" s="175">
        <v>2.39</v>
      </c>
      <c r="D908" s="271">
        <v>6.9981999999999998</v>
      </c>
      <c r="E908" s="272">
        <v>-7.9328599999999998</v>
      </c>
      <c r="F908" s="122" t="b">
        <f>IF(ISBLANK(FarmUnit[[#This Row],[1. Identifiant interne d’exploitation agricole*]]),"",IF(ISERROR(MATCH(FarmUnit[[#This Row],[1. Identifiant interne d’exploitation agricole*]],GroupMember[1. Identifiant interne d’exploitation agricole*],0)),FALSE,TRUE))</f>
        <v>1</v>
      </c>
      <c r="G908" s="4">
        <f t="shared" si="29"/>
        <v>6.9981999999999998</v>
      </c>
      <c r="H908" s="4">
        <f t="shared" si="30"/>
        <v>-7.9328599999999998</v>
      </c>
      <c r="I908" s="20" t="str">
        <f t="array" ref="I908">IF(ISBLANK(C908),"",IF(C908=MAX(IF(FarmUnit[1. Identifiant interne d’exploitation agricole*]=A908,FarmUnit[3. Superficie de l’unité agricole (ha)*])),"!","-"))</f>
        <v>!</v>
      </c>
      <c r="J908" s="9" t="str">
        <f ca="1">IFERROR(CONCATENATE(VLOOKUP(A908,GM_Table,12,FALSE)," ",(VLOOKUP(A908,GM_Table,13,FALSE))),"")</f>
        <v/>
      </c>
    </row>
    <row r="909" spans="1:10" ht="15" x14ac:dyDescent="0.2">
      <c r="A909" s="193" t="s">
        <v>3082</v>
      </c>
      <c r="B909" s="193" t="s">
        <v>3082</v>
      </c>
      <c r="C909" s="175">
        <v>2.1800000000000002</v>
      </c>
      <c r="D909" s="271">
        <v>7.0062300000000004</v>
      </c>
      <c r="E909" s="272">
        <v>-7.9285300000000003</v>
      </c>
      <c r="F909" s="122" t="b">
        <f>IF(ISBLANK(FarmUnit[[#This Row],[1. Identifiant interne d’exploitation agricole*]]),"",IF(ISERROR(MATCH(FarmUnit[[#This Row],[1. Identifiant interne d’exploitation agricole*]],GroupMember[1. Identifiant interne d’exploitation agricole*],0)),FALSE,TRUE))</f>
        <v>1</v>
      </c>
      <c r="G909" s="4">
        <f t="shared" si="29"/>
        <v>7.0062300000000004</v>
      </c>
      <c r="H909" s="4">
        <f t="shared" si="30"/>
        <v>-7.9285300000000003</v>
      </c>
      <c r="I909" s="20" t="str">
        <f t="array" ref="I909">IF(ISBLANK(C909),"",IF(C909=MAX(IF(FarmUnit[1. Identifiant interne d’exploitation agricole*]=A909,FarmUnit[3. Superficie de l’unité agricole (ha)*])),"!","-"))</f>
        <v>!</v>
      </c>
      <c r="J909" s="9" t="str">
        <f ca="1">IFERROR(CONCATENATE(VLOOKUP(A909,GM_Table,12,FALSE)," ",(VLOOKUP(A909,GM_Table,13,FALSE))),"")</f>
        <v/>
      </c>
    </row>
    <row r="910" spans="1:10" ht="15" x14ac:dyDescent="0.2">
      <c r="A910" s="193" t="s">
        <v>3084</v>
      </c>
      <c r="B910" s="193" t="s">
        <v>3084</v>
      </c>
      <c r="C910" s="175">
        <v>2.09</v>
      </c>
      <c r="D910" s="271">
        <v>7.0000400000000003</v>
      </c>
      <c r="E910" s="272">
        <v>-7.9283700000000001</v>
      </c>
      <c r="F910" s="122" t="b">
        <f>IF(ISBLANK(FarmUnit[[#This Row],[1. Identifiant interne d’exploitation agricole*]]),"",IF(ISERROR(MATCH(FarmUnit[[#This Row],[1. Identifiant interne d’exploitation agricole*]],GroupMember[1. Identifiant interne d’exploitation agricole*],0)),FALSE,TRUE))</f>
        <v>1</v>
      </c>
      <c r="G910" s="4">
        <f t="shared" si="29"/>
        <v>7.0000400000000003</v>
      </c>
      <c r="H910" s="4">
        <f t="shared" si="30"/>
        <v>-7.9283700000000001</v>
      </c>
      <c r="I910" s="20" t="str">
        <f t="array" ref="I910">IF(ISBLANK(C910),"",IF(C910=MAX(IF(FarmUnit[1. Identifiant interne d’exploitation agricole*]=A910,FarmUnit[3. Superficie de l’unité agricole (ha)*])),"!","-"))</f>
        <v>!</v>
      </c>
      <c r="J910" s="9" t="str">
        <f ca="1">IFERROR(CONCATENATE(VLOOKUP(A910,GM_Table,12,FALSE)," ",(VLOOKUP(A910,GM_Table,13,FALSE))),"")</f>
        <v/>
      </c>
    </row>
    <row r="911" spans="1:10" ht="15" x14ac:dyDescent="0.2">
      <c r="A911" s="193" t="s">
        <v>3086</v>
      </c>
      <c r="B911" s="193" t="s">
        <v>3086</v>
      </c>
      <c r="C911" s="175">
        <v>4.29</v>
      </c>
      <c r="D911" s="271">
        <v>6.9954599999999996</v>
      </c>
      <c r="E911" s="272">
        <v>-7.9319499999999996</v>
      </c>
      <c r="F911" s="122" t="b">
        <f>IF(ISBLANK(FarmUnit[[#This Row],[1. Identifiant interne d’exploitation agricole*]]),"",IF(ISERROR(MATCH(FarmUnit[[#This Row],[1. Identifiant interne d’exploitation agricole*]],GroupMember[1. Identifiant interne d’exploitation agricole*],0)),FALSE,TRUE))</f>
        <v>1</v>
      </c>
      <c r="G911" s="4">
        <f t="shared" si="29"/>
        <v>6.9954599999999996</v>
      </c>
      <c r="H911" s="4">
        <f t="shared" si="30"/>
        <v>-7.9319499999999996</v>
      </c>
      <c r="I911" s="20" t="str">
        <f t="array" ref="I911">IF(ISBLANK(C911),"",IF(C911=MAX(IF(FarmUnit[1. Identifiant interne d’exploitation agricole*]=A911,FarmUnit[3. Superficie de l’unité agricole (ha)*])),"!","-"))</f>
        <v>!</v>
      </c>
      <c r="J911" s="9" t="str">
        <f ca="1">IFERROR(CONCATENATE(VLOOKUP(A911,GM_Table,12,FALSE)," ",(VLOOKUP(A911,GM_Table,13,FALSE))),"")</f>
        <v/>
      </c>
    </row>
    <row r="912" spans="1:10" ht="15" x14ac:dyDescent="0.2">
      <c r="A912" s="193" t="s">
        <v>3089</v>
      </c>
      <c r="B912" s="193" t="s">
        <v>3089</v>
      </c>
      <c r="C912" s="175">
        <v>2.19</v>
      </c>
      <c r="D912" s="271">
        <v>6.9987000000000004</v>
      </c>
      <c r="E912" s="272">
        <v>-7.93241</v>
      </c>
      <c r="F912" s="122" t="b">
        <f>IF(ISBLANK(FarmUnit[[#This Row],[1. Identifiant interne d’exploitation agricole*]]),"",IF(ISERROR(MATCH(FarmUnit[[#This Row],[1. Identifiant interne d’exploitation agricole*]],GroupMember[1. Identifiant interne d’exploitation agricole*],0)),FALSE,TRUE))</f>
        <v>1</v>
      </c>
      <c r="G912" s="4">
        <f t="shared" si="29"/>
        <v>6.9987000000000004</v>
      </c>
      <c r="H912" s="4">
        <f t="shared" si="30"/>
        <v>-7.93241</v>
      </c>
      <c r="I912" s="20" t="str">
        <f t="array" ref="I912">IF(ISBLANK(C912),"",IF(C912=MAX(IF(FarmUnit[1. Identifiant interne d’exploitation agricole*]=A912,FarmUnit[3. Superficie de l’unité agricole (ha)*])),"!","-"))</f>
        <v>!</v>
      </c>
      <c r="J912" s="9" t="str">
        <f ca="1">IFERROR(CONCATENATE(VLOOKUP(A912,GM_Table,12,FALSE)," ",(VLOOKUP(A912,GM_Table,13,FALSE))),"")</f>
        <v/>
      </c>
    </row>
    <row r="913" spans="1:10" ht="15" x14ac:dyDescent="0.2">
      <c r="A913" s="193" t="s">
        <v>3091</v>
      </c>
      <c r="B913" s="193" t="s">
        <v>3091</v>
      </c>
      <c r="C913" s="175">
        <v>2.3199999999999998</v>
      </c>
      <c r="D913" s="271">
        <v>7.0172100000000004</v>
      </c>
      <c r="E913" s="272">
        <v>-7.8665099999999999</v>
      </c>
      <c r="F913" s="122" t="b">
        <f>IF(ISBLANK(FarmUnit[[#This Row],[1. Identifiant interne d’exploitation agricole*]]),"",IF(ISERROR(MATCH(FarmUnit[[#This Row],[1. Identifiant interne d’exploitation agricole*]],GroupMember[1. Identifiant interne d’exploitation agricole*],0)),FALSE,TRUE))</f>
        <v>1</v>
      </c>
      <c r="G913" s="4">
        <f t="shared" si="29"/>
        <v>7.0172100000000004</v>
      </c>
      <c r="H913" s="4">
        <f t="shared" si="30"/>
        <v>-7.8665099999999999</v>
      </c>
      <c r="I913" s="20" t="str">
        <f t="array" ref="I913">IF(ISBLANK(C913),"",IF(C913=MAX(IF(FarmUnit[1. Identifiant interne d’exploitation agricole*]=A913,FarmUnit[3. Superficie de l’unité agricole (ha)*])),"!","-"))</f>
        <v>!</v>
      </c>
      <c r="J913" s="9" t="str">
        <f ca="1">IFERROR(CONCATENATE(VLOOKUP(A913,GM_Table,12,FALSE)," ",(VLOOKUP(A913,GM_Table,13,FALSE))),"")</f>
        <v/>
      </c>
    </row>
    <row r="914" spans="1:10" ht="15" x14ac:dyDescent="0.2">
      <c r="A914" s="193" t="s">
        <v>3092</v>
      </c>
      <c r="B914" s="193" t="s">
        <v>3092</v>
      </c>
      <c r="C914" s="175">
        <v>2.94</v>
      </c>
      <c r="D914" s="271">
        <v>7.0027400000000002</v>
      </c>
      <c r="E914" s="272">
        <v>-7.9199000000000002</v>
      </c>
      <c r="F914" s="122" t="b">
        <f>IF(ISBLANK(FarmUnit[[#This Row],[1. Identifiant interne d’exploitation agricole*]]),"",IF(ISERROR(MATCH(FarmUnit[[#This Row],[1. Identifiant interne d’exploitation agricole*]],GroupMember[1. Identifiant interne d’exploitation agricole*],0)),FALSE,TRUE))</f>
        <v>1</v>
      </c>
      <c r="G914" s="4">
        <f t="shared" si="29"/>
        <v>7.0027400000000002</v>
      </c>
      <c r="H914" s="4">
        <f t="shared" si="30"/>
        <v>-7.9199000000000002</v>
      </c>
      <c r="I914" s="20" t="str">
        <f t="array" ref="I914">IF(ISBLANK(C914),"",IF(C914=MAX(IF(FarmUnit[1. Identifiant interne d’exploitation agricole*]=A914,FarmUnit[3. Superficie de l’unité agricole (ha)*])),"!","-"))</f>
        <v>!</v>
      </c>
      <c r="J914" s="9" t="str">
        <f ca="1">IFERROR(CONCATENATE(VLOOKUP(A914,GM_Table,12,FALSE)," ",(VLOOKUP(A914,GM_Table,13,FALSE))),"")</f>
        <v/>
      </c>
    </row>
    <row r="915" spans="1:10" ht="15" x14ac:dyDescent="0.2">
      <c r="A915" s="193" t="s">
        <v>3094</v>
      </c>
      <c r="B915" s="193" t="s">
        <v>3094</v>
      </c>
      <c r="C915" s="175">
        <v>2.9</v>
      </c>
      <c r="D915" s="271">
        <v>7.0125400000000004</v>
      </c>
      <c r="E915" s="272">
        <v>-7.8938600000000001</v>
      </c>
      <c r="F915" s="122" t="b">
        <f>IF(ISBLANK(FarmUnit[[#This Row],[1. Identifiant interne d’exploitation agricole*]]),"",IF(ISERROR(MATCH(FarmUnit[[#This Row],[1. Identifiant interne d’exploitation agricole*]],GroupMember[1. Identifiant interne d’exploitation agricole*],0)),FALSE,TRUE))</f>
        <v>1</v>
      </c>
      <c r="G915" s="4">
        <f t="shared" si="29"/>
        <v>7.0125400000000004</v>
      </c>
      <c r="H915" s="4">
        <f t="shared" si="30"/>
        <v>-7.8938600000000001</v>
      </c>
      <c r="I915" s="20" t="str">
        <f t="array" ref="I915">IF(ISBLANK(C915),"",IF(C915=MAX(IF(FarmUnit[1. Identifiant interne d’exploitation agricole*]=A915,FarmUnit[3. Superficie de l’unité agricole (ha)*])),"!","-"))</f>
        <v>!</v>
      </c>
      <c r="J915" s="9" t="str">
        <f ca="1">IFERROR(CONCATENATE(VLOOKUP(A915,GM_Table,12,FALSE)," ",(VLOOKUP(A915,GM_Table,13,FALSE))),"")</f>
        <v/>
      </c>
    </row>
    <row r="916" spans="1:10" ht="15" x14ac:dyDescent="0.2">
      <c r="A916" s="193" t="s">
        <v>3099</v>
      </c>
      <c r="B916" s="193" t="s">
        <v>3099</v>
      </c>
      <c r="C916" s="175">
        <v>4.0199999999999996</v>
      </c>
      <c r="D916" s="271">
        <v>7.0322100000000001</v>
      </c>
      <c r="E916" s="272">
        <v>-7.9077500000000001</v>
      </c>
      <c r="F916" s="122" t="b">
        <f>IF(ISBLANK(FarmUnit[[#This Row],[1. Identifiant interne d’exploitation agricole*]]),"",IF(ISERROR(MATCH(FarmUnit[[#This Row],[1. Identifiant interne d’exploitation agricole*]],GroupMember[1. Identifiant interne d’exploitation agricole*],0)),FALSE,TRUE))</f>
        <v>1</v>
      </c>
      <c r="G916" s="4">
        <f t="shared" si="29"/>
        <v>7.0322100000000001</v>
      </c>
      <c r="H916" s="4">
        <f t="shared" si="30"/>
        <v>-7.9077500000000001</v>
      </c>
      <c r="I916" s="20" t="str">
        <f t="array" ref="I916">IF(ISBLANK(C916),"",IF(C916=MAX(IF(FarmUnit[1. Identifiant interne d’exploitation agricole*]=A916,FarmUnit[3. Superficie de l’unité agricole (ha)*])),"!","-"))</f>
        <v>!</v>
      </c>
      <c r="J916" s="9" t="str">
        <f ca="1">IFERROR(CONCATENATE(VLOOKUP(A916,GM_Table,12,FALSE)," ",(VLOOKUP(A916,GM_Table,13,FALSE))),"")</f>
        <v/>
      </c>
    </row>
    <row r="917" spans="1:10" ht="15" x14ac:dyDescent="0.2">
      <c r="A917" s="193" t="s">
        <v>3103</v>
      </c>
      <c r="B917" s="193" t="s">
        <v>3103</v>
      </c>
      <c r="C917" s="175">
        <v>2.11</v>
      </c>
      <c r="D917" s="271">
        <v>7.0377599999999996</v>
      </c>
      <c r="E917" s="272">
        <v>-7.8935500000000003</v>
      </c>
      <c r="F917" s="122" t="b">
        <f>IF(ISBLANK(FarmUnit[[#This Row],[1. Identifiant interne d’exploitation agricole*]]),"",IF(ISERROR(MATCH(FarmUnit[[#This Row],[1. Identifiant interne d’exploitation agricole*]],GroupMember[1. Identifiant interne d’exploitation agricole*],0)),FALSE,TRUE))</f>
        <v>1</v>
      </c>
      <c r="G917" s="4">
        <f t="shared" si="29"/>
        <v>7.0377599999999996</v>
      </c>
      <c r="H917" s="4">
        <f t="shared" si="30"/>
        <v>-7.8935500000000003</v>
      </c>
      <c r="I917" s="20" t="str">
        <f t="array" ref="I917">IF(ISBLANK(C917),"",IF(C917=MAX(IF(FarmUnit[1. Identifiant interne d’exploitation agricole*]=A917,FarmUnit[3. Superficie de l’unité agricole (ha)*])),"!","-"))</f>
        <v>!</v>
      </c>
      <c r="J917" s="9" t="str">
        <f ca="1">IFERROR(CONCATENATE(VLOOKUP(A917,GM_Table,12,FALSE)," ",(VLOOKUP(A917,GM_Table,13,FALSE))),"")</f>
        <v/>
      </c>
    </row>
    <row r="918" spans="1:10" ht="15" x14ac:dyDescent="0.2">
      <c r="A918" s="193" t="s">
        <v>3106</v>
      </c>
      <c r="B918" s="193" t="s">
        <v>3106</v>
      </c>
      <c r="C918" s="175">
        <v>3.63</v>
      </c>
      <c r="D918" s="271">
        <v>7.0427900000000001</v>
      </c>
      <c r="E918" s="272">
        <v>-7.9119799999999998</v>
      </c>
      <c r="F918" s="122" t="b">
        <f>IF(ISBLANK(FarmUnit[[#This Row],[1. Identifiant interne d’exploitation agricole*]]),"",IF(ISERROR(MATCH(FarmUnit[[#This Row],[1. Identifiant interne d’exploitation agricole*]],GroupMember[1. Identifiant interne d’exploitation agricole*],0)),FALSE,TRUE))</f>
        <v>1</v>
      </c>
      <c r="G918" s="4">
        <f t="shared" si="29"/>
        <v>7.0427900000000001</v>
      </c>
      <c r="H918" s="4">
        <f t="shared" si="30"/>
        <v>-7.9119799999999998</v>
      </c>
      <c r="I918" s="20" t="str">
        <f t="array" ref="I918">IF(ISBLANK(C918),"",IF(C918=MAX(IF(FarmUnit[1. Identifiant interne d’exploitation agricole*]=A918,FarmUnit[3. Superficie de l’unité agricole (ha)*])),"!","-"))</f>
        <v>!</v>
      </c>
      <c r="J918" s="9" t="str">
        <f ca="1">IFERROR(CONCATENATE(VLOOKUP(A918,GM_Table,12,FALSE)," ",(VLOOKUP(A918,GM_Table,13,FALSE))),"")</f>
        <v/>
      </c>
    </row>
    <row r="919" spans="1:10" ht="15" x14ac:dyDescent="0.2">
      <c r="A919" s="193" t="s">
        <v>3108</v>
      </c>
      <c r="B919" s="193" t="s">
        <v>3108</v>
      </c>
      <c r="C919" s="175">
        <v>2.59</v>
      </c>
      <c r="D919" s="271">
        <v>7.0210999999999997</v>
      </c>
      <c r="E919" s="272">
        <v>-7.8534100000000002</v>
      </c>
      <c r="F919" s="122" t="b">
        <f>IF(ISBLANK(FarmUnit[[#This Row],[1. Identifiant interne d’exploitation agricole*]]),"",IF(ISERROR(MATCH(FarmUnit[[#This Row],[1. Identifiant interne d’exploitation agricole*]],GroupMember[1. Identifiant interne d’exploitation agricole*],0)),FALSE,TRUE))</f>
        <v>1</v>
      </c>
      <c r="G919" s="4">
        <f t="shared" si="29"/>
        <v>7.0210999999999997</v>
      </c>
      <c r="H919" s="4">
        <f t="shared" si="30"/>
        <v>-7.8534100000000002</v>
      </c>
      <c r="I919" s="20" t="str">
        <f t="array" ref="I919">IF(ISBLANK(C919),"",IF(C919=MAX(IF(FarmUnit[1. Identifiant interne d’exploitation agricole*]=A919,FarmUnit[3. Superficie de l’unité agricole (ha)*])),"!","-"))</f>
        <v>!</v>
      </c>
      <c r="J919" s="9" t="str">
        <f ca="1">IFERROR(CONCATENATE(VLOOKUP(A919,GM_Table,12,FALSE)," ",(VLOOKUP(A919,GM_Table,13,FALSE))),"")</f>
        <v/>
      </c>
    </row>
    <row r="920" spans="1:10" ht="15" x14ac:dyDescent="0.2">
      <c r="A920" s="193" t="s">
        <v>3110</v>
      </c>
      <c r="B920" s="193" t="s">
        <v>3110</v>
      </c>
      <c r="C920" s="175">
        <v>2.5099999999999998</v>
      </c>
      <c r="D920" s="271">
        <v>7.0071399999999997</v>
      </c>
      <c r="E920" s="272">
        <v>-7.8934800000000003</v>
      </c>
      <c r="F920" s="122" t="b">
        <f>IF(ISBLANK(FarmUnit[[#This Row],[1. Identifiant interne d’exploitation agricole*]]),"",IF(ISERROR(MATCH(FarmUnit[[#This Row],[1. Identifiant interne d’exploitation agricole*]],GroupMember[1. Identifiant interne d’exploitation agricole*],0)),FALSE,TRUE))</f>
        <v>1</v>
      </c>
      <c r="G920" s="4">
        <f t="shared" si="29"/>
        <v>7.0071399999999997</v>
      </c>
      <c r="H920" s="4">
        <f t="shared" si="30"/>
        <v>-7.8934800000000003</v>
      </c>
      <c r="I920" s="20" t="str">
        <f t="array" ref="I920">IF(ISBLANK(C920),"",IF(C920=MAX(IF(FarmUnit[1. Identifiant interne d’exploitation agricole*]=A920,FarmUnit[3. Superficie de l’unité agricole (ha)*])),"!","-"))</f>
        <v>!</v>
      </c>
      <c r="J920" s="9" t="str">
        <f ca="1">IFERROR(CONCATENATE(VLOOKUP(A920,GM_Table,12,FALSE)," ",(VLOOKUP(A920,GM_Table,13,FALSE))),"")</f>
        <v/>
      </c>
    </row>
    <row r="921" spans="1:10" ht="15" x14ac:dyDescent="0.2">
      <c r="A921" s="193" t="s">
        <v>3113</v>
      </c>
      <c r="B921" s="193" t="s">
        <v>3113</v>
      </c>
      <c r="C921" s="175">
        <v>1.77</v>
      </c>
      <c r="D921" s="271">
        <v>7.0820600000000002</v>
      </c>
      <c r="E921" s="272">
        <v>-7.8780299999999999</v>
      </c>
      <c r="F921" s="122" t="b">
        <f>IF(ISBLANK(FarmUnit[[#This Row],[1. Identifiant interne d’exploitation agricole*]]),"",IF(ISERROR(MATCH(FarmUnit[[#This Row],[1. Identifiant interne d’exploitation agricole*]],GroupMember[1. Identifiant interne d’exploitation agricole*],0)),FALSE,TRUE))</f>
        <v>1</v>
      </c>
      <c r="G921" s="4">
        <f t="shared" si="29"/>
        <v>7.0820600000000002</v>
      </c>
      <c r="H921" s="4">
        <f t="shared" si="30"/>
        <v>-7.8780299999999999</v>
      </c>
      <c r="I921" s="20" t="str">
        <f t="array" ref="I921">IF(ISBLANK(C921),"",IF(C921=MAX(IF(FarmUnit[1. Identifiant interne d’exploitation agricole*]=A921,FarmUnit[3. Superficie de l’unité agricole (ha)*])),"!","-"))</f>
        <v>!</v>
      </c>
      <c r="J921" s="9" t="str">
        <f ca="1">IFERROR(CONCATENATE(VLOOKUP(A921,GM_Table,12,FALSE)," ",(VLOOKUP(A921,GM_Table,13,FALSE))),"")</f>
        <v/>
      </c>
    </row>
    <row r="922" spans="1:10" ht="15" x14ac:dyDescent="0.2">
      <c r="A922" s="193" t="s">
        <v>3116</v>
      </c>
      <c r="B922" s="193" t="s">
        <v>3116</v>
      </c>
      <c r="C922" s="175">
        <v>2.63</v>
      </c>
      <c r="D922" s="271">
        <v>7.0437900000000004</v>
      </c>
      <c r="E922" s="272">
        <v>-7.87988</v>
      </c>
      <c r="F922" s="122" t="b">
        <f>IF(ISBLANK(FarmUnit[[#This Row],[1. Identifiant interne d’exploitation agricole*]]),"",IF(ISERROR(MATCH(FarmUnit[[#This Row],[1. Identifiant interne d’exploitation agricole*]],GroupMember[1. Identifiant interne d’exploitation agricole*],0)),FALSE,TRUE))</f>
        <v>1</v>
      </c>
      <c r="G922" s="4">
        <f t="shared" si="29"/>
        <v>7.0437900000000004</v>
      </c>
      <c r="H922" s="4">
        <f t="shared" si="30"/>
        <v>-7.87988</v>
      </c>
      <c r="I922" s="20" t="str">
        <f t="array" ref="I922">IF(ISBLANK(C922),"",IF(C922=MAX(IF(FarmUnit[1. Identifiant interne d’exploitation agricole*]=A922,FarmUnit[3. Superficie de l’unité agricole (ha)*])),"!","-"))</f>
        <v>!</v>
      </c>
      <c r="J922" s="9" t="str">
        <f ca="1">IFERROR(CONCATENATE(VLOOKUP(A922,GM_Table,12,FALSE)," ",(VLOOKUP(A922,GM_Table,13,FALSE))),"")</f>
        <v/>
      </c>
    </row>
    <row r="923" spans="1:10" ht="15" x14ac:dyDescent="0.2">
      <c r="A923" s="193" t="s">
        <v>3117</v>
      </c>
      <c r="B923" s="193" t="s">
        <v>3117</v>
      </c>
      <c r="C923" s="175">
        <v>1.3</v>
      </c>
      <c r="D923" s="271">
        <v>6.9936499999999997</v>
      </c>
      <c r="E923" s="272">
        <v>-7.8628200000000001</v>
      </c>
      <c r="F923" s="122" t="b">
        <f>IF(ISBLANK(FarmUnit[[#This Row],[1. Identifiant interne d’exploitation agricole*]]),"",IF(ISERROR(MATCH(FarmUnit[[#This Row],[1. Identifiant interne d’exploitation agricole*]],GroupMember[1. Identifiant interne d’exploitation agricole*],0)),FALSE,TRUE))</f>
        <v>1</v>
      </c>
      <c r="G923" s="4">
        <f t="shared" si="29"/>
        <v>6.9936499999999997</v>
      </c>
      <c r="H923" s="4">
        <f t="shared" si="30"/>
        <v>-7.8628200000000001</v>
      </c>
      <c r="I923" s="20" t="str">
        <f t="array" ref="I923">IF(ISBLANK(C923),"",IF(C923=MAX(IF(FarmUnit[1. Identifiant interne d’exploitation agricole*]=A923,FarmUnit[3. Superficie de l’unité agricole (ha)*])),"!","-"))</f>
        <v>!</v>
      </c>
      <c r="J923" s="9" t="str">
        <f ca="1">IFERROR(CONCATENATE(VLOOKUP(A923,GM_Table,12,FALSE)," ",(VLOOKUP(A923,GM_Table,13,FALSE))),"")</f>
        <v/>
      </c>
    </row>
    <row r="924" spans="1:10" ht="15" x14ac:dyDescent="0.2">
      <c r="A924" s="193" t="s">
        <v>3120</v>
      </c>
      <c r="B924" s="193" t="s">
        <v>3120</v>
      </c>
      <c r="C924" s="175">
        <v>1.82</v>
      </c>
      <c r="D924" s="271">
        <v>7.0098700000000003</v>
      </c>
      <c r="E924" s="272">
        <v>-7.8632200000000001</v>
      </c>
      <c r="F924" s="122" t="b">
        <f>IF(ISBLANK(FarmUnit[[#This Row],[1. Identifiant interne d’exploitation agricole*]]),"",IF(ISERROR(MATCH(FarmUnit[[#This Row],[1. Identifiant interne d’exploitation agricole*]],GroupMember[1. Identifiant interne d’exploitation agricole*],0)),FALSE,TRUE))</f>
        <v>1</v>
      </c>
      <c r="G924" s="4">
        <f t="shared" si="29"/>
        <v>7.0098700000000003</v>
      </c>
      <c r="H924" s="4">
        <f t="shared" si="30"/>
        <v>-7.8632200000000001</v>
      </c>
      <c r="I924" s="20" t="str">
        <f t="array" ref="I924">IF(ISBLANK(C924),"",IF(C924=MAX(IF(FarmUnit[1. Identifiant interne d’exploitation agricole*]=A924,FarmUnit[3. Superficie de l’unité agricole (ha)*])),"!","-"))</f>
        <v>!</v>
      </c>
      <c r="J924" s="9" t="str">
        <f ca="1">IFERROR(CONCATENATE(VLOOKUP(A924,GM_Table,12,FALSE)," ",(VLOOKUP(A924,GM_Table,13,FALSE))),"")</f>
        <v/>
      </c>
    </row>
    <row r="925" spans="1:10" ht="15" x14ac:dyDescent="0.2">
      <c r="A925" s="193" t="s">
        <v>3122</v>
      </c>
      <c r="B925" s="193" t="s">
        <v>3122</v>
      </c>
      <c r="C925" s="175">
        <v>6.56</v>
      </c>
      <c r="D925" s="271">
        <v>6.9920799999999996</v>
      </c>
      <c r="E925" s="272">
        <v>-7.9060800000000002</v>
      </c>
      <c r="F925" s="122" t="b">
        <f>IF(ISBLANK(FarmUnit[[#This Row],[1. Identifiant interne d’exploitation agricole*]]),"",IF(ISERROR(MATCH(FarmUnit[[#This Row],[1. Identifiant interne d’exploitation agricole*]],GroupMember[1. Identifiant interne d’exploitation agricole*],0)),FALSE,TRUE))</f>
        <v>1</v>
      </c>
      <c r="G925" s="4">
        <f t="shared" si="29"/>
        <v>6.9920799999999996</v>
      </c>
      <c r="H925" s="4">
        <f t="shared" si="30"/>
        <v>-7.9060800000000002</v>
      </c>
      <c r="I925" s="20" t="str">
        <f t="array" ref="I925">IF(ISBLANK(C925),"",IF(C925=MAX(IF(FarmUnit[1. Identifiant interne d’exploitation agricole*]=A925,FarmUnit[3. Superficie de l’unité agricole (ha)*])),"!","-"))</f>
        <v>!</v>
      </c>
      <c r="J925" s="9" t="str">
        <f ca="1">IFERROR(CONCATENATE(VLOOKUP(A925,GM_Table,12,FALSE)," ",(VLOOKUP(A925,GM_Table,13,FALSE))),"")</f>
        <v/>
      </c>
    </row>
    <row r="926" spans="1:10" ht="15" x14ac:dyDescent="0.2">
      <c r="A926" s="193" t="s">
        <v>3124</v>
      </c>
      <c r="B926" s="193" t="s">
        <v>3124</v>
      </c>
      <c r="C926" s="175">
        <v>1.92</v>
      </c>
      <c r="D926" s="271">
        <v>6.9946900000000003</v>
      </c>
      <c r="E926" s="272">
        <v>-7.9048400000000001</v>
      </c>
      <c r="F926" s="122" t="b">
        <f>IF(ISBLANK(FarmUnit[[#This Row],[1. Identifiant interne d’exploitation agricole*]]),"",IF(ISERROR(MATCH(FarmUnit[[#This Row],[1. Identifiant interne d’exploitation agricole*]],GroupMember[1. Identifiant interne d’exploitation agricole*],0)),FALSE,TRUE))</f>
        <v>1</v>
      </c>
      <c r="G926" s="4">
        <f t="shared" si="29"/>
        <v>6.9946900000000003</v>
      </c>
      <c r="H926" s="4">
        <f t="shared" si="30"/>
        <v>-7.9048400000000001</v>
      </c>
      <c r="I926" s="20" t="str">
        <f t="array" ref="I926">IF(ISBLANK(C926),"",IF(C926=MAX(IF(FarmUnit[1. Identifiant interne d’exploitation agricole*]=A926,FarmUnit[3. Superficie de l’unité agricole (ha)*])),"!","-"))</f>
        <v>!</v>
      </c>
      <c r="J926" s="9" t="str">
        <f ca="1">IFERROR(CONCATENATE(VLOOKUP(A926,GM_Table,12,FALSE)," ",(VLOOKUP(A926,GM_Table,13,FALSE))),"")</f>
        <v/>
      </c>
    </row>
    <row r="927" spans="1:10" ht="15" x14ac:dyDescent="0.2">
      <c r="A927" s="193" t="s">
        <v>3127</v>
      </c>
      <c r="B927" s="193" t="s">
        <v>3127</v>
      </c>
      <c r="C927" s="175">
        <v>2.9</v>
      </c>
      <c r="D927" s="271">
        <v>6.9964399999999998</v>
      </c>
      <c r="E927" s="272">
        <v>-7.9031000000000002</v>
      </c>
      <c r="F927" s="122" t="b">
        <f>IF(ISBLANK(FarmUnit[[#This Row],[1. Identifiant interne d’exploitation agricole*]]),"",IF(ISERROR(MATCH(FarmUnit[[#This Row],[1. Identifiant interne d’exploitation agricole*]],GroupMember[1. Identifiant interne d’exploitation agricole*],0)),FALSE,TRUE))</f>
        <v>1</v>
      </c>
      <c r="G927" s="4">
        <f t="shared" si="29"/>
        <v>6.9964399999999998</v>
      </c>
      <c r="H927" s="4">
        <f t="shared" si="30"/>
        <v>-7.9031000000000002</v>
      </c>
      <c r="I927" s="20" t="str">
        <f t="array" ref="I927">IF(ISBLANK(C927),"",IF(C927=MAX(IF(FarmUnit[1. Identifiant interne d’exploitation agricole*]=A927,FarmUnit[3. Superficie de l’unité agricole (ha)*])),"!","-"))</f>
        <v>!</v>
      </c>
      <c r="J927" s="9" t="str">
        <f ca="1">IFERROR(CONCATENATE(VLOOKUP(A927,GM_Table,12,FALSE)," ",(VLOOKUP(A927,GM_Table,13,FALSE))),"")</f>
        <v/>
      </c>
    </row>
    <row r="928" spans="1:10" ht="15" x14ac:dyDescent="0.2">
      <c r="A928" s="193" t="s">
        <v>3129</v>
      </c>
      <c r="B928" s="193" t="s">
        <v>3129</v>
      </c>
      <c r="C928" s="175">
        <v>2.41</v>
      </c>
      <c r="D928" s="271">
        <v>7.0041500000000001</v>
      </c>
      <c r="E928" s="272">
        <v>-7.9183599999999998</v>
      </c>
      <c r="F928" s="122" t="b">
        <f>IF(ISBLANK(FarmUnit[[#This Row],[1. Identifiant interne d’exploitation agricole*]]),"",IF(ISERROR(MATCH(FarmUnit[[#This Row],[1. Identifiant interne d’exploitation agricole*]],GroupMember[1. Identifiant interne d’exploitation agricole*],0)),FALSE,TRUE))</f>
        <v>1</v>
      </c>
      <c r="G928" s="4">
        <f t="shared" si="29"/>
        <v>7.0041500000000001</v>
      </c>
      <c r="H928" s="4">
        <f t="shared" si="30"/>
        <v>-7.9183599999999998</v>
      </c>
      <c r="I928" s="20" t="str">
        <f t="array" ref="I928">IF(ISBLANK(C928),"",IF(C928=MAX(IF(FarmUnit[1. Identifiant interne d’exploitation agricole*]=A928,FarmUnit[3. Superficie de l’unité agricole (ha)*])),"!","-"))</f>
        <v>!</v>
      </c>
      <c r="J928" s="9" t="str">
        <f ca="1">IFERROR(CONCATENATE(VLOOKUP(A928,GM_Table,12,FALSE)," ",(VLOOKUP(A928,GM_Table,13,FALSE))),"")</f>
        <v/>
      </c>
    </row>
    <row r="929" spans="1:10" ht="15" x14ac:dyDescent="0.2">
      <c r="A929" s="193" t="s">
        <v>3131</v>
      </c>
      <c r="B929" s="193" t="s">
        <v>3131</v>
      </c>
      <c r="C929" s="175">
        <v>3.82</v>
      </c>
      <c r="D929" s="271">
        <v>7.00352</v>
      </c>
      <c r="E929" s="272">
        <v>-7.9169</v>
      </c>
      <c r="F929" s="122" t="b">
        <f>IF(ISBLANK(FarmUnit[[#This Row],[1. Identifiant interne d’exploitation agricole*]]),"",IF(ISERROR(MATCH(FarmUnit[[#This Row],[1. Identifiant interne d’exploitation agricole*]],GroupMember[1. Identifiant interne d’exploitation agricole*],0)),FALSE,TRUE))</f>
        <v>1</v>
      </c>
      <c r="G929" s="4">
        <f t="shared" si="29"/>
        <v>7.00352</v>
      </c>
      <c r="H929" s="4">
        <f t="shared" si="30"/>
        <v>-7.9169</v>
      </c>
      <c r="I929" s="20" t="str">
        <f t="array" ref="I929">IF(ISBLANK(C929),"",IF(C929=MAX(IF(FarmUnit[1. Identifiant interne d’exploitation agricole*]=A929,FarmUnit[3. Superficie de l’unité agricole (ha)*])),"!","-"))</f>
        <v>!</v>
      </c>
      <c r="J929" s="9" t="str">
        <f ca="1">IFERROR(CONCATENATE(VLOOKUP(A929,GM_Table,12,FALSE)," ",(VLOOKUP(A929,GM_Table,13,FALSE))),"")</f>
        <v/>
      </c>
    </row>
    <row r="930" spans="1:10" ht="15" x14ac:dyDescent="0.2">
      <c r="A930" s="193" t="s">
        <v>3134</v>
      </c>
      <c r="B930" s="193" t="s">
        <v>3134</v>
      </c>
      <c r="C930" s="175">
        <v>5.08</v>
      </c>
      <c r="D930" s="271">
        <v>7.00535</v>
      </c>
      <c r="E930" s="272">
        <v>-7.9199599999999997</v>
      </c>
      <c r="F930" s="122" t="b">
        <f>IF(ISBLANK(FarmUnit[[#This Row],[1. Identifiant interne d’exploitation agricole*]]),"",IF(ISERROR(MATCH(FarmUnit[[#This Row],[1. Identifiant interne d’exploitation agricole*]],GroupMember[1. Identifiant interne d’exploitation agricole*],0)),FALSE,TRUE))</f>
        <v>1</v>
      </c>
      <c r="G930" s="4">
        <f t="shared" si="29"/>
        <v>7.00535</v>
      </c>
      <c r="H930" s="4">
        <f t="shared" si="30"/>
        <v>-7.9199599999999997</v>
      </c>
      <c r="I930" s="20" t="str">
        <f t="array" ref="I930">IF(ISBLANK(C930),"",IF(C930=MAX(IF(FarmUnit[1. Identifiant interne d’exploitation agricole*]=A930,FarmUnit[3. Superficie de l’unité agricole (ha)*])),"!","-"))</f>
        <v>!</v>
      </c>
      <c r="J930" s="9" t="str">
        <f ca="1">IFERROR(CONCATENATE(VLOOKUP(A930,GM_Table,12,FALSE)," ",(VLOOKUP(A930,GM_Table,13,FALSE))),"")</f>
        <v/>
      </c>
    </row>
    <row r="931" spans="1:10" ht="15" x14ac:dyDescent="0.2">
      <c r="A931" s="193" t="s">
        <v>3137</v>
      </c>
      <c r="B931" s="193" t="s">
        <v>3137</v>
      </c>
      <c r="C931" s="175">
        <v>3.77</v>
      </c>
      <c r="D931" s="271">
        <v>7.00298</v>
      </c>
      <c r="E931" s="272">
        <v>-7.9148199999999997</v>
      </c>
      <c r="F931" s="122" t="b">
        <f>IF(ISBLANK(FarmUnit[[#This Row],[1. Identifiant interne d’exploitation agricole*]]),"",IF(ISERROR(MATCH(FarmUnit[[#This Row],[1. Identifiant interne d’exploitation agricole*]],GroupMember[1. Identifiant interne d’exploitation agricole*],0)),FALSE,TRUE))</f>
        <v>1</v>
      </c>
      <c r="G931" s="4">
        <f t="shared" si="29"/>
        <v>7.00298</v>
      </c>
      <c r="H931" s="4">
        <f t="shared" si="30"/>
        <v>-7.9148199999999997</v>
      </c>
      <c r="I931" s="20" t="str">
        <f t="array" ref="I931">IF(ISBLANK(C931),"",IF(C931=MAX(IF(FarmUnit[1. Identifiant interne d’exploitation agricole*]=A931,FarmUnit[3. Superficie de l’unité agricole (ha)*])),"!","-"))</f>
        <v>!</v>
      </c>
      <c r="J931" s="9" t="str">
        <f ca="1">IFERROR(CONCATENATE(VLOOKUP(A931,GM_Table,12,FALSE)," ",(VLOOKUP(A931,GM_Table,13,FALSE))),"")</f>
        <v/>
      </c>
    </row>
    <row r="932" spans="1:10" ht="15" x14ac:dyDescent="0.2">
      <c r="A932" s="193" t="s">
        <v>3138</v>
      </c>
      <c r="B932" s="193" t="s">
        <v>3138</v>
      </c>
      <c r="C932" s="175">
        <v>6.43</v>
      </c>
      <c r="D932" s="271">
        <v>6.9958900000000002</v>
      </c>
      <c r="E932" s="272">
        <v>-7.9175700000000004</v>
      </c>
      <c r="F932" s="122" t="b">
        <f>IF(ISBLANK(FarmUnit[[#This Row],[1. Identifiant interne d’exploitation agricole*]]),"",IF(ISERROR(MATCH(FarmUnit[[#This Row],[1. Identifiant interne d’exploitation agricole*]],GroupMember[1. Identifiant interne d’exploitation agricole*],0)),FALSE,TRUE))</f>
        <v>1</v>
      </c>
      <c r="G932" s="4">
        <f t="shared" si="29"/>
        <v>6.9958900000000002</v>
      </c>
      <c r="H932" s="4">
        <f t="shared" si="30"/>
        <v>-7.9175700000000004</v>
      </c>
      <c r="I932" s="20" t="str">
        <f t="array" ref="I932">IF(ISBLANK(C932),"",IF(C932=MAX(IF(FarmUnit[1. Identifiant interne d’exploitation agricole*]=A932,FarmUnit[3. Superficie de l’unité agricole (ha)*])),"!","-"))</f>
        <v>!</v>
      </c>
      <c r="J932" s="9" t="str">
        <f ca="1">IFERROR(CONCATENATE(VLOOKUP(A932,GM_Table,12,FALSE)," ",(VLOOKUP(A932,GM_Table,13,FALSE))),"")</f>
        <v/>
      </c>
    </row>
    <row r="933" spans="1:10" ht="15" x14ac:dyDescent="0.2">
      <c r="A933" s="193" t="s">
        <v>3140</v>
      </c>
      <c r="B933" s="193" t="s">
        <v>3140</v>
      </c>
      <c r="C933" s="175">
        <v>2.86</v>
      </c>
      <c r="D933" s="271">
        <v>7.0005300000000004</v>
      </c>
      <c r="E933" s="272">
        <v>-7.9164000000000003</v>
      </c>
      <c r="F933" s="122" t="b">
        <f>IF(ISBLANK(FarmUnit[[#This Row],[1. Identifiant interne d’exploitation agricole*]]),"",IF(ISERROR(MATCH(FarmUnit[[#This Row],[1. Identifiant interne d’exploitation agricole*]],GroupMember[1. Identifiant interne d’exploitation agricole*],0)),FALSE,TRUE))</f>
        <v>1</v>
      </c>
      <c r="G933" s="4">
        <f t="shared" si="29"/>
        <v>7.0005300000000004</v>
      </c>
      <c r="H933" s="4">
        <f t="shared" si="30"/>
        <v>-7.9164000000000003</v>
      </c>
      <c r="I933" s="20" t="str">
        <f t="array" ref="I933">IF(ISBLANK(C933),"",IF(C933=MAX(IF(FarmUnit[1. Identifiant interne d’exploitation agricole*]=A933,FarmUnit[3. Superficie de l’unité agricole (ha)*])),"!","-"))</f>
        <v>!</v>
      </c>
      <c r="J933" s="9" t="str">
        <f ca="1">IFERROR(CONCATENATE(VLOOKUP(A933,GM_Table,12,FALSE)," ",(VLOOKUP(A933,GM_Table,13,FALSE))),"")</f>
        <v/>
      </c>
    </row>
    <row r="934" spans="1:10" ht="15" x14ac:dyDescent="0.2">
      <c r="A934" s="193" t="s">
        <v>3142</v>
      </c>
      <c r="B934" s="193" t="s">
        <v>3142</v>
      </c>
      <c r="C934" s="175">
        <v>6.08</v>
      </c>
      <c r="D934" s="271">
        <v>6.9961399999999996</v>
      </c>
      <c r="E934" s="272">
        <v>-7.9142000000000001</v>
      </c>
      <c r="F934" s="122" t="b">
        <f>IF(ISBLANK(FarmUnit[[#This Row],[1. Identifiant interne d’exploitation agricole*]]),"",IF(ISERROR(MATCH(FarmUnit[[#This Row],[1. Identifiant interne d’exploitation agricole*]],GroupMember[1. Identifiant interne d’exploitation agricole*],0)),FALSE,TRUE))</f>
        <v>1</v>
      </c>
      <c r="G934" s="4">
        <f t="shared" si="29"/>
        <v>6.9961399999999996</v>
      </c>
      <c r="H934" s="4">
        <f t="shared" si="30"/>
        <v>-7.9142000000000001</v>
      </c>
      <c r="I934" s="20" t="str">
        <f t="array" ref="I934">IF(ISBLANK(C934),"",IF(C934=MAX(IF(FarmUnit[1. Identifiant interne d’exploitation agricole*]=A934,FarmUnit[3. Superficie de l’unité agricole (ha)*])),"!","-"))</f>
        <v>!</v>
      </c>
      <c r="J934" s="9" t="str">
        <f ca="1">IFERROR(CONCATENATE(VLOOKUP(A934,GM_Table,12,FALSE)," ",(VLOOKUP(A934,GM_Table,13,FALSE))),"")</f>
        <v/>
      </c>
    </row>
    <row r="935" spans="1:10" ht="15" x14ac:dyDescent="0.2">
      <c r="A935" s="193" t="s">
        <v>3144</v>
      </c>
      <c r="B935" s="193" t="s">
        <v>3144</v>
      </c>
      <c r="C935" s="175">
        <v>1.92</v>
      </c>
      <c r="D935" s="271">
        <v>7.0319000000000003</v>
      </c>
      <c r="E935" s="272">
        <v>-7.9028999999999998</v>
      </c>
      <c r="F935" s="122" t="b">
        <f>IF(ISBLANK(FarmUnit[[#This Row],[1. Identifiant interne d’exploitation agricole*]]),"",IF(ISERROR(MATCH(FarmUnit[[#This Row],[1. Identifiant interne d’exploitation agricole*]],GroupMember[1. Identifiant interne d’exploitation agricole*],0)),FALSE,TRUE))</f>
        <v>1</v>
      </c>
      <c r="G935" s="4">
        <f t="shared" si="29"/>
        <v>7.0319000000000003</v>
      </c>
      <c r="H935" s="4">
        <f t="shared" si="30"/>
        <v>-7.9028999999999998</v>
      </c>
      <c r="I935" s="20" t="str">
        <f t="array" ref="I935">IF(ISBLANK(C935),"",IF(C935=MAX(IF(FarmUnit[1. Identifiant interne d’exploitation agricole*]=A935,FarmUnit[3. Superficie de l’unité agricole (ha)*])),"!","-"))</f>
        <v>!</v>
      </c>
      <c r="J935" s="9" t="str">
        <f ca="1">IFERROR(CONCATENATE(VLOOKUP(A935,GM_Table,12,FALSE)," ",(VLOOKUP(A935,GM_Table,13,FALSE))),"")</f>
        <v/>
      </c>
    </row>
    <row r="936" spans="1:10" ht="15" x14ac:dyDescent="0.2">
      <c r="A936" s="193" t="s">
        <v>3147</v>
      </c>
      <c r="B936" s="193" t="s">
        <v>3147</v>
      </c>
      <c r="C936" s="175">
        <v>7.87</v>
      </c>
      <c r="D936" s="271">
        <v>7.0212000000000003</v>
      </c>
      <c r="E936" s="272">
        <v>-7.9080000000000004</v>
      </c>
      <c r="F936" s="122" t="b">
        <f>IF(ISBLANK(FarmUnit[[#This Row],[1. Identifiant interne d’exploitation agricole*]]),"",IF(ISERROR(MATCH(FarmUnit[[#This Row],[1. Identifiant interne d’exploitation agricole*]],GroupMember[1. Identifiant interne d’exploitation agricole*],0)),FALSE,TRUE))</f>
        <v>1</v>
      </c>
      <c r="G936" s="4">
        <f t="shared" si="29"/>
        <v>7.0212000000000003</v>
      </c>
      <c r="H936" s="4">
        <f t="shared" si="30"/>
        <v>-7.9080000000000004</v>
      </c>
      <c r="I936" s="20" t="str">
        <f t="array" ref="I936">IF(ISBLANK(C936),"",IF(C936=MAX(IF(FarmUnit[1. Identifiant interne d’exploitation agricole*]=A936,FarmUnit[3. Superficie de l’unité agricole (ha)*])),"!","-"))</f>
        <v>!</v>
      </c>
      <c r="J936" s="9" t="str">
        <f ca="1">IFERROR(CONCATENATE(VLOOKUP(A936,GM_Table,12,FALSE)," ",(VLOOKUP(A936,GM_Table,13,FALSE))),"")</f>
        <v/>
      </c>
    </row>
    <row r="937" spans="1:10" ht="15" x14ac:dyDescent="0.2">
      <c r="A937" s="193" t="s">
        <v>3148</v>
      </c>
      <c r="B937" s="193" t="s">
        <v>3148</v>
      </c>
      <c r="C937" s="175">
        <v>5.57</v>
      </c>
      <c r="D937" s="271">
        <v>7.0225</v>
      </c>
      <c r="E937" s="272">
        <v>-7.9055999999999997</v>
      </c>
      <c r="F937" s="122" t="b">
        <f>IF(ISBLANK(FarmUnit[[#This Row],[1. Identifiant interne d’exploitation agricole*]]),"",IF(ISERROR(MATCH(FarmUnit[[#This Row],[1. Identifiant interne d’exploitation agricole*]],GroupMember[1. Identifiant interne d’exploitation agricole*],0)),FALSE,TRUE))</f>
        <v>1</v>
      </c>
      <c r="G937" s="4">
        <f t="shared" si="29"/>
        <v>7.0225</v>
      </c>
      <c r="H937" s="4">
        <f t="shared" si="30"/>
        <v>-7.9055999999999997</v>
      </c>
      <c r="I937" s="20" t="str">
        <f t="array" ref="I937">IF(ISBLANK(C937),"",IF(C937=MAX(IF(FarmUnit[1. Identifiant interne d’exploitation agricole*]=A937,FarmUnit[3. Superficie de l’unité agricole (ha)*])),"!","-"))</f>
        <v>!</v>
      </c>
      <c r="J937" s="9" t="str">
        <f ca="1">IFERROR(CONCATENATE(VLOOKUP(A937,GM_Table,12,FALSE)," ",(VLOOKUP(A937,GM_Table,13,FALSE))),"")</f>
        <v/>
      </c>
    </row>
    <row r="938" spans="1:10" ht="15" x14ac:dyDescent="0.2">
      <c r="A938" s="193" t="s">
        <v>3151</v>
      </c>
      <c r="B938" s="193" t="s">
        <v>3151</v>
      </c>
      <c r="C938" s="175">
        <v>1.49</v>
      </c>
      <c r="D938" s="271">
        <v>7.0224000000000002</v>
      </c>
      <c r="E938" s="272">
        <v>-7.9046000000000003</v>
      </c>
      <c r="F938" s="122" t="b">
        <f>IF(ISBLANK(FarmUnit[[#This Row],[1. Identifiant interne d’exploitation agricole*]]),"",IF(ISERROR(MATCH(FarmUnit[[#This Row],[1. Identifiant interne d’exploitation agricole*]],GroupMember[1. Identifiant interne d’exploitation agricole*],0)),FALSE,TRUE))</f>
        <v>1</v>
      </c>
      <c r="G938" s="4">
        <f t="shared" si="29"/>
        <v>7.0224000000000002</v>
      </c>
      <c r="H938" s="4">
        <f t="shared" si="30"/>
        <v>-7.9046000000000003</v>
      </c>
      <c r="I938" s="20" t="str">
        <f t="array" ref="I938">IF(ISBLANK(C938),"",IF(C938=MAX(IF(FarmUnit[1. Identifiant interne d’exploitation agricole*]=A938,FarmUnit[3. Superficie de l’unité agricole (ha)*])),"!","-"))</f>
        <v>!</v>
      </c>
      <c r="J938" s="9" t="str">
        <f ca="1">IFERROR(CONCATENATE(VLOOKUP(A938,GM_Table,12,FALSE)," ",(VLOOKUP(A938,GM_Table,13,FALSE))),"")</f>
        <v/>
      </c>
    </row>
    <row r="939" spans="1:10" ht="15" x14ac:dyDescent="0.2">
      <c r="A939" s="193" t="s">
        <v>3154</v>
      </c>
      <c r="B939" s="193" t="s">
        <v>3154</v>
      </c>
      <c r="C939" s="175">
        <v>3.12</v>
      </c>
      <c r="D939" s="271">
        <v>7.0426000000000002</v>
      </c>
      <c r="E939" s="272">
        <v>-7.9223999999999997</v>
      </c>
      <c r="F939" s="122" t="b">
        <f>IF(ISBLANK(FarmUnit[[#This Row],[1. Identifiant interne d’exploitation agricole*]]),"",IF(ISERROR(MATCH(FarmUnit[[#This Row],[1. Identifiant interne d’exploitation agricole*]],GroupMember[1. Identifiant interne d’exploitation agricole*],0)),FALSE,TRUE))</f>
        <v>1</v>
      </c>
      <c r="G939" s="4">
        <f t="shared" si="29"/>
        <v>7.0426000000000002</v>
      </c>
      <c r="H939" s="4">
        <f t="shared" si="30"/>
        <v>-7.9223999999999997</v>
      </c>
      <c r="I939" s="20" t="str">
        <f t="array" ref="I939">IF(ISBLANK(C939),"",IF(C939=MAX(IF(FarmUnit[1. Identifiant interne d’exploitation agricole*]=A939,FarmUnit[3. Superficie de l’unité agricole (ha)*])),"!","-"))</f>
        <v>!</v>
      </c>
      <c r="J939" s="9" t="str">
        <f ca="1">IFERROR(CONCATENATE(VLOOKUP(A939,GM_Table,12,FALSE)," ",(VLOOKUP(A939,GM_Table,13,FALSE))),"")</f>
        <v/>
      </c>
    </row>
    <row r="940" spans="1:10" ht="15" x14ac:dyDescent="0.2">
      <c r="A940" s="193" t="s">
        <v>3157</v>
      </c>
      <c r="B940" s="193" t="s">
        <v>3157</v>
      </c>
      <c r="C940" s="175">
        <v>2.87</v>
      </c>
      <c r="D940" s="271">
        <v>7.0301</v>
      </c>
      <c r="E940" s="272">
        <v>-7.9053000000000004</v>
      </c>
      <c r="F940" s="122" t="b">
        <f>IF(ISBLANK(FarmUnit[[#This Row],[1. Identifiant interne d’exploitation agricole*]]),"",IF(ISERROR(MATCH(FarmUnit[[#This Row],[1. Identifiant interne d’exploitation agricole*]],GroupMember[1. Identifiant interne d’exploitation agricole*],0)),FALSE,TRUE))</f>
        <v>1</v>
      </c>
      <c r="G940" s="4">
        <f t="shared" si="29"/>
        <v>7.0301</v>
      </c>
      <c r="H940" s="4">
        <f t="shared" si="30"/>
        <v>-7.9053000000000004</v>
      </c>
      <c r="I940" s="20" t="str">
        <f t="array" ref="I940">IF(ISBLANK(C940),"",IF(C940=MAX(IF(FarmUnit[1. Identifiant interne d’exploitation agricole*]=A940,FarmUnit[3. Superficie de l’unité agricole (ha)*])),"!","-"))</f>
        <v>!</v>
      </c>
      <c r="J940" s="9" t="str">
        <f ca="1">IFERROR(CONCATENATE(VLOOKUP(A940,GM_Table,12,FALSE)," ",(VLOOKUP(A940,GM_Table,13,FALSE))),"")</f>
        <v/>
      </c>
    </row>
    <row r="941" spans="1:10" ht="15" x14ac:dyDescent="0.2">
      <c r="A941" s="193" t="s">
        <v>3159</v>
      </c>
      <c r="B941" s="193" t="s">
        <v>3159</v>
      </c>
      <c r="C941" s="175">
        <v>2.12</v>
      </c>
      <c r="D941" s="271">
        <v>7.0321999999999996</v>
      </c>
      <c r="E941" s="272">
        <v>-7.9162999999999997</v>
      </c>
      <c r="F941" s="122" t="b">
        <f>IF(ISBLANK(FarmUnit[[#This Row],[1. Identifiant interne d’exploitation agricole*]]),"",IF(ISERROR(MATCH(FarmUnit[[#This Row],[1. Identifiant interne d’exploitation agricole*]],GroupMember[1. Identifiant interne d’exploitation agricole*],0)),FALSE,TRUE))</f>
        <v>1</v>
      </c>
      <c r="G941" s="4">
        <f t="shared" si="29"/>
        <v>7.0321999999999996</v>
      </c>
      <c r="H941" s="4">
        <f t="shared" si="30"/>
        <v>-7.9162999999999997</v>
      </c>
      <c r="I941" s="20" t="str">
        <f t="array" ref="I941">IF(ISBLANK(C941),"",IF(C941=MAX(IF(FarmUnit[1. Identifiant interne d’exploitation agricole*]=A941,FarmUnit[3. Superficie de l’unité agricole (ha)*])),"!","-"))</f>
        <v>!</v>
      </c>
      <c r="J941" s="9" t="str">
        <f ca="1">IFERROR(CONCATENATE(VLOOKUP(A941,GM_Table,12,FALSE)," ",(VLOOKUP(A941,GM_Table,13,FALSE))),"")</f>
        <v/>
      </c>
    </row>
    <row r="942" spans="1:10" ht="15" x14ac:dyDescent="0.2">
      <c r="A942" s="193" t="s">
        <v>3162</v>
      </c>
      <c r="B942" s="193" t="s">
        <v>3162</v>
      </c>
      <c r="C942" s="175">
        <v>3.12</v>
      </c>
      <c r="D942" s="271">
        <v>7.0251999999999999</v>
      </c>
      <c r="E942" s="272">
        <v>-7.8998999999999997</v>
      </c>
      <c r="F942" s="122" t="b">
        <f>IF(ISBLANK(FarmUnit[[#This Row],[1. Identifiant interne d’exploitation agricole*]]),"",IF(ISERROR(MATCH(FarmUnit[[#This Row],[1. Identifiant interne d’exploitation agricole*]],GroupMember[1. Identifiant interne d’exploitation agricole*],0)),FALSE,TRUE))</f>
        <v>1</v>
      </c>
      <c r="G942" s="4">
        <f t="shared" si="29"/>
        <v>7.0251999999999999</v>
      </c>
      <c r="H942" s="4">
        <f t="shared" si="30"/>
        <v>-7.8998999999999997</v>
      </c>
      <c r="I942" s="20" t="str">
        <f t="array" ref="I942">IF(ISBLANK(C942),"",IF(C942=MAX(IF(FarmUnit[1. Identifiant interne d’exploitation agricole*]=A942,FarmUnit[3. Superficie de l’unité agricole (ha)*])),"!","-"))</f>
        <v>!</v>
      </c>
      <c r="J942" s="9" t="str">
        <f ca="1">IFERROR(CONCATENATE(VLOOKUP(A942,GM_Table,12,FALSE)," ",(VLOOKUP(A942,GM_Table,13,FALSE))),"")</f>
        <v/>
      </c>
    </row>
    <row r="943" spans="1:10" ht="15" x14ac:dyDescent="0.2">
      <c r="A943" s="193" t="s">
        <v>3164</v>
      </c>
      <c r="B943" s="193" t="s">
        <v>3164</v>
      </c>
      <c r="C943" s="175">
        <v>2.0299999999999998</v>
      </c>
      <c r="D943" s="271">
        <v>6.9751000000000003</v>
      </c>
      <c r="E943" s="272">
        <v>-7.7923999999999998</v>
      </c>
      <c r="F943" s="122" t="b">
        <f>IF(ISBLANK(FarmUnit[[#This Row],[1. Identifiant interne d’exploitation agricole*]]),"",IF(ISERROR(MATCH(FarmUnit[[#This Row],[1. Identifiant interne d’exploitation agricole*]],GroupMember[1. Identifiant interne d’exploitation agricole*],0)),FALSE,TRUE))</f>
        <v>1</v>
      </c>
      <c r="G943" s="4">
        <f t="shared" si="29"/>
        <v>6.9751000000000003</v>
      </c>
      <c r="H943" s="4">
        <f t="shared" si="30"/>
        <v>-7.7923999999999998</v>
      </c>
      <c r="I943" s="20" t="str">
        <f t="array" ref="I943">IF(ISBLANK(C943),"",IF(C943=MAX(IF(FarmUnit[1. Identifiant interne d’exploitation agricole*]=A943,FarmUnit[3. Superficie de l’unité agricole (ha)*])),"!","-"))</f>
        <v>!</v>
      </c>
      <c r="J943" s="9" t="str">
        <f ca="1">IFERROR(CONCATENATE(VLOOKUP(A943,GM_Table,12,FALSE)," ",(VLOOKUP(A943,GM_Table,13,FALSE))),"")</f>
        <v/>
      </c>
    </row>
    <row r="944" spans="1:10" ht="15" x14ac:dyDescent="0.2">
      <c r="A944" s="193" t="s">
        <v>3168</v>
      </c>
      <c r="B944" s="193" t="s">
        <v>3168</v>
      </c>
      <c r="C944" s="175">
        <v>1.17</v>
      </c>
      <c r="D944" s="271">
        <v>7.0406000000000004</v>
      </c>
      <c r="E944" s="272">
        <v>-7.8278999999999996</v>
      </c>
      <c r="F944" s="122" t="b">
        <f>IF(ISBLANK(FarmUnit[[#This Row],[1. Identifiant interne d’exploitation agricole*]]),"",IF(ISERROR(MATCH(FarmUnit[[#This Row],[1. Identifiant interne d’exploitation agricole*]],GroupMember[1. Identifiant interne d’exploitation agricole*],0)),FALSE,TRUE))</f>
        <v>1</v>
      </c>
      <c r="G944" s="4">
        <f t="shared" si="29"/>
        <v>7.0406000000000004</v>
      </c>
      <c r="H944" s="4">
        <f t="shared" si="30"/>
        <v>-7.8278999999999996</v>
      </c>
      <c r="I944" s="20" t="str">
        <f t="array" ref="I944">IF(ISBLANK(C944),"",IF(C944=MAX(IF(FarmUnit[1. Identifiant interne d’exploitation agricole*]=A944,FarmUnit[3. Superficie de l’unité agricole (ha)*])),"!","-"))</f>
        <v>!</v>
      </c>
      <c r="J944" s="9" t="str">
        <f ca="1">IFERROR(CONCATENATE(VLOOKUP(A944,GM_Table,12,FALSE)," ",(VLOOKUP(A944,GM_Table,13,FALSE))),"")</f>
        <v/>
      </c>
    </row>
    <row r="945" spans="1:10" ht="15" x14ac:dyDescent="0.2">
      <c r="A945" s="193" t="s">
        <v>3171</v>
      </c>
      <c r="B945" s="193" t="s">
        <v>3171</v>
      </c>
      <c r="C945" s="175">
        <v>1.67</v>
      </c>
      <c r="D945" s="271">
        <v>7.0411999999999999</v>
      </c>
      <c r="E945" s="272">
        <v>-7.8268000000000004</v>
      </c>
      <c r="F945" s="122" t="b">
        <f>IF(ISBLANK(FarmUnit[[#This Row],[1. Identifiant interne d’exploitation agricole*]]),"",IF(ISERROR(MATCH(FarmUnit[[#This Row],[1. Identifiant interne d’exploitation agricole*]],GroupMember[1. Identifiant interne d’exploitation agricole*],0)),FALSE,TRUE))</f>
        <v>1</v>
      </c>
      <c r="G945" s="4">
        <f t="shared" si="29"/>
        <v>7.0411999999999999</v>
      </c>
      <c r="H945" s="4">
        <f t="shared" si="30"/>
        <v>-7.8268000000000004</v>
      </c>
      <c r="I945" s="20" t="str">
        <f t="array" ref="I945">IF(ISBLANK(C945),"",IF(C945=MAX(IF(FarmUnit[1. Identifiant interne d’exploitation agricole*]=A945,FarmUnit[3. Superficie de l’unité agricole (ha)*])),"!","-"))</f>
        <v>!</v>
      </c>
      <c r="J945" s="9" t="str">
        <f ca="1">IFERROR(CONCATENATE(VLOOKUP(A945,GM_Table,12,FALSE)," ",(VLOOKUP(A945,GM_Table,13,FALSE))),"")</f>
        <v/>
      </c>
    </row>
    <row r="946" spans="1:10" ht="15" x14ac:dyDescent="0.2">
      <c r="A946" s="193" t="s">
        <v>3174</v>
      </c>
      <c r="B946" s="193" t="s">
        <v>3174</v>
      </c>
      <c r="C946" s="175">
        <v>0.84</v>
      </c>
      <c r="D946" s="271">
        <v>7.0301999999999998</v>
      </c>
      <c r="E946" s="272">
        <v>-7.8255999999999997</v>
      </c>
      <c r="F946" s="122" t="b">
        <f>IF(ISBLANK(FarmUnit[[#This Row],[1. Identifiant interne d’exploitation agricole*]]),"",IF(ISERROR(MATCH(FarmUnit[[#This Row],[1. Identifiant interne d’exploitation agricole*]],GroupMember[1. Identifiant interne d’exploitation agricole*],0)),FALSE,TRUE))</f>
        <v>1</v>
      </c>
      <c r="G946" s="4">
        <f t="shared" si="29"/>
        <v>7.0301999999999998</v>
      </c>
      <c r="H946" s="4">
        <f t="shared" si="30"/>
        <v>-7.8255999999999997</v>
      </c>
      <c r="I946" s="20" t="str">
        <f t="array" ref="I946">IF(ISBLANK(C946),"",IF(C946=MAX(IF(FarmUnit[1. Identifiant interne d’exploitation agricole*]=A946,FarmUnit[3. Superficie de l’unité agricole (ha)*])),"!","-"))</f>
        <v>!</v>
      </c>
      <c r="J946" s="9" t="str">
        <f ca="1">IFERROR(CONCATENATE(VLOOKUP(A946,GM_Table,12,FALSE)," ",(VLOOKUP(A946,GM_Table,13,FALSE))),"")</f>
        <v/>
      </c>
    </row>
    <row r="947" spans="1:10" ht="15" x14ac:dyDescent="0.2">
      <c r="A947" s="193" t="s">
        <v>3176</v>
      </c>
      <c r="B947" s="193" t="s">
        <v>3176</v>
      </c>
      <c r="C947" s="225">
        <v>4.3899999999999997</v>
      </c>
      <c r="D947" s="271">
        <v>6.7533820000000002</v>
      </c>
      <c r="E947" s="272">
        <v>-8.0793110000000006</v>
      </c>
      <c r="F947" s="122" t="b">
        <f>IF(ISBLANK(FarmUnit[[#This Row],[1. Identifiant interne d’exploitation agricole*]]),"",IF(ISERROR(MATCH(FarmUnit[[#This Row],[1. Identifiant interne d’exploitation agricole*]],GroupMember[1. Identifiant interne d’exploitation agricole*],0)),FALSE,TRUE))</f>
        <v>1</v>
      </c>
      <c r="G947" s="4">
        <f t="shared" ref="G947:G1000" si="31">IF(D947=0,"",D947)</f>
        <v>6.7533820000000002</v>
      </c>
      <c r="H947" s="4">
        <f t="shared" ref="H947:H1000" si="32">IF(E947=0,"",E947)</f>
        <v>-8.0793110000000006</v>
      </c>
      <c r="I947" s="20" t="str">
        <f t="array" ref="I947">IF(ISBLANK(C947),"",IF(C947=MAX(IF(FarmUnit[1. Identifiant interne d’exploitation agricole*]=A947,FarmUnit[3. Superficie de l’unité agricole (ha)*])),"!","-"))</f>
        <v>!</v>
      </c>
      <c r="J947" s="9" t="str">
        <f ca="1">IFERROR(CONCATENATE(VLOOKUP(A947,GM_Table,12,FALSE)," ",(VLOOKUP(A947,GM_Table,13,FALSE))),"")</f>
        <v/>
      </c>
    </row>
    <row r="948" spans="1:10" ht="15" x14ac:dyDescent="0.2">
      <c r="A948" s="193" t="s">
        <v>3179</v>
      </c>
      <c r="B948" s="193" t="s">
        <v>3179</v>
      </c>
      <c r="C948" s="225">
        <v>2.21</v>
      </c>
      <c r="D948" s="271">
        <v>6.7592629999999998</v>
      </c>
      <c r="E948" s="272">
        <v>-8.1159130000000008</v>
      </c>
      <c r="F948" s="122" t="b">
        <f>IF(ISBLANK(FarmUnit[[#This Row],[1. Identifiant interne d’exploitation agricole*]]),"",IF(ISERROR(MATCH(FarmUnit[[#This Row],[1. Identifiant interne d’exploitation agricole*]],GroupMember[1. Identifiant interne d’exploitation agricole*],0)),FALSE,TRUE))</f>
        <v>1</v>
      </c>
      <c r="G948" s="4">
        <f t="shared" si="31"/>
        <v>6.7592629999999998</v>
      </c>
      <c r="H948" s="4">
        <f t="shared" si="32"/>
        <v>-8.1159130000000008</v>
      </c>
      <c r="I948" s="20" t="str">
        <f t="array" ref="I948">IF(ISBLANK(C948),"",IF(C948=MAX(IF(FarmUnit[1. Identifiant interne d’exploitation agricole*]=A948,FarmUnit[3. Superficie de l’unité agricole (ha)*])),"!","-"))</f>
        <v>!</v>
      </c>
      <c r="J948" s="9" t="str">
        <f ca="1">IFERROR(CONCATENATE(VLOOKUP(A948,GM_Table,12,FALSE)," ",(VLOOKUP(A948,GM_Table,13,FALSE))),"")</f>
        <v/>
      </c>
    </row>
    <row r="949" spans="1:10" ht="15" x14ac:dyDescent="0.2">
      <c r="A949" s="193" t="s">
        <v>3181</v>
      </c>
      <c r="B949" s="193" t="s">
        <v>3181</v>
      </c>
      <c r="C949" s="225">
        <v>1.74</v>
      </c>
      <c r="D949" s="271">
        <v>6.7518890000000003</v>
      </c>
      <c r="E949" s="272">
        <v>-8.1087260000000008</v>
      </c>
      <c r="F949" s="122" t="b">
        <f>IF(ISBLANK(FarmUnit[[#This Row],[1. Identifiant interne d’exploitation agricole*]]),"",IF(ISERROR(MATCH(FarmUnit[[#This Row],[1. Identifiant interne d’exploitation agricole*]],GroupMember[1. Identifiant interne d’exploitation agricole*],0)),FALSE,TRUE))</f>
        <v>1</v>
      </c>
      <c r="G949" s="4">
        <f t="shared" si="31"/>
        <v>6.7518890000000003</v>
      </c>
      <c r="H949" s="4">
        <f t="shared" si="32"/>
        <v>-8.1087260000000008</v>
      </c>
      <c r="I949" s="20" t="str">
        <f t="array" ref="I949">IF(ISBLANK(C949),"",IF(C949=MAX(IF(FarmUnit[1. Identifiant interne d’exploitation agricole*]=A949,FarmUnit[3. Superficie de l’unité agricole (ha)*])),"!","-"))</f>
        <v>!</v>
      </c>
      <c r="J949" s="9" t="str">
        <f ca="1">IFERROR(CONCATENATE(VLOOKUP(A949,GM_Table,12,FALSE)," ",(VLOOKUP(A949,GM_Table,13,FALSE))),"")</f>
        <v/>
      </c>
    </row>
    <row r="950" spans="1:10" ht="15" x14ac:dyDescent="0.2">
      <c r="A950" s="193" t="s">
        <v>3182</v>
      </c>
      <c r="B950" s="193" t="s">
        <v>3182</v>
      </c>
      <c r="C950" s="225">
        <v>1.92</v>
      </c>
      <c r="D950" s="271">
        <v>6.7509220000000001</v>
      </c>
      <c r="E950" s="272">
        <v>-8.1170989999999996</v>
      </c>
      <c r="F950" s="122" t="b">
        <f>IF(ISBLANK(FarmUnit[[#This Row],[1. Identifiant interne d’exploitation agricole*]]),"",IF(ISERROR(MATCH(FarmUnit[[#This Row],[1. Identifiant interne d’exploitation agricole*]],GroupMember[1. Identifiant interne d’exploitation agricole*],0)),FALSE,TRUE))</f>
        <v>1</v>
      </c>
      <c r="G950" s="4">
        <f t="shared" si="31"/>
        <v>6.7509220000000001</v>
      </c>
      <c r="H950" s="4">
        <f t="shared" si="32"/>
        <v>-8.1170989999999996</v>
      </c>
      <c r="I950" s="20" t="str">
        <f t="array" ref="I950">IF(ISBLANK(C950),"",IF(C950=MAX(IF(FarmUnit[1. Identifiant interne d’exploitation agricole*]=A950,FarmUnit[3. Superficie de l’unité agricole (ha)*])),"!","-"))</f>
        <v>!</v>
      </c>
      <c r="J950" s="9" t="str">
        <f ca="1">IFERROR(CONCATENATE(VLOOKUP(A950,GM_Table,12,FALSE)," ",(VLOOKUP(A950,GM_Table,13,FALSE))),"")</f>
        <v/>
      </c>
    </row>
    <row r="951" spans="1:10" ht="15" x14ac:dyDescent="0.2">
      <c r="A951" s="193" t="s">
        <v>3183</v>
      </c>
      <c r="B951" s="193" t="s">
        <v>3183</v>
      </c>
      <c r="C951" s="156">
        <v>3</v>
      </c>
      <c r="D951" s="271">
        <v>6.7527879999999998</v>
      </c>
      <c r="E951" s="272">
        <v>-8.1097099999999998</v>
      </c>
      <c r="F951" s="122" t="b">
        <f>IF(ISBLANK(FarmUnit[[#This Row],[1. Identifiant interne d’exploitation agricole*]]),"",IF(ISERROR(MATCH(FarmUnit[[#This Row],[1. Identifiant interne d’exploitation agricole*]],GroupMember[1. Identifiant interne d’exploitation agricole*],0)),FALSE,TRUE))</f>
        <v>1</v>
      </c>
      <c r="G951" s="4">
        <f t="shared" si="31"/>
        <v>6.7527879999999998</v>
      </c>
      <c r="H951" s="4">
        <f t="shared" si="32"/>
        <v>-8.1097099999999998</v>
      </c>
      <c r="I951" s="20" t="str">
        <f t="array" ref="I951">IF(ISBLANK(C951),"",IF(C951=MAX(IF(FarmUnit[1. Identifiant interne d’exploitation agricole*]=A951,FarmUnit[3. Superficie de l’unité agricole (ha)*])),"!","-"))</f>
        <v>!</v>
      </c>
      <c r="J951" s="9" t="str">
        <f ca="1">IFERROR(CONCATENATE(VLOOKUP(A951,GM_Table,12,FALSE)," ",(VLOOKUP(A951,GM_Table,13,FALSE))),"")</f>
        <v/>
      </c>
    </row>
    <row r="952" spans="1:10" ht="15" x14ac:dyDescent="0.2">
      <c r="A952" s="193" t="s">
        <v>3184</v>
      </c>
      <c r="B952" s="193" t="s">
        <v>3184</v>
      </c>
      <c r="C952" s="227">
        <v>1.3</v>
      </c>
      <c r="D952" s="271">
        <v>6.6388980000000002</v>
      </c>
      <c r="E952" s="272">
        <v>-8.0780150000000006</v>
      </c>
      <c r="F952" s="122" t="b">
        <f>IF(ISBLANK(FarmUnit[[#This Row],[1. Identifiant interne d’exploitation agricole*]]),"",IF(ISERROR(MATCH(FarmUnit[[#This Row],[1. Identifiant interne d’exploitation agricole*]],GroupMember[1. Identifiant interne d’exploitation agricole*],0)),FALSE,TRUE))</f>
        <v>1</v>
      </c>
      <c r="G952" s="4">
        <f t="shared" si="31"/>
        <v>6.6388980000000002</v>
      </c>
      <c r="H952" s="4">
        <f t="shared" si="32"/>
        <v>-8.0780150000000006</v>
      </c>
      <c r="I952" s="20" t="str">
        <f t="array" ref="I952">IF(ISBLANK(C952),"",IF(C952=MAX(IF(FarmUnit[1. Identifiant interne d’exploitation agricole*]=A952,FarmUnit[3. Superficie de l’unité agricole (ha)*])),"!","-"))</f>
        <v>!</v>
      </c>
      <c r="J952" s="9" t="str">
        <f ca="1">IFERROR(CONCATENATE(VLOOKUP(A952,GM_Table,12,FALSE)," ",(VLOOKUP(A952,GM_Table,13,FALSE))),"")</f>
        <v/>
      </c>
    </row>
    <row r="953" spans="1:10" ht="15" x14ac:dyDescent="0.2">
      <c r="A953" s="193" t="s">
        <v>3188</v>
      </c>
      <c r="B953" s="193" t="s">
        <v>3188</v>
      </c>
      <c r="C953" s="225">
        <v>1.091</v>
      </c>
      <c r="D953" s="271">
        <v>6.7118219999999997</v>
      </c>
      <c r="E953" s="272">
        <v>-8.0686149999999994</v>
      </c>
      <c r="F953" s="122" t="b">
        <f>IF(ISBLANK(FarmUnit[[#This Row],[1. Identifiant interne d’exploitation agricole*]]),"",IF(ISERROR(MATCH(FarmUnit[[#This Row],[1. Identifiant interne d’exploitation agricole*]],GroupMember[1. Identifiant interne d’exploitation agricole*],0)),FALSE,TRUE))</f>
        <v>1</v>
      </c>
      <c r="G953" s="4">
        <f t="shared" si="31"/>
        <v>6.7118219999999997</v>
      </c>
      <c r="H953" s="4">
        <f t="shared" si="32"/>
        <v>-8.0686149999999994</v>
      </c>
      <c r="I953" s="20" t="str">
        <f t="array" ref="I953">IF(ISBLANK(C953),"",IF(C953=MAX(IF(FarmUnit[1. Identifiant interne d’exploitation agricole*]=A953,FarmUnit[3. Superficie de l’unité agricole (ha)*])),"!","-"))</f>
        <v>!</v>
      </c>
      <c r="J953" s="9" t="str">
        <f ca="1">IFERROR(CONCATENATE(VLOOKUP(A953,GM_Table,12,FALSE)," ",(VLOOKUP(A953,GM_Table,13,FALSE))),"")</f>
        <v/>
      </c>
    </row>
    <row r="954" spans="1:10" ht="15" x14ac:dyDescent="0.2">
      <c r="A954" s="193" t="s">
        <v>3189</v>
      </c>
      <c r="B954" s="193" t="s">
        <v>3189</v>
      </c>
      <c r="C954" s="225">
        <v>2.77</v>
      </c>
      <c r="D954" s="271">
        <v>6.7098180000000003</v>
      </c>
      <c r="E954" s="272">
        <v>-8.0862320000000008</v>
      </c>
      <c r="F954" s="122" t="b">
        <f>IF(ISBLANK(FarmUnit[[#This Row],[1. Identifiant interne d’exploitation agricole*]]),"",IF(ISERROR(MATCH(FarmUnit[[#This Row],[1. Identifiant interne d’exploitation agricole*]],GroupMember[1. Identifiant interne d’exploitation agricole*],0)),FALSE,TRUE))</f>
        <v>1</v>
      </c>
      <c r="G954" s="4">
        <f t="shared" si="31"/>
        <v>6.7098180000000003</v>
      </c>
      <c r="H954" s="4">
        <f t="shared" si="32"/>
        <v>-8.0862320000000008</v>
      </c>
      <c r="I954" s="20" t="str">
        <f t="array" ref="I954">IF(ISBLANK(C954),"",IF(C954=MAX(IF(FarmUnit[1. Identifiant interne d’exploitation agricole*]=A954,FarmUnit[3. Superficie de l’unité agricole (ha)*])),"!","-"))</f>
        <v>!</v>
      </c>
      <c r="J954" s="9" t="str">
        <f ca="1">IFERROR(CONCATENATE(VLOOKUP(A954,GM_Table,12,FALSE)," ",(VLOOKUP(A954,GM_Table,13,FALSE))),"")</f>
        <v/>
      </c>
    </row>
    <row r="955" spans="1:10" ht="15" x14ac:dyDescent="0.2">
      <c r="A955" s="193" t="s">
        <v>3191</v>
      </c>
      <c r="B955" s="193" t="s">
        <v>3191</v>
      </c>
      <c r="C955" s="225">
        <v>0.77</v>
      </c>
      <c r="D955" s="271">
        <v>6.7012580000000002</v>
      </c>
      <c r="E955" s="272">
        <v>-8.0847630000000006</v>
      </c>
      <c r="F955" s="122" t="b">
        <f>IF(ISBLANK(FarmUnit[[#This Row],[1. Identifiant interne d’exploitation agricole*]]),"",IF(ISERROR(MATCH(FarmUnit[[#This Row],[1. Identifiant interne d’exploitation agricole*]],GroupMember[1. Identifiant interne d’exploitation agricole*],0)),FALSE,TRUE))</f>
        <v>1</v>
      </c>
      <c r="G955" s="4">
        <f t="shared" si="31"/>
        <v>6.7012580000000002</v>
      </c>
      <c r="H955" s="4">
        <f t="shared" si="32"/>
        <v>-8.0847630000000006</v>
      </c>
      <c r="I955" s="20" t="str">
        <f t="array" ref="I955">IF(ISBLANK(C955),"",IF(C955=MAX(IF(FarmUnit[1. Identifiant interne d’exploitation agricole*]=A955,FarmUnit[3. Superficie de l’unité agricole (ha)*])),"!","-"))</f>
        <v>!</v>
      </c>
      <c r="J955" s="9" t="str">
        <f ca="1">IFERROR(CONCATENATE(VLOOKUP(A955,GM_Table,12,FALSE)," ",(VLOOKUP(A955,GM_Table,13,FALSE))),"")</f>
        <v/>
      </c>
    </row>
    <row r="956" spans="1:10" ht="15" x14ac:dyDescent="0.2">
      <c r="A956" s="193" t="s">
        <v>3193</v>
      </c>
      <c r="B956" s="193" t="s">
        <v>3193</v>
      </c>
      <c r="C956" s="225">
        <v>2.82</v>
      </c>
      <c r="D956" s="271">
        <v>6.7573160000000003</v>
      </c>
      <c r="E956" s="272">
        <v>-8.0964030000000005</v>
      </c>
      <c r="F956" s="122" t="b">
        <f>IF(ISBLANK(FarmUnit[[#This Row],[1. Identifiant interne d’exploitation agricole*]]),"",IF(ISERROR(MATCH(FarmUnit[[#This Row],[1. Identifiant interne d’exploitation agricole*]],GroupMember[1. Identifiant interne d’exploitation agricole*],0)),FALSE,TRUE))</f>
        <v>1</v>
      </c>
      <c r="G956" s="4">
        <f t="shared" si="31"/>
        <v>6.7573160000000003</v>
      </c>
      <c r="H956" s="4">
        <f t="shared" si="32"/>
        <v>-8.0964030000000005</v>
      </c>
      <c r="I956" s="20" t="str">
        <f t="array" ref="I956">IF(ISBLANK(C956),"",IF(C956=MAX(IF(FarmUnit[1. Identifiant interne d’exploitation agricole*]=A956,FarmUnit[3. Superficie de l’unité agricole (ha)*])),"!","-"))</f>
        <v>!</v>
      </c>
      <c r="J956" s="9" t="str">
        <f ca="1">IFERROR(CONCATENATE(VLOOKUP(A956,GM_Table,12,FALSE)," ",(VLOOKUP(A956,GM_Table,13,FALSE))),"")</f>
        <v/>
      </c>
    </row>
    <row r="957" spans="1:10" ht="15" x14ac:dyDescent="0.2">
      <c r="A957" s="193" t="s">
        <v>3194</v>
      </c>
      <c r="B957" s="193" t="s">
        <v>3194</v>
      </c>
      <c r="C957" s="225">
        <v>2.82</v>
      </c>
      <c r="D957" s="271">
        <v>6.7418959999999997</v>
      </c>
      <c r="E957" s="272">
        <v>-8.0644100000000005</v>
      </c>
      <c r="F957" s="122" t="b">
        <f>IF(ISBLANK(FarmUnit[[#This Row],[1. Identifiant interne d’exploitation agricole*]]),"",IF(ISERROR(MATCH(FarmUnit[[#This Row],[1. Identifiant interne d’exploitation agricole*]],GroupMember[1. Identifiant interne d’exploitation agricole*],0)),FALSE,TRUE))</f>
        <v>1</v>
      </c>
      <c r="G957" s="4">
        <f t="shared" si="31"/>
        <v>6.7418959999999997</v>
      </c>
      <c r="H957" s="4">
        <f t="shared" si="32"/>
        <v>-8.0644100000000005</v>
      </c>
      <c r="I957" s="20" t="str">
        <f t="array" ref="I957">IF(ISBLANK(C957),"",IF(C957=MAX(IF(FarmUnit[1. Identifiant interne d’exploitation agricole*]=A957,FarmUnit[3. Superficie de l’unité agricole (ha)*])),"!","-"))</f>
        <v>!</v>
      </c>
      <c r="J957" s="9" t="str">
        <f ca="1">IFERROR(CONCATENATE(VLOOKUP(A957,GM_Table,12,FALSE)," ",(VLOOKUP(A957,GM_Table,13,FALSE))),"")</f>
        <v/>
      </c>
    </row>
    <row r="958" spans="1:10" ht="15" x14ac:dyDescent="0.2">
      <c r="A958" s="193" t="s">
        <v>3196</v>
      </c>
      <c r="B958" s="193" t="s">
        <v>3196</v>
      </c>
      <c r="C958" s="225">
        <v>3.65</v>
      </c>
      <c r="D958" s="271">
        <v>6.7568679999999999</v>
      </c>
      <c r="E958" s="272">
        <v>-8.1199370000000002</v>
      </c>
      <c r="F958" s="122" t="b">
        <f>IF(ISBLANK(FarmUnit[[#This Row],[1. Identifiant interne d’exploitation agricole*]]),"",IF(ISERROR(MATCH(FarmUnit[[#This Row],[1. Identifiant interne d’exploitation agricole*]],GroupMember[1. Identifiant interne d’exploitation agricole*],0)),FALSE,TRUE))</f>
        <v>1</v>
      </c>
      <c r="G958" s="4">
        <f t="shared" si="31"/>
        <v>6.7568679999999999</v>
      </c>
      <c r="H958" s="4">
        <f t="shared" si="32"/>
        <v>-8.1199370000000002</v>
      </c>
      <c r="I958" s="20" t="str">
        <f t="array" ref="I958">IF(ISBLANK(C958),"",IF(C958=MAX(IF(FarmUnit[1. Identifiant interne d’exploitation agricole*]=A958,FarmUnit[3. Superficie de l’unité agricole (ha)*])),"!","-"))</f>
        <v>!</v>
      </c>
      <c r="J958" s="9" t="str">
        <f ca="1">IFERROR(CONCATENATE(VLOOKUP(A958,GM_Table,12,FALSE)," ",(VLOOKUP(A958,GM_Table,13,FALSE))),"")</f>
        <v/>
      </c>
    </row>
    <row r="959" spans="1:10" ht="15" x14ac:dyDescent="0.2">
      <c r="A959" s="193" t="s">
        <v>3198</v>
      </c>
      <c r="B959" s="193" t="s">
        <v>3198</v>
      </c>
      <c r="C959" s="225">
        <v>2.85</v>
      </c>
      <c r="D959" s="271">
        <v>6.7549809999999999</v>
      </c>
      <c r="E959" s="272">
        <v>-8.1211000000000002</v>
      </c>
      <c r="F959" s="122" t="b">
        <f>IF(ISBLANK(FarmUnit[[#This Row],[1. Identifiant interne d’exploitation agricole*]]),"",IF(ISERROR(MATCH(FarmUnit[[#This Row],[1. Identifiant interne d’exploitation agricole*]],GroupMember[1. Identifiant interne d’exploitation agricole*],0)),FALSE,TRUE))</f>
        <v>1</v>
      </c>
      <c r="G959" s="4">
        <f t="shared" si="31"/>
        <v>6.7549809999999999</v>
      </c>
      <c r="H959" s="4">
        <f t="shared" si="32"/>
        <v>-8.1211000000000002</v>
      </c>
      <c r="I959" s="20" t="str">
        <f t="array" ref="I959">IF(ISBLANK(C959),"",IF(C959=MAX(IF(FarmUnit[1. Identifiant interne d’exploitation agricole*]=A959,FarmUnit[3. Superficie de l’unité agricole (ha)*])),"!","-"))</f>
        <v>!</v>
      </c>
      <c r="J959" s="9" t="str">
        <f ca="1">IFERROR(CONCATENATE(VLOOKUP(A959,GM_Table,12,FALSE)," ",(VLOOKUP(A959,GM_Table,13,FALSE))),"")</f>
        <v/>
      </c>
    </row>
    <row r="960" spans="1:10" ht="15" x14ac:dyDescent="0.2">
      <c r="A960" s="193" t="s">
        <v>3200</v>
      </c>
      <c r="B960" s="193" t="s">
        <v>3200</v>
      </c>
      <c r="C960" s="225">
        <v>1.92</v>
      </c>
      <c r="D960" s="271">
        <v>6.7545320000000002</v>
      </c>
      <c r="E960" s="272">
        <v>-8.08352</v>
      </c>
      <c r="F960" s="122" t="b">
        <f>IF(ISBLANK(FarmUnit[[#This Row],[1. Identifiant interne d’exploitation agricole*]]),"",IF(ISERROR(MATCH(FarmUnit[[#This Row],[1. Identifiant interne d’exploitation agricole*]],GroupMember[1. Identifiant interne d’exploitation agricole*],0)),FALSE,TRUE))</f>
        <v>1</v>
      </c>
      <c r="G960" s="4">
        <f t="shared" si="31"/>
        <v>6.7545320000000002</v>
      </c>
      <c r="H960" s="4">
        <f t="shared" si="32"/>
        <v>-8.08352</v>
      </c>
      <c r="I960" s="20" t="str">
        <f t="array" ref="I960">IF(ISBLANK(C960),"",IF(C960=MAX(IF(FarmUnit[1. Identifiant interne d’exploitation agricole*]=A960,FarmUnit[3. Superficie de l’unité agricole (ha)*])),"!","-"))</f>
        <v>!</v>
      </c>
      <c r="J960" s="9" t="str">
        <f ca="1">IFERROR(CONCATENATE(VLOOKUP(A960,GM_Table,12,FALSE)," ",(VLOOKUP(A960,GM_Table,13,FALSE))),"")</f>
        <v/>
      </c>
    </row>
    <row r="961" spans="1:10" ht="15" x14ac:dyDescent="0.2">
      <c r="A961" s="193" t="s">
        <v>3203</v>
      </c>
      <c r="B961" s="193" t="s">
        <v>3203</v>
      </c>
      <c r="C961" s="225">
        <v>2.5</v>
      </c>
      <c r="D961" s="271">
        <v>6.7021800000000002</v>
      </c>
      <c r="E961" s="272">
        <v>-8.0750799999999998</v>
      </c>
      <c r="F961" s="122" t="b">
        <f>IF(ISBLANK(FarmUnit[[#This Row],[1. Identifiant interne d’exploitation agricole*]]),"",IF(ISERROR(MATCH(FarmUnit[[#This Row],[1. Identifiant interne d’exploitation agricole*]],GroupMember[1. Identifiant interne d’exploitation agricole*],0)),FALSE,TRUE))</f>
        <v>1</v>
      </c>
      <c r="G961" s="4">
        <f t="shared" si="31"/>
        <v>6.7021800000000002</v>
      </c>
      <c r="H961" s="4">
        <f t="shared" si="32"/>
        <v>-8.0750799999999998</v>
      </c>
      <c r="I961" s="20" t="str">
        <f t="array" ref="I961">IF(ISBLANK(C961),"",IF(C961=MAX(IF(FarmUnit[1. Identifiant interne d’exploitation agricole*]=A961,FarmUnit[3. Superficie de l’unité agricole (ha)*])),"!","-"))</f>
        <v>!</v>
      </c>
      <c r="J961" s="9" t="str">
        <f ca="1">IFERROR(CONCATENATE(VLOOKUP(A961,GM_Table,12,FALSE)," ",(VLOOKUP(A961,GM_Table,13,FALSE))),"")</f>
        <v/>
      </c>
    </row>
    <row r="962" spans="1:10" ht="15" x14ac:dyDescent="0.2">
      <c r="A962" s="193" t="s">
        <v>3207</v>
      </c>
      <c r="B962" s="193" t="s">
        <v>3207</v>
      </c>
      <c r="C962" s="227">
        <v>3.0390000000000001</v>
      </c>
      <c r="D962" s="273">
        <v>6.7405889999999999</v>
      </c>
      <c r="E962" s="274">
        <v>-8.0589099999999991</v>
      </c>
      <c r="F962" s="122" t="b">
        <f>IF(ISBLANK(FarmUnit[[#This Row],[1. Identifiant interne d’exploitation agricole*]]),"",IF(ISERROR(MATCH(FarmUnit[[#This Row],[1. Identifiant interne d’exploitation agricole*]],GroupMember[1. Identifiant interne d’exploitation agricole*],0)),FALSE,TRUE))</f>
        <v>1</v>
      </c>
      <c r="G962" s="4">
        <f t="shared" si="31"/>
        <v>6.7405889999999999</v>
      </c>
      <c r="H962" s="4">
        <f t="shared" si="32"/>
        <v>-8.0589099999999991</v>
      </c>
      <c r="I962" s="20" t="str">
        <f t="array" ref="I962">IF(ISBLANK(C962),"",IF(C962=MAX(IF(FarmUnit[1. Identifiant interne d’exploitation agricole*]=A962,FarmUnit[3. Superficie de l’unité agricole (ha)*])),"!","-"))</f>
        <v>!</v>
      </c>
      <c r="J962" s="9" t="str">
        <f ca="1">IFERROR(CONCATENATE(VLOOKUP(A962,GM_Table,12,FALSE)," ",(VLOOKUP(A962,GM_Table,13,FALSE))),"")</f>
        <v/>
      </c>
    </row>
    <row r="963" spans="1:10" ht="15" x14ac:dyDescent="0.2">
      <c r="A963" s="193" t="s">
        <v>3209</v>
      </c>
      <c r="B963" s="193" t="s">
        <v>3209</v>
      </c>
      <c r="C963" s="225">
        <v>2.31</v>
      </c>
      <c r="D963" s="271">
        <v>6.727989</v>
      </c>
      <c r="E963" s="272">
        <v>-8.0539400000000008</v>
      </c>
      <c r="F963" s="122" t="b">
        <f>IF(ISBLANK(FarmUnit[[#This Row],[1. Identifiant interne d’exploitation agricole*]]),"",IF(ISERROR(MATCH(FarmUnit[[#This Row],[1. Identifiant interne d’exploitation agricole*]],GroupMember[1. Identifiant interne d’exploitation agricole*],0)),FALSE,TRUE))</f>
        <v>1</v>
      </c>
      <c r="G963" s="4">
        <f t="shared" si="31"/>
        <v>6.727989</v>
      </c>
      <c r="H963" s="4">
        <f t="shared" si="32"/>
        <v>-8.0539400000000008</v>
      </c>
      <c r="I963" s="20" t="str">
        <f t="array" ref="I963">IF(ISBLANK(C963),"",IF(C963=MAX(IF(FarmUnit[1. Identifiant interne d’exploitation agricole*]=A963,FarmUnit[3. Superficie de l’unité agricole (ha)*])),"!","-"))</f>
        <v>!</v>
      </c>
      <c r="J963" s="9" t="str">
        <f ca="1">IFERROR(CONCATENATE(VLOOKUP(A963,GM_Table,12,FALSE)," ",(VLOOKUP(A963,GM_Table,13,FALSE))),"")</f>
        <v/>
      </c>
    </row>
    <row r="964" spans="1:10" ht="15" x14ac:dyDescent="0.2">
      <c r="A964" s="193" t="s">
        <v>3210</v>
      </c>
      <c r="B964" s="193" t="s">
        <v>3210</v>
      </c>
      <c r="C964" s="225">
        <v>1.74</v>
      </c>
      <c r="D964" s="271">
        <v>6.7316399999999996</v>
      </c>
      <c r="E964" s="272">
        <v>-8.0643849999999997</v>
      </c>
      <c r="F964" s="122" t="b">
        <f>IF(ISBLANK(FarmUnit[[#This Row],[1. Identifiant interne d’exploitation agricole*]]),"",IF(ISERROR(MATCH(FarmUnit[[#This Row],[1. Identifiant interne d’exploitation agricole*]],GroupMember[1. Identifiant interne d’exploitation agricole*],0)),FALSE,TRUE))</f>
        <v>1</v>
      </c>
      <c r="G964" s="4">
        <f t="shared" si="31"/>
        <v>6.7316399999999996</v>
      </c>
      <c r="H964" s="4">
        <f t="shared" si="32"/>
        <v>-8.0643849999999997</v>
      </c>
      <c r="I964" s="20" t="str">
        <f t="array" ref="I964">IF(ISBLANK(C964),"",IF(C964=MAX(IF(FarmUnit[1. Identifiant interne d’exploitation agricole*]=A964,FarmUnit[3. Superficie de l’unité agricole (ha)*])),"!","-"))</f>
        <v>!</v>
      </c>
      <c r="J964" s="9" t="str">
        <f ca="1">IFERROR(CONCATENATE(VLOOKUP(A964,GM_Table,12,FALSE)," ",(VLOOKUP(A964,GM_Table,13,FALSE))),"")</f>
        <v/>
      </c>
    </row>
    <row r="965" spans="1:10" ht="15" x14ac:dyDescent="0.2">
      <c r="A965" s="193" t="s">
        <v>3211</v>
      </c>
      <c r="B965" s="193" t="s">
        <v>3211</v>
      </c>
      <c r="C965" s="225">
        <v>0.78</v>
      </c>
      <c r="D965" s="271">
        <v>6.9309640000000003</v>
      </c>
      <c r="E965" s="272">
        <v>-7.9753619999999996</v>
      </c>
      <c r="F965" s="122" t="b">
        <f>IF(ISBLANK(FarmUnit[[#This Row],[1. Identifiant interne d’exploitation agricole*]]),"",IF(ISERROR(MATCH(FarmUnit[[#This Row],[1. Identifiant interne d’exploitation agricole*]],GroupMember[1. Identifiant interne d’exploitation agricole*],0)),FALSE,TRUE))</f>
        <v>1</v>
      </c>
      <c r="G965" s="4">
        <f t="shared" si="31"/>
        <v>6.9309640000000003</v>
      </c>
      <c r="H965" s="4">
        <f t="shared" si="32"/>
        <v>-7.9753619999999996</v>
      </c>
      <c r="I965" s="20" t="str">
        <f t="array" ref="I965">IF(ISBLANK(C965),"",IF(C965=MAX(IF(FarmUnit[1. Identifiant interne d’exploitation agricole*]=A965,FarmUnit[3. Superficie de l’unité agricole (ha)*])),"!","-"))</f>
        <v>!</v>
      </c>
      <c r="J965" s="9" t="str">
        <f ca="1">IFERROR(CONCATENATE(VLOOKUP(A965,GM_Table,12,FALSE)," ",(VLOOKUP(A965,GM_Table,13,FALSE))),"")</f>
        <v/>
      </c>
    </row>
    <row r="966" spans="1:10" ht="15" x14ac:dyDescent="0.2">
      <c r="A966" s="193" t="s">
        <v>3214</v>
      </c>
      <c r="B966" s="193" t="s">
        <v>3214</v>
      </c>
      <c r="C966" s="225">
        <v>5.29</v>
      </c>
      <c r="D966" s="271">
        <v>6.7041469999999999</v>
      </c>
      <c r="E966" s="272">
        <v>-8.0786979999999993</v>
      </c>
      <c r="F966" s="122" t="b">
        <f>IF(ISBLANK(FarmUnit[[#This Row],[1. Identifiant interne d’exploitation agricole*]]),"",IF(ISERROR(MATCH(FarmUnit[[#This Row],[1. Identifiant interne d’exploitation agricole*]],GroupMember[1. Identifiant interne d’exploitation agricole*],0)),FALSE,TRUE))</f>
        <v>1</v>
      </c>
      <c r="G966" s="4">
        <f t="shared" si="31"/>
        <v>6.7041469999999999</v>
      </c>
      <c r="H966" s="4">
        <f t="shared" si="32"/>
        <v>-8.0786979999999993</v>
      </c>
      <c r="I966" s="20" t="str">
        <f t="array" ref="I966">IF(ISBLANK(C966),"",IF(C966=MAX(IF(FarmUnit[1. Identifiant interne d’exploitation agricole*]=A966,FarmUnit[3. Superficie de l’unité agricole (ha)*])),"!","-"))</f>
        <v>!</v>
      </c>
      <c r="J966" s="9" t="str">
        <f ca="1">IFERROR(CONCATENATE(VLOOKUP(A966,GM_Table,12,FALSE)," ",(VLOOKUP(A966,GM_Table,13,FALSE))),"")</f>
        <v/>
      </c>
    </row>
    <row r="967" spans="1:10" ht="15" x14ac:dyDescent="0.2">
      <c r="A967" s="193" t="s">
        <v>3218</v>
      </c>
      <c r="B967" s="193" t="s">
        <v>3218</v>
      </c>
      <c r="C967" s="225">
        <v>2.98</v>
      </c>
      <c r="D967" s="271">
        <v>6.6457870000000003</v>
      </c>
      <c r="E967" s="272">
        <v>-8.0711729999999999</v>
      </c>
      <c r="F967" s="122" t="b">
        <f>IF(ISBLANK(FarmUnit[[#This Row],[1. Identifiant interne d’exploitation agricole*]]),"",IF(ISERROR(MATCH(FarmUnit[[#This Row],[1. Identifiant interne d’exploitation agricole*]],GroupMember[1. Identifiant interne d’exploitation agricole*],0)),FALSE,TRUE))</f>
        <v>1</v>
      </c>
      <c r="G967" s="4">
        <f t="shared" si="31"/>
        <v>6.6457870000000003</v>
      </c>
      <c r="H967" s="4">
        <f t="shared" si="32"/>
        <v>-8.0711729999999999</v>
      </c>
      <c r="I967" s="20" t="str">
        <f t="array" ref="I967">IF(ISBLANK(C967),"",IF(C967=MAX(IF(FarmUnit[1. Identifiant interne d’exploitation agricole*]=A967,FarmUnit[3. Superficie de l’unité agricole (ha)*])),"!","-"))</f>
        <v>!</v>
      </c>
      <c r="J967" s="9" t="str">
        <f ca="1">IFERROR(CONCATENATE(VLOOKUP(A967,GM_Table,12,FALSE)," ",(VLOOKUP(A967,GM_Table,13,FALSE))),"")</f>
        <v/>
      </c>
    </row>
    <row r="968" spans="1:10" ht="15" x14ac:dyDescent="0.2">
      <c r="A968" s="193" t="s">
        <v>3222</v>
      </c>
      <c r="B968" s="193" t="s">
        <v>3222</v>
      </c>
      <c r="C968" s="225">
        <v>2.89</v>
      </c>
      <c r="D968" s="271">
        <v>6.7233599999999996</v>
      </c>
      <c r="E968" s="272">
        <v>-8.0170580000000005</v>
      </c>
      <c r="F968" s="122" t="b">
        <f>IF(ISBLANK(FarmUnit[[#This Row],[1. Identifiant interne d’exploitation agricole*]]),"",IF(ISERROR(MATCH(FarmUnit[[#This Row],[1. Identifiant interne d’exploitation agricole*]],GroupMember[1. Identifiant interne d’exploitation agricole*],0)),FALSE,TRUE))</f>
        <v>1</v>
      </c>
      <c r="G968" s="4">
        <f t="shared" si="31"/>
        <v>6.7233599999999996</v>
      </c>
      <c r="H968" s="4">
        <f t="shared" si="32"/>
        <v>-8.0170580000000005</v>
      </c>
      <c r="I968" s="20" t="str">
        <f t="array" ref="I968">IF(ISBLANK(C968),"",IF(C968=MAX(IF(FarmUnit[1. Identifiant interne d’exploitation agricole*]=A968,FarmUnit[3. Superficie de l’unité agricole (ha)*])),"!","-"))</f>
        <v>!</v>
      </c>
      <c r="J968" s="9" t="str">
        <f ca="1">IFERROR(CONCATENATE(VLOOKUP(A968,GM_Table,12,FALSE)," ",(VLOOKUP(A968,GM_Table,13,FALSE))),"")</f>
        <v/>
      </c>
    </row>
    <row r="969" spans="1:10" ht="15" x14ac:dyDescent="0.2">
      <c r="A969" s="193" t="s">
        <v>3223</v>
      </c>
      <c r="B969" s="193" t="s">
        <v>3223</v>
      </c>
      <c r="C969" s="225">
        <v>0.68</v>
      </c>
      <c r="D969" s="271">
        <v>6.9137719999999998</v>
      </c>
      <c r="E969" s="272">
        <v>-7.9683970000000004</v>
      </c>
      <c r="F969" s="122" t="b">
        <f>IF(ISBLANK(FarmUnit[[#This Row],[1. Identifiant interne d’exploitation agricole*]]),"",IF(ISERROR(MATCH(FarmUnit[[#This Row],[1. Identifiant interne d’exploitation agricole*]],GroupMember[1. Identifiant interne d’exploitation agricole*],0)),FALSE,TRUE))</f>
        <v>1</v>
      </c>
      <c r="G969" s="4">
        <f t="shared" si="31"/>
        <v>6.9137719999999998</v>
      </c>
      <c r="H969" s="4">
        <f t="shared" si="32"/>
        <v>-7.9683970000000004</v>
      </c>
      <c r="I969" s="20" t="str">
        <f t="array" ref="I969">IF(ISBLANK(C969),"",IF(C969=MAX(IF(FarmUnit[1. Identifiant interne d’exploitation agricole*]=A969,FarmUnit[3. Superficie de l’unité agricole (ha)*])),"!","-"))</f>
        <v>!</v>
      </c>
      <c r="J969" s="9" t="str">
        <f ca="1">IFERROR(CONCATENATE(VLOOKUP(A969,GM_Table,12,FALSE)," ",(VLOOKUP(A969,GM_Table,13,FALSE))),"")</f>
        <v/>
      </c>
    </row>
    <row r="970" spans="1:10" ht="15" x14ac:dyDescent="0.2">
      <c r="A970" s="193" t="s">
        <v>3226</v>
      </c>
      <c r="B970" s="193" t="s">
        <v>3226</v>
      </c>
      <c r="C970" s="227">
        <v>4.7300000000000004</v>
      </c>
      <c r="D970" s="273">
        <v>6.9326639999999999</v>
      </c>
      <c r="E970" s="274">
        <v>-7.9819519999999997</v>
      </c>
      <c r="F970" s="122" t="b">
        <f>IF(ISBLANK(FarmUnit[[#This Row],[1. Identifiant interne d’exploitation agricole*]]),"",IF(ISERROR(MATCH(FarmUnit[[#This Row],[1. Identifiant interne d’exploitation agricole*]],GroupMember[1. Identifiant interne d’exploitation agricole*],0)),FALSE,TRUE))</f>
        <v>1</v>
      </c>
      <c r="G970" s="4">
        <f t="shared" si="31"/>
        <v>6.9326639999999999</v>
      </c>
      <c r="H970" s="4">
        <f t="shared" si="32"/>
        <v>-7.9819519999999997</v>
      </c>
      <c r="I970" s="20" t="str">
        <f t="array" ref="I970">IF(ISBLANK(C970),"",IF(C970=MAX(IF(FarmUnit[1. Identifiant interne d’exploitation agricole*]=A970,FarmUnit[3. Superficie de l’unité agricole (ha)*])),"!","-"))</f>
        <v>!</v>
      </c>
      <c r="J970" s="9" t="str">
        <f ca="1">IFERROR(CONCATENATE(VLOOKUP(A970,GM_Table,12,FALSE)," ",(VLOOKUP(A970,GM_Table,13,FALSE))),"")</f>
        <v/>
      </c>
    </row>
    <row r="971" spans="1:10" ht="15" x14ac:dyDescent="0.2">
      <c r="A971" s="193" t="s">
        <v>3228</v>
      </c>
      <c r="B971" s="193" t="s">
        <v>3228</v>
      </c>
      <c r="C971" s="227">
        <v>2.29</v>
      </c>
      <c r="D971" s="273">
        <v>6.9316009999999997</v>
      </c>
      <c r="E971" s="274">
        <v>-7.9751250000000002</v>
      </c>
      <c r="F971" s="122" t="b">
        <f>IF(ISBLANK(FarmUnit[[#This Row],[1. Identifiant interne d’exploitation agricole*]]),"",IF(ISERROR(MATCH(FarmUnit[[#This Row],[1. Identifiant interne d’exploitation agricole*]],GroupMember[1. Identifiant interne d’exploitation agricole*],0)),FALSE,TRUE))</f>
        <v>1</v>
      </c>
      <c r="G971" s="4">
        <f t="shared" si="31"/>
        <v>6.9316009999999997</v>
      </c>
      <c r="H971" s="4">
        <f t="shared" si="32"/>
        <v>-7.9751250000000002</v>
      </c>
      <c r="I971" s="20" t="str">
        <f t="array" ref="I971">IF(ISBLANK(C971),"",IF(C971=MAX(IF(FarmUnit[1. Identifiant interne d’exploitation agricole*]=A971,FarmUnit[3. Superficie de l’unité agricole (ha)*])),"!","-"))</f>
        <v>!</v>
      </c>
      <c r="J971" s="9" t="str">
        <f ca="1">IFERROR(CONCATENATE(VLOOKUP(A971,GM_Table,12,FALSE)," ",(VLOOKUP(A971,GM_Table,13,FALSE))),"")</f>
        <v/>
      </c>
    </row>
    <row r="972" spans="1:10" ht="15" x14ac:dyDescent="0.2">
      <c r="A972" s="193" t="s">
        <v>3232</v>
      </c>
      <c r="B972" s="193" t="s">
        <v>3232</v>
      </c>
      <c r="C972" s="234">
        <v>2.66</v>
      </c>
      <c r="D972" s="271">
        <v>6.742699</v>
      </c>
      <c r="E972" s="272">
        <v>-8.0622679999999995</v>
      </c>
      <c r="F972" s="122" t="b">
        <f>IF(ISBLANK(FarmUnit[[#This Row],[1. Identifiant interne d’exploitation agricole*]]),"",IF(ISERROR(MATCH(FarmUnit[[#This Row],[1. Identifiant interne d’exploitation agricole*]],GroupMember[1. Identifiant interne d’exploitation agricole*],0)),FALSE,TRUE))</f>
        <v>1</v>
      </c>
      <c r="G972" s="4">
        <f t="shared" si="31"/>
        <v>6.742699</v>
      </c>
      <c r="H972" s="4">
        <f t="shared" si="32"/>
        <v>-8.0622679999999995</v>
      </c>
      <c r="I972" s="20" t="str">
        <f t="array" ref="I972">IF(ISBLANK(C972),"",IF(C972=MAX(IF(FarmUnit[1. Identifiant interne d’exploitation agricole*]=A972,FarmUnit[3. Superficie de l’unité agricole (ha)*])),"!","-"))</f>
        <v>!</v>
      </c>
      <c r="J972" s="9" t="str">
        <f ca="1">IFERROR(CONCATENATE(VLOOKUP(A972,GM_Table,12,FALSE)," ",(VLOOKUP(A972,GM_Table,13,FALSE))),"")</f>
        <v/>
      </c>
    </row>
    <row r="973" spans="1:10" ht="15" x14ac:dyDescent="0.2">
      <c r="A973" s="193" t="s">
        <v>3233</v>
      </c>
      <c r="B973" s="193" t="s">
        <v>3233</v>
      </c>
      <c r="C973" s="225">
        <v>6.2</v>
      </c>
      <c r="D973" s="271">
        <v>6.7552159999999999</v>
      </c>
      <c r="E973" s="272">
        <v>-8.0864969999999996</v>
      </c>
      <c r="F973" s="122" t="b">
        <f>IF(ISBLANK(FarmUnit[[#This Row],[1. Identifiant interne d’exploitation agricole*]]),"",IF(ISERROR(MATCH(FarmUnit[[#This Row],[1. Identifiant interne d’exploitation agricole*]],GroupMember[1. Identifiant interne d’exploitation agricole*],0)),FALSE,TRUE))</f>
        <v>1</v>
      </c>
      <c r="G973" s="4">
        <f t="shared" si="31"/>
        <v>6.7552159999999999</v>
      </c>
      <c r="H973" s="4">
        <f t="shared" si="32"/>
        <v>-8.0864969999999996</v>
      </c>
      <c r="I973" s="20" t="str">
        <f t="array" ref="I973">IF(ISBLANK(C973),"",IF(C973=MAX(IF(FarmUnit[1. Identifiant interne d’exploitation agricole*]=A973,FarmUnit[3. Superficie de l’unité agricole (ha)*])),"!","-"))</f>
        <v>!</v>
      </c>
      <c r="J973" s="9" t="str">
        <f ca="1">IFERROR(CONCATENATE(VLOOKUP(A973,GM_Table,12,FALSE)," ",(VLOOKUP(A973,GM_Table,13,FALSE))),"")</f>
        <v/>
      </c>
    </row>
    <row r="974" spans="1:10" ht="15" x14ac:dyDescent="0.2">
      <c r="A974" s="193" t="s">
        <v>3236</v>
      </c>
      <c r="B974" s="193" t="s">
        <v>3236</v>
      </c>
      <c r="C974" s="225">
        <v>2.87</v>
      </c>
      <c r="D974" s="271">
        <v>6.7568330000000003</v>
      </c>
      <c r="E974" s="272">
        <v>-8.0809669999999993</v>
      </c>
      <c r="F974" s="122" t="b">
        <f>IF(ISBLANK(FarmUnit[[#This Row],[1. Identifiant interne d’exploitation agricole*]]),"",IF(ISERROR(MATCH(FarmUnit[[#This Row],[1. Identifiant interne d’exploitation agricole*]],GroupMember[1. Identifiant interne d’exploitation agricole*],0)),FALSE,TRUE))</f>
        <v>1</v>
      </c>
      <c r="G974" s="4">
        <f t="shared" si="31"/>
        <v>6.7568330000000003</v>
      </c>
      <c r="H974" s="4">
        <f t="shared" si="32"/>
        <v>-8.0809669999999993</v>
      </c>
      <c r="I974" s="20" t="str">
        <f t="array" ref="I974">IF(ISBLANK(C974),"",IF(C974=MAX(IF(FarmUnit[1. Identifiant interne d’exploitation agricole*]=A974,FarmUnit[3. Superficie de l’unité agricole (ha)*])),"!","-"))</f>
        <v>!</v>
      </c>
      <c r="J974" s="9" t="str">
        <f ca="1">IFERROR(CONCATENATE(VLOOKUP(A974,GM_Table,12,FALSE)," ",(VLOOKUP(A974,GM_Table,13,FALSE))),"")</f>
        <v/>
      </c>
    </row>
    <row r="975" spans="1:10" ht="15" x14ac:dyDescent="0.2">
      <c r="A975" s="193" t="s">
        <v>3237</v>
      </c>
      <c r="B975" s="193" t="s">
        <v>3237</v>
      </c>
      <c r="C975" s="225">
        <v>1.82</v>
      </c>
      <c r="D975" s="271">
        <v>6.7601779999999998</v>
      </c>
      <c r="E975" s="272">
        <v>-8.1165730000000007</v>
      </c>
      <c r="F975" s="122" t="b">
        <f>IF(ISBLANK(FarmUnit[[#This Row],[1. Identifiant interne d’exploitation agricole*]]),"",IF(ISERROR(MATCH(FarmUnit[[#This Row],[1. Identifiant interne d’exploitation agricole*]],GroupMember[1. Identifiant interne d’exploitation agricole*],0)),FALSE,TRUE))</f>
        <v>1</v>
      </c>
      <c r="G975" s="4">
        <f t="shared" si="31"/>
        <v>6.7601779999999998</v>
      </c>
      <c r="H975" s="4">
        <f t="shared" si="32"/>
        <v>-8.1165730000000007</v>
      </c>
      <c r="I975" s="20" t="str">
        <f t="array" ref="I975">IF(ISBLANK(C975),"",IF(C975=MAX(IF(FarmUnit[1. Identifiant interne d’exploitation agricole*]=A975,FarmUnit[3. Superficie de l’unité agricole (ha)*])),"!","-"))</f>
        <v>!</v>
      </c>
      <c r="J975" s="9" t="str">
        <f ca="1">IFERROR(CONCATENATE(VLOOKUP(A975,GM_Table,12,FALSE)," ",(VLOOKUP(A975,GM_Table,13,FALSE))),"")</f>
        <v/>
      </c>
    </row>
    <row r="976" spans="1:10" ht="15" x14ac:dyDescent="0.2">
      <c r="A976" s="193" t="s">
        <v>3239</v>
      </c>
      <c r="B976" s="193" t="s">
        <v>3239</v>
      </c>
      <c r="C976" s="225">
        <v>3.49</v>
      </c>
      <c r="D976" s="271">
        <v>6.7421480000000003</v>
      </c>
      <c r="E976" s="272">
        <v>-8.0677380000000003</v>
      </c>
      <c r="F976" s="122" t="b">
        <f>IF(ISBLANK(FarmUnit[[#This Row],[1. Identifiant interne d’exploitation agricole*]]),"",IF(ISERROR(MATCH(FarmUnit[[#This Row],[1. Identifiant interne d’exploitation agricole*]],GroupMember[1. Identifiant interne d’exploitation agricole*],0)),FALSE,TRUE))</f>
        <v>1</v>
      </c>
      <c r="G976" s="4">
        <f t="shared" si="31"/>
        <v>6.7421480000000003</v>
      </c>
      <c r="H976" s="4">
        <f t="shared" si="32"/>
        <v>-8.0677380000000003</v>
      </c>
      <c r="I976" s="20" t="str">
        <f t="array" ref="I976">IF(ISBLANK(C976),"",IF(C976=MAX(IF(FarmUnit[1. Identifiant interne d’exploitation agricole*]=A976,FarmUnit[3. Superficie de l’unité agricole (ha)*])),"!","-"))</f>
        <v>!</v>
      </c>
      <c r="J976" s="9" t="str">
        <f ca="1">IFERROR(CONCATENATE(VLOOKUP(A976,GM_Table,12,FALSE)," ",(VLOOKUP(A976,GM_Table,13,FALSE))),"")</f>
        <v/>
      </c>
    </row>
    <row r="977" spans="1:10" ht="15" x14ac:dyDescent="0.2">
      <c r="A977" s="193" t="s">
        <v>3241</v>
      </c>
      <c r="B977" s="193" t="s">
        <v>3241</v>
      </c>
      <c r="C977" s="225">
        <v>2.44</v>
      </c>
      <c r="D977" s="271">
        <v>6.7365919999999999</v>
      </c>
      <c r="E977" s="272">
        <v>-8.0526509999999991</v>
      </c>
      <c r="F977" s="122" t="b">
        <f>IF(ISBLANK(FarmUnit[[#This Row],[1. Identifiant interne d’exploitation agricole*]]),"",IF(ISERROR(MATCH(FarmUnit[[#This Row],[1. Identifiant interne d’exploitation agricole*]],GroupMember[1. Identifiant interne d’exploitation agricole*],0)),FALSE,TRUE))</f>
        <v>1</v>
      </c>
      <c r="G977" s="4">
        <f t="shared" si="31"/>
        <v>6.7365919999999999</v>
      </c>
      <c r="H977" s="4">
        <f t="shared" si="32"/>
        <v>-8.0526509999999991</v>
      </c>
      <c r="I977" s="20" t="str">
        <f t="array" ref="I977">IF(ISBLANK(C977),"",IF(C977=MAX(IF(FarmUnit[1. Identifiant interne d’exploitation agricole*]=A977,FarmUnit[3. Superficie de l’unité agricole (ha)*])),"!","-"))</f>
        <v>!</v>
      </c>
      <c r="J977" s="9" t="str">
        <f ca="1">IFERROR(CONCATENATE(VLOOKUP(A977,GM_Table,12,FALSE)," ",(VLOOKUP(A977,GM_Table,13,FALSE))),"")</f>
        <v/>
      </c>
    </row>
    <row r="978" spans="1:10" ht="15" x14ac:dyDescent="0.2">
      <c r="A978" s="193" t="s">
        <v>3244</v>
      </c>
      <c r="B978" s="193" t="s">
        <v>3244</v>
      </c>
      <c r="C978" s="225">
        <v>7.59</v>
      </c>
      <c r="D978" s="271">
        <v>6.7553049999999999</v>
      </c>
      <c r="E978" s="272">
        <v>-8.1078130000000002</v>
      </c>
      <c r="F978" s="122" t="b">
        <f>IF(ISBLANK(FarmUnit[[#This Row],[1. Identifiant interne d’exploitation agricole*]]),"",IF(ISERROR(MATCH(FarmUnit[[#This Row],[1. Identifiant interne d’exploitation agricole*]],GroupMember[1. Identifiant interne d’exploitation agricole*],0)),FALSE,TRUE))</f>
        <v>1</v>
      </c>
      <c r="G978" s="4">
        <f t="shared" si="31"/>
        <v>6.7553049999999999</v>
      </c>
      <c r="H978" s="4">
        <f t="shared" si="32"/>
        <v>-8.1078130000000002</v>
      </c>
      <c r="I978" s="20" t="str">
        <f t="array" ref="I978">IF(ISBLANK(C978),"",IF(C978=MAX(IF(FarmUnit[1. Identifiant interne d’exploitation agricole*]=A978,FarmUnit[3. Superficie de l’unité agricole (ha)*])),"!","-"))</f>
        <v>!</v>
      </c>
      <c r="J978" s="9" t="str">
        <f ca="1">IFERROR(CONCATENATE(VLOOKUP(A978,GM_Table,12,FALSE)," ",(VLOOKUP(A978,GM_Table,13,FALSE))),"")</f>
        <v/>
      </c>
    </row>
    <row r="979" spans="1:10" ht="15" x14ac:dyDescent="0.2">
      <c r="A979" s="193" t="s">
        <v>3248</v>
      </c>
      <c r="B979" s="193" t="s">
        <v>3248</v>
      </c>
      <c r="C979" s="225">
        <v>1.8</v>
      </c>
      <c r="D979" s="271">
        <v>6.6737580000000003</v>
      </c>
      <c r="E979" s="272">
        <v>-8.066592</v>
      </c>
      <c r="F979" s="122" t="b">
        <f>IF(ISBLANK(FarmUnit[[#This Row],[1. Identifiant interne d’exploitation agricole*]]),"",IF(ISERROR(MATCH(FarmUnit[[#This Row],[1. Identifiant interne d’exploitation agricole*]],GroupMember[1. Identifiant interne d’exploitation agricole*],0)),FALSE,TRUE))</f>
        <v>1</v>
      </c>
      <c r="G979" s="4">
        <f t="shared" si="31"/>
        <v>6.6737580000000003</v>
      </c>
      <c r="H979" s="4">
        <f t="shared" si="32"/>
        <v>-8.066592</v>
      </c>
      <c r="I979" s="20" t="str">
        <f t="array" ref="I979">IF(ISBLANK(C979),"",IF(C979=MAX(IF(FarmUnit[1. Identifiant interne d’exploitation agricole*]=A979,FarmUnit[3. Superficie de l’unité agricole (ha)*])),"!","-"))</f>
        <v>!</v>
      </c>
      <c r="J979" s="9" t="str">
        <f ca="1">IFERROR(CONCATENATE(VLOOKUP(A979,GM_Table,12,FALSE)," ",(VLOOKUP(A979,GM_Table,13,FALSE))),"")</f>
        <v/>
      </c>
    </row>
    <row r="980" spans="1:10" ht="15" x14ac:dyDescent="0.2">
      <c r="A980" s="193" t="s">
        <v>3250</v>
      </c>
      <c r="B980" s="193" t="s">
        <v>3250</v>
      </c>
      <c r="C980" s="225">
        <v>1.62</v>
      </c>
      <c r="D980" s="271">
        <v>6.7266130000000004</v>
      </c>
      <c r="E980" s="272">
        <v>-8.0494570000000003</v>
      </c>
      <c r="F980" s="122" t="b">
        <f>IF(ISBLANK(FarmUnit[[#This Row],[1. Identifiant interne d’exploitation agricole*]]),"",IF(ISERROR(MATCH(FarmUnit[[#This Row],[1. Identifiant interne d’exploitation agricole*]],GroupMember[1. Identifiant interne d’exploitation agricole*],0)),FALSE,TRUE))</f>
        <v>1</v>
      </c>
      <c r="G980" s="4">
        <f t="shared" si="31"/>
        <v>6.7266130000000004</v>
      </c>
      <c r="H980" s="4">
        <f t="shared" si="32"/>
        <v>-8.0494570000000003</v>
      </c>
      <c r="I980" s="20" t="str">
        <f t="array" ref="I980">IF(ISBLANK(C980),"",IF(C980=MAX(IF(FarmUnit[1. Identifiant interne d’exploitation agricole*]=A980,FarmUnit[3. Superficie de l’unité agricole (ha)*])),"!","-"))</f>
        <v>!</v>
      </c>
      <c r="J980" s="9" t="str">
        <f ca="1">IFERROR(CONCATENATE(VLOOKUP(A980,GM_Table,12,FALSE)," ",(VLOOKUP(A980,GM_Table,13,FALSE))),"")</f>
        <v/>
      </c>
    </row>
    <row r="981" spans="1:10" ht="15" x14ac:dyDescent="0.2">
      <c r="A981" s="193" t="s">
        <v>3253</v>
      </c>
      <c r="B981" s="193" t="s">
        <v>3253</v>
      </c>
      <c r="C981" s="225">
        <v>2.67</v>
      </c>
      <c r="D981" s="271">
        <v>6.7601050000000003</v>
      </c>
      <c r="E981" s="272">
        <v>-8.1080760000000005</v>
      </c>
      <c r="F981" s="122" t="b">
        <f>IF(ISBLANK(FarmUnit[[#This Row],[1. Identifiant interne d’exploitation agricole*]]),"",IF(ISERROR(MATCH(FarmUnit[[#This Row],[1. Identifiant interne d’exploitation agricole*]],GroupMember[1. Identifiant interne d’exploitation agricole*],0)),FALSE,TRUE))</f>
        <v>1</v>
      </c>
      <c r="G981" s="4">
        <f t="shared" si="31"/>
        <v>6.7601050000000003</v>
      </c>
      <c r="H981" s="4">
        <f t="shared" si="32"/>
        <v>-8.1080760000000005</v>
      </c>
      <c r="I981" s="20" t="str">
        <f t="array" ref="I981">IF(ISBLANK(C981),"",IF(C981=MAX(IF(FarmUnit[1. Identifiant interne d’exploitation agricole*]=A981,FarmUnit[3. Superficie de l’unité agricole (ha)*])),"!","-"))</f>
        <v>!</v>
      </c>
      <c r="J981" s="9" t="str">
        <f ca="1">IFERROR(CONCATENATE(VLOOKUP(A981,GM_Table,12,FALSE)," ",(VLOOKUP(A981,GM_Table,13,FALSE))),"")</f>
        <v/>
      </c>
    </row>
    <row r="982" spans="1:10" ht="15" x14ac:dyDescent="0.2">
      <c r="A982" s="205" t="s">
        <v>3255</v>
      </c>
      <c r="B982" s="205" t="s">
        <v>3255</v>
      </c>
      <c r="C982" s="225">
        <v>2.72</v>
      </c>
      <c r="D982" s="271">
        <v>6.754486</v>
      </c>
      <c r="E982" s="272">
        <v>-8.0972969999999993</v>
      </c>
      <c r="F982" s="122" t="b">
        <f>IF(ISBLANK(FarmUnit[[#This Row],[1. Identifiant interne d’exploitation agricole*]]),"",IF(ISERROR(MATCH(FarmUnit[[#This Row],[1. Identifiant interne d’exploitation agricole*]],GroupMember[1. Identifiant interne d’exploitation agricole*],0)),FALSE,TRUE))</f>
        <v>1</v>
      </c>
      <c r="G982" s="4">
        <f t="shared" si="31"/>
        <v>6.754486</v>
      </c>
      <c r="H982" s="4">
        <f t="shared" si="32"/>
        <v>-8.0972969999999993</v>
      </c>
      <c r="I982" s="20" t="str">
        <f t="array" ref="I982">IF(ISBLANK(C982),"",IF(C982=MAX(IF(FarmUnit[1. Identifiant interne d’exploitation agricole*]=A982,FarmUnit[3. Superficie de l’unité agricole (ha)*])),"!","-"))</f>
        <v>!</v>
      </c>
      <c r="J982" s="9" t="str">
        <f ca="1">IFERROR(CONCATENATE(VLOOKUP(A982,GM_Table,12,FALSE)," ",(VLOOKUP(A982,GM_Table,13,FALSE))),"")</f>
        <v/>
      </c>
    </row>
    <row r="983" spans="1:10" ht="15" x14ac:dyDescent="0.2">
      <c r="A983" s="205" t="s">
        <v>3256</v>
      </c>
      <c r="B983" s="205" t="s">
        <v>3256</v>
      </c>
      <c r="C983" s="225">
        <v>2.75</v>
      </c>
      <c r="D983" s="271">
        <v>6.7601469999999999</v>
      </c>
      <c r="E983" s="272">
        <v>-8.1072950000000006</v>
      </c>
      <c r="F983" s="122" t="b">
        <f>IF(ISBLANK(FarmUnit[[#This Row],[1. Identifiant interne d’exploitation agricole*]]),"",IF(ISERROR(MATCH(FarmUnit[[#This Row],[1. Identifiant interne d’exploitation agricole*]],GroupMember[1. Identifiant interne d’exploitation agricole*],0)),FALSE,TRUE))</f>
        <v>1</v>
      </c>
      <c r="G983" s="4">
        <f t="shared" si="31"/>
        <v>6.7601469999999999</v>
      </c>
      <c r="H983" s="4">
        <f t="shared" si="32"/>
        <v>-8.1072950000000006</v>
      </c>
      <c r="I983" s="20" t="str">
        <f t="array" ref="I983">IF(ISBLANK(C983),"",IF(C983=MAX(IF(FarmUnit[1. Identifiant interne d’exploitation agricole*]=A983,FarmUnit[3. Superficie de l’unité agricole (ha)*])),"!","-"))</f>
        <v>!</v>
      </c>
      <c r="J983" s="9" t="str">
        <f ca="1">IFERROR(CONCATENATE(VLOOKUP(A983,GM_Table,12,FALSE)," ",(VLOOKUP(A983,GM_Table,13,FALSE))),"")</f>
        <v/>
      </c>
    </row>
    <row r="984" spans="1:10" ht="15" x14ac:dyDescent="0.2">
      <c r="A984" s="205" t="s">
        <v>3258</v>
      </c>
      <c r="B984" s="205" t="s">
        <v>3258</v>
      </c>
      <c r="C984" s="241">
        <v>3.5</v>
      </c>
      <c r="D984" s="271">
        <v>6.7583909999999996</v>
      </c>
      <c r="E984" s="272">
        <v>-8.1017250000000001</v>
      </c>
      <c r="F984" s="122" t="b">
        <f>IF(ISBLANK(FarmUnit[[#This Row],[1. Identifiant interne d’exploitation agricole*]]),"",IF(ISERROR(MATCH(FarmUnit[[#This Row],[1. Identifiant interne d’exploitation agricole*]],GroupMember[1. Identifiant interne d’exploitation agricole*],0)),FALSE,TRUE))</f>
        <v>1</v>
      </c>
      <c r="G984" s="4">
        <f t="shared" si="31"/>
        <v>6.7583909999999996</v>
      </c>
      <c r="H984" s="4">
        <f t="shared" si="32"/>
        <v>-8.1017250000000001</v>
      </c>
      <c r="I984" s="20" t="str">
        <f t="array" ref="I984">IF(ISBLANK(C984),"",IF(C984=MAX(IF(FarmUnit[1. Identifiant interne d’exploitation agricole*]=A984,FarmUnit[3. Superficie de l’unité agricole (ha)*])),"!","-"))</f>
        <v>!</v>
      </c>
      <c r="J984" s="9" t="str">
        <f ca="1">IFERROR(CONCATENATE(VLOOKUP(A984,GM_Table,12,FALSE)," ",(VLOOKUP(A984,GM_Table,13,FALSE))),"")</f>
        <v/>
      </c>
    </row>
    <row r="985" spans="1:10" ht="15" x14ac:dyDescent="0.2">
      <c r="A985" s="205" t="s">
        <v>3259</v>
      </c>
      <c r="B985" s="205" t="s">
        <v>3259</v>
      </c>
      <c r="C985" s="225">
        <v>3.81</v>
      </c>
      <c r="D985" s="271">
        <v>6.7516819999999997</v>
      </c>
      <c r="E985" s="272">
        <v>-8.0763689999999997</v>
      </c>
      <c r="F985" s="122" t="b">
        <f>IF(ISBLANK(FarmUnit[[#This Row],[1. Identifiant interne d’exploitation agricole*]]),"",IF(ISERROR(MATCH(FarmUnit[[#This Row],[1. Identifiant interne d’exploitation agricole*]],GroupMember[1. Identifiant interne d’exploitation agricole*],0)),FALSE,TRUE))</f>
        <v>1</v>
      </c>
      <c r="G985" s="4">
        <f t="shared" si="31"/>
        <v>6.7516819999999997</v>
      </c>
      <c r="H985" s="4">
        <f t="shared" si="32"/>
        <v>-8.0763689999999997</v>
      </c>
      <c r="I985" s="20" t="str">
        <f t="array" ref="I985">IF(ISBLANK(C985),"",IF(C985=MAX(IF(FarmUnit[1. Identifiant interne d’exploitation agricole*]=A985,FarmUnit[3. Superficie de l’unité agricole (ha)*])),"!","-"))</f>
        <v>!</v>
      </c>
      <c r="J985" s="9" t="str">
        <f ca="1">IFERROR(CONCATENATE(VLOOKUP(A985,GM_Table,12,FALSE)," ",(VLOOKUP(A985,GM_Table,13,FALSE))),"")</f>
        <v/>
      </c>
    </row>
    <row r="986" spans="1:10" ht="15" x14ac:dyDescent="0.2">
      <c r="A986" s="205" t="s">
        <v>3260</v>
      </c>
      <c r="B986" s="205" t="s">
        <v>3260</v>
      </c>
      <c r="C986" s="225">
        <v>2.48</v>
      </c>
      <c r="D986" s="271">
        <v>6.7509779999999999</v>
      </c>
      <c r="E986" s="272">
        <v>-8.0754699999999993</v>
      </c>
      <c r="F986" s="122" t="b">
        <f>IF(ISBLANK(FarmUnit[[#This Row],[1. Identifiant interne d’exploitation agricole*]]),"",IF(ISERROR(MATCH(FarmUnit[[#This Row],[1. Identifiant interne d’exploitation agricole*]],GroupMember[1. Identifiant interne d’exploitation agricole*],0)),FALSE,TRUE))</f>
        <v>1</v>
      </c>
      <c r="G986" s="4">
        <f t="shared" si="31"/>
        <v>6.7509779999999999</v>
      </c>
      <c r="H986" s="4">
        <f t="shared" si="32"/>
        <v>-8.0754699999999993</v>
      </c>
      <c r="I986" s="20" t="str">
        <f t="array" ref="I986">IF(ISBLANK(C986),"",IF(C986=MAX(IF(FarmUnit[1. Identifiant interne d’exploitation agricole*]=A986,FarmUnit[3. Superficie de l’unité agricole (ha)*])),"!","-"))</f>
        <v>!</v>
      </c>
      <c r="J986" s="9" t="str">
        <f ca="1">IFERROR(CONCATENATE(VLOOKUP(A986,GM_Table,12,FALSE)," ",(VLOOKUP(A986,GM_Table,13,FALSE))),"")</f>
        <v/>
      </c>
    </row>
    <row r="987" spans="1:10" ht="15" x14ac:dyDescent="0.2">
      <c r="A987" s="205" t="s">
        <v>3261</v>
      </c>
      <c r="B987" s="205" t="s">
        <v>3261</v>
      </c>
      <c r="C987" s="225">
        <v>2.67</v>
      </c>
      <c r="D987" s="271">
        <v>6.7573910000000001</v>
      </c>
      <c r="E987" s="272">
        <v>-8.0958489999999994</v>
      </c>
      <c r="F987" s="122" t="b">
        <f>IF(ISBLANK(FarmUnit[[#This Row],[1. Identifiant interne d’exploitation agricole*]]),"",IF(ISERROR(MATCH(FarmUnit[[#This Row],[1. Identifiant interne d’exploitation agricole*]],GroupMember[1. Identifiant interne d’exploitation agricole*],0)),FALSE,TRUE))</f>
        <v>1</v>
      </c>
      <c r="G987" s="4">
        <f t="shared" si="31"/>
        <v>6.7573910000000001</v>
      </c>
      <c r="H987" s="4">
        <f t="shared" si="32"/>
        <v>-8.0958489999999994</v>
      </c>
      <c r="I987" s="20" t="str">
        <f t="array" ref="I987">IF(ISBLANK(C987),"",IF(C987=MAX(IF(FarmUnit[1. Identifiant interne d’exploitation agricole*]=A987,FarmUnit[3. Superficie de l’unité agricole (ha)*])),"!","-"))</f>
        <v>!</v>
      </c>
      <c r="J987" s="9" t="str">
        <f ca="1">IFERROR(CONCATENATE(VLOOKUP(A987,GM_Table,12,FALSE)," ",(VLOOKUP(A987,GM_Table,13,FALSE))),"")</f>
        <v/>
      </c>
    </row>
    <row r="988" spans="1:10" ht="15" x14ac:dyDescent="0.2">
      <c r="A988" s="205" t="s">
        <v>3262</v>
      </c>
      <c r="B988" s="205" t="s">
        <v>3262</v>
      </c>
      <c r="C988" s="225">
        <v>2.59</v>
      </c>
      <c r="D988" s="271">
        <v>6.76816</v>
      </c>
      <c r="E988" s="272">
        <v>-8.097664</v>
      </c>
      <c r="F988" s="122" t="b">
        <f>IF(ISBLANK(FarmUnit[[#This Row],[1. Identifiant interne d’exploitation agricole*]]),"",IF(ISERROR(MATCH(FarmUnit[[#This Row],[1. Identifiant interne d’exploitation agricole*]],GroupMember[1. Identifiant interne d’exploitation agricole*],0)),FALSE,TRUE))</f>
        <v>1</v>
      </c>
      <c r="G988" s="4">
        <f t="shared" si="31"/>
        <v>6.76816</v>
      </c>
      <c r="H988" s="4">
        <f t="shared" si="32"/>
        <v>-8.097664</v>
      </c>
      <c r="I988" s="20" t="str">
        <f t="array" ref="I988">IF(ISBLANK(C988),"",IF(C988=MAX(IF(FarmUnit[1. Identifiant interne d’exploitation agricole*]=A988,FarmUnit[3. Superficie de l’unité agricole (ha)*])),"!","-"))</f>
        <v>!</v>
      </c>
      <c r="J988" s="9" t="str">
        <f ca="1">IFERROR(CONCATENATE(VLOOKUP(A988,GM_Table,12,FALSE)," ",(VLOOKUP(A988,GM_Table,13,FALSE))),"")</f>
        <v/>
      </c>
    </row>
    <row r="989" spans="1:10" ht="15" x14ac:dyDescent="0.2">
      <c r="A989" s="205" t="s">
        <v>3264</v>
      </c>
      <c r="B989" s="205" t="s">
        <v>3264</v>
      </c>
      <c r="C989" s="225">
        <v>1.4</v>
      </c>
      <c r="D989" s="271">
        <v>6.7267320000000002</v>
      </c>
      <c r="E989" s="272">
        <v>-8.0504929999999995</v>
      </c>
      <c r="F989" s="122" t="b">
        <f>IF(ISBLANK(FarmUnit[[#This Row],[1. Identifiant interne d’exploitation agricole*]]),"",IF(ISERROR(MATCH(FarmUnit[[#This Row],[1. Identifiant interne d’exploitation agricole*]],GroupMember[1. Identifiant interne d’exploitation agricole*],0)),FALSE,TRUE))</f>
        <v>1</v>
      </c>
      <c r="G989" s="4">
        <f t="shared" si="31"/>
        <v>6.7267320000000002</v>
      </c>
      <c r="H989" s="4">
        <f t="shared" si="32"/>
        <v>-8.0504929999999995</v>
      </c>
      <c r="I989" s="20" t="str">
        <f t="array" ref="I989">IF(ISBLANK(C989),"",IF(C989=MAX(IF(FarmUnit[1. Identifiant interne d’exploitation agricole*]=A989,FarmUnit[3. Superficie de l’unité agricole (ha)*])),"!","-"))</f>
        <v>!</v>
      </c>
      <c r="J989" s="9" t="str">
        <f ca="1">IFERROR(CONCATENATE(VLOOKUP(A989,GM_Table,12,FALSE)," ",(VLOOKUP(A989,GM_Table,13,FALSE))),"")</f>
        <v/>
      </c>
    </row>
    <row r="990" spans="1:10" ht="15" x14ac:dyDescent="0.2">
      <c r="A990" s="205" t="s">
        <v>3267</v>
      </c>
      <c r="B990" s="205" t="s">
        <v>3267</v>
      </c>
      <c r="C990" s="225">
        <v>0.98</v>
      </c>
      <c r="D990" s="271">
        <v>6.645143</v>
      </c>
      <c r="E990" s="272">
        <v>-8.0680630000000004</v>
      </c>
      <c r="F990" s="122" t="b">
        <f>IF(ISBLANK(FarmUnit[[#This Row],[1. Identifiant interne d’exploitation agricole*]]),"",IF(ISERROR(MATCH(FarmUnit[[#This Row],[1. Identifiant interne d’exploitation agricole*]],GroupMember[1. Identifiant interne d’exploitation agricole*],0)),FALSE,TRUE))</f>
        <v>1</v>
      </c>
      <c r="G990" s="4">
        <f t="shared" si="31"/>
        <v>6.645143</v>
      </c>
      <c r="H990" s="4">
        <f t="shared" si="32"/>
        <v>-8.0680630000000004</v>
      </c>
      <c r="I990" s="20" t="str">
        <f t="array" ref="I990">IF(ISBLANK(C990),"",IF(C990=MAX(IF(FarmUnit[1. Identifiant interne d’exploitation agricole*]=A990,FarmUnit[3. Superficie de l’unité agricole (ha)*])),"!","-"))</f>
        <v>!</v>
      </c>
      <c r="J990" s="9" t="str">
        <f ca="1">IFERROR(CONCATENATE(VLOOKUP(A990,GM_Table,12,FALSE)," ",(VLOOKUP(A990,GM_Table,13,FALSE))),"")</f>
        <v/>
      </c>
    </row>
    <row r="991" spans="1:10" ht="15" x14ac:dyDescent="0.2">
      <c r="A991" s="205" t="s">
        <v>3270</v>
      </c>
      <c r="B991" s="205" t="s">
        <v>3270</v>
      </c>
      <c r="C991" s="225">
        <v>0.66</v>
      </c>
      <c r="D991" s="271">
        <v>6.7054919999999996</v>
      </c>
      <c r="E991" s="272">
        <v>-8.0529949999999992</v>
      </c>
      <c r="F991" s="122" t="b">
        <f>IF(ISBLANK(FarmUnit[[#This Row],[1. Identifiant interne d’exploitation agricole*]]),"",IF(ISERROR(MATCH(FarmUnit[[#This Row],[1. Identifiant interne d’exploitation agricole*]],GroupMember[1. Identifiant interne d’exploitation agricole*],0)),FALSE,TRUE))</f>
        <v>1</v>
      </c>
      <c r="G991" s="4">
        <f t="shared" si="31"/>
        <v>6.7054919999999996</v>
      </c>
      <c r="H991" s="4">
        <f t="shared" si="32"/>
        <v>-8.0529949999999992</v>
      </c>
      <c r="I991" s="20" t="str">
        <f t="array" ref="I991">IF(ISBLANK(C991),"",IF(C991=MAX(IF(FarmUnit[1. Identifiant interne d’exploitation agricole*]=A991,FarmUnit[3. Superficie de l’unité agricole (ha)*])),"!","-"))</f>
        <v>!</v>
      </c>
      <c r="J991" s="9" t="str">
        <f ca="1">IFERROR(CONCATENATE(VLOOKUP(A991,GM_Table,12,FALSE)," ",(VLOOKUP(A991,GM_Table,13,FALSE))),"")</f>
        <v/>
      </c>
    </row>
    <row r="992" spans="1:10" ht="15" x14ac:dyDescent="0.2">
      <c r="A992" s="205" t="s">
        <v>3273</v>
      </c>
      <c r="B992" s="205" t="s">
        <v>3273</v>
      </c>
      <c r="C992" s="225">
        <v>1.95</v>
      </c>
      <c r="D992" s="271">
        <v>6.7264569999999999</v>
      </c>
      <c r="E992" s="272">
        <v>-8.0534870000000005</v>
      </c>
      <c r="F992" s="122" t="b">
        <f>IF(ISBLANK(FarmUnit[[#This Row],[1. Identifiant interne d’exploitation agricole*]]),"",IF(ISERROR(MATCH(FarmUnit[[#This Row],[1. Identifiant interne d’exploitation agricole*]],GroupMember[1. Identifiant interne d’exploitation agricole*],0)),FALSE,TRUE))</f>
        <v>1</v>
      </c>
      <c r="G992" s="4">
        <f t="shared" si="31"/>
        <v>6.7264569999999999</v>
      </c>
      <c r="H992" s="4">
        <f t="shared" si="32"/>
        <v>-8.0534870000000005</v>
      </c>
      <c r="I992" s="20" t="str">
        <f t="array" ref="I992">IF(ISBLANK(C992),"",IF(C992=MAX(IF(FarmUnit[1. Identifiant interne d’exploitation agricole*]=A992,FarmUnit[3. Superficie de l’unité agricole (ha)*])),"!","-"))</f>
        <v>!</v>
      </c>
      <c r="J992" s="9" t="str">
        <f ca="1">IFERROR(CONCATENATE(VLOOKUP(A992,GM_Table,12,FALSE)," ",(VLOOKUP(A992,GM_Table,13,FALSE))),"")</f>
        <v/>
      </c>
    </row>
    <row r="993" spans="1:10" ht="15" x14ac:dyDescent="0.2">
      <c r="A993" s="205" t="s">
        <v>3275</v>
      </c>
      <c r="B993" s="205" t="s">
        <v>3275</v>
      </c>
      <c r="C993" s="241">
        <v>1.6</v>
      </c>
      <c r="D993" s="271">
        <v>6.7271169999999998</v>
      </c>
      <c r="E993" s="272">
        <v>-8.0543429999999994</v>
      </c>
      <c r="F993" s="122" t="b">
        <f>IF(ISBLANK(FarmUnit[[#This Row],[1. Identifiant interne d’exploitation agricole*]]),"",IF(ISERROR(MATCH(FarmUnit[[#This Row],[1. Identifiant interne d’exploitation agricole*]],GroupMember[1. Identifiant interne d’exploitation agricole*],0)),FALSE,TRUE))</f>
        <v>1</v>
      </c>
      <c r="G993" s="4">
        <f t="shared" si="31"/>
        <v>6.7271169999999998</v>
      </c>
      <c r="H993" s="4">
        <f t="shared" si="32"/>
        <v>-8.0543429999999994</v>
      </c>
      <c r="I993" s="20" t="str">
        <f t="array" ref="I993">IF(ISBLANK(C993),"",IF(C993=MAX(IF(FarmUnit[1. Identifiant interne d’exploitation agricole*]=A993,FarmUnit[3. Superficie de l’unité agricole (ha)*])),"!","-"))</f>
        <v>!</v>
      </c>
      <c r="J993" s="9" t="str">
        <f ca="1">IFERROR(CONCATENATE(VLOOKUP(A993,GM_Table,12,FALSE)," ",(VLOOKUP(A993,GM_Table,13,FALSE))),"")</f>
        <v/>
      </c>
    </row>
    <row r="994" spans="1:10" ht="15" x14ac:dyDescent="0.2">
      <c r="A994" s="205" t="s">
        <v>3277</v>
      </c>
      <c r="B994" s="205" t="s">
        <v>3277</v>
      </c>
      <c r="C994" s="225">
        <v>7.0750000000000002</v>
      </c>
      <c r="D994" s="271">
        <v>6.883985</v>
      </c>
      <c r="E994" s="272">
        <v>-7.9321650000000004</v>
      </c>
      <c r="F994" s="122" t="b">
        <f>IF(ISBLANK(FarmUnit[[#This Row],[1. Identifiant interne d’exploitation agricole*]]),"",IF(ISERROR(MATCH(FarmUnit[[#This Row],[1. Identifiant interne d’exploitation agricole*]],GroupMember[1. Identifiant interne d’exploitation agricole*],0)),FALSE,TRUE))</f>
        <v>1</v>
      </c>
      <c r="G994" s="4">
        <f t="shared" si="31"/>
        <v>6.883985</v>
      </c>
      <c r="H994" s="4">
        <f t="shared" si="32"/>
        <v>-7.9321650000000004</v>
      </c>
      <c r="I994" s="20" t="str">
        <f t="array" ref="I994">IF(ISBLANK(C994),"",IF(C994=MAX(IF(FarmUnit[1. Identifiant interne d’exploitation agricole*]=A994,FarmUnit[3. Superficie de l’unité agricole (ha)*])),"!","-"))</f>
        <v>!</v>
      </c>
      <c r="J994" s="9" t="str">
        <f ca="1">IFERROR(CONCATENATE(VLOOKUP(A994,GM_Table,12,FALSE)," ",(VLOOKUP(A994,GM_Table,13,FALSE))),"")</f>
        <v/>
      </c>
    </row>
    <row r="995" spans="1:10" ht="15" x14ac:dyDescent="0.2">
      <c r="A995" s="205" t="s">
        <v>3278</v>
      </c>
      <c r="B995" s="205" t="s">
        <v>3278</v>
      </c>
      <c r="C995" s="225">
        <v>1.22</v>
      </c>
      <c r="D995" s="271">
        <v>6.7201950000000004</v>
      </c>
      <c r="E995" s="272">
        <v>-8.0148349999999997</v>
      </c>
      <c r="F995" s="122" t="b">
        <f>IF(ISBLANK(FarmUnit[[#This Row],[1. Identifiant interne d’exploitation agricole*]]),"",IF(ISERROR(MATCH(FarmUnit[[#This Row],[1. Identifiant interne d’exploitation agricole*]],GroupMember[1. Identifiant interne d’exploitation agricole*],0)),FALSE,TRUE))</f>
        <v>1</v>
      </c>
      <c r="G995" s="4">
        <f t="shared" si="31"/>
        <v>6.7201950000000004</v>
      </c>
      <c r="H995" s="4">
        <f t="shared" si="32"/>
        <v>-8.0148349999999997</v>
      </c>
      <c r="I995" s="20" t="str">
        <f t="array" ref="I995">IF(ISBLANK(C995),"",IF(C995=MAX(IF(FarmUnit[1. Identifiant interne d’exploitation agricole*]=A995,FarmUnit[3. Superficie de l’unité agricole (ha)*])),"!","-"))</f>
        <v>!</v>
      </c>
      <c r="J995" s="9" t="str">
        <f ca="1">IFERROR(CONCATENATE(VLOOKUP(A995,GM_Table,12,FALSE)," ",(VLOOKUP(A995,GM_Table,13,FALSE))),"")</f>
        <v/>
      </c>
    </row>
    <row r="996" spans="1:10" ht="15" x14ac:dyDescent="0.2">
      <c r="A996" s="205" t="s">
        <v>3281</v>
      </c>
      <c r="B996" s="205" t="s">
        <v>3281</v>
      </c>
      <c r="C996" s="225">
        <v>3.07</v>
      </c>
      <c r="D996" s="271">
        <v>6.7570959999999998</v>
      </c>
      <c r="E996" s="272">
        <v>-8.1191390000000006</v>
      </c>
      <c r="F996" s="122" t="b">
        <f>IF(ISBLANK(FarmUnit[[#This Row],[1. Identifiant interne d’exploitation agricole*]]),"",IF(ISERROR(MATCH(FarmUnit[[#This Row],[1. Identifiant interne d’exploitation agricole*]],GroupMember[1. Identifiant interne d’exploitation agricole*],0)),FALSE,TRUE))</f>
        <v>1</v>
      </c>
      <c r="G996" s="4">
        <f t="shared" si="31"/>
        <v>6.7570959999999998</v>
      </c>
      <c r="H996" s="4">
        <f t="shared" si="32"/>
        <v>-8.1191390000000006</v>
      </c>
      <c r="I996" s="20" t="str">
        <f t="array" ref="I996">IF(ISBLANK(C996),"",IF(C996=MAX(IF(FarmUnit[1. Identifiant interne d’exploitation agricole*]=A996,FarmUnit[3. Superficie de l’unité agricole (ha)*])),"!","-"))</f>
        <v>!</v>
      </c>
      <c r="J996" s="9" t="str">
        <f ca="1">IFERROR(CONCATENATE(VLOOKUP(A996,GM_Table,12,FALSE)," ",(VLOOKUP(A996,GM_Table,13,FALSE))),"")</f>
        <v/>
      </c>
    </row>
    <row r="997" spans="1:10" ht="15" x14ac:dyDescent="0.2">
      <c r="A997" s="205" t="s">
        <v>3282</v>
      </c>
      <c r="B997" s="205" t="s">
        <v>3282</v>
      </c>
      <c r="C997" s="225">
        <v>2.15</v>
      </c>
      <c r="D997" s="271">
        <v>6.7557410000000004</v>
      </c>
      <c r="E997" s="272">
        <v>-8.1222089999999998</v>
      </c>
      <c r="F997" s="122" t="b">
        <f>IF(ISBLANK(FarmUnit[[#This Row],[1. Identifiant interne d’exploitation agricole*]]),"",IF(ISERROR(MATCH(FarmUnit[[#This Row],[1. Identifiant interne d’exploitation agricole*]],GroupMember[1. Identifiant interne d’exploitation agricole*],0)),FALSE,TRUE))</f>
        <v>1</v>
      </c>
      <c r="G997" s="4">
        <f t="shared" si="31"/>
        <v>6.7557410000000004</v>
      </c>
      <c r="H997" s="4">
        <f t="shared" si="32"/>
        <v>-8.1222089999999998</v>
      </c>
      <c r="I997" s="20" t="str">
        <f t="array" ref="I997">IF(ISBLANK(C997),"",IF(C997=MAX(IF(FarmUnit[1. Identifiant interne d’exploitation agricole*]=A997,FarmUnit[3. Superficie de l’unité agricole (ha)*])),"!","-"))</f>
        <v>!</v>
      </c>
      <c r="J997" s="9" t="str">
        <f ca="1">IFERROR(CONCATENATE(VLOOKUP(A997,GM_Table,12,FALSE)," ",(VLOOKUP(A997,GM_Table,13,FALSE))),"")</f>
        <v/>
      </c>
    </row>
    <row r="998" spans="1:10" ht="15" x14ac:dyDescent="0.2">
      <c r="A998" s="205" t="s">
        <v>3284</v>
      </c>
      <c r="B998" s="205" t="s">
        <v>3284</v>
      </c>
      <c r="C998" s="227">
        <v>3.67</v>
      </c>
      <c r="D998" s="271">
        <v>6.6445780000000001</v>
      </c>
      <c r="E998" s="272">
        <v>-8.0615430000000003</v>
      </c>
      <c r="F998" s="122" t="b">
        <f>IF(ISBLANK(FarmUnit[[#This Row],[1. Identifiant interne d’exploitation agricole*]]),"",IF(ISERROR(MATCH(FarmUnit[[#This Row],[1. Identifiant interne d’exploitation agricole*]],GroupMember[1. Identifiant interne d’exploitation agricole*],0)),FALSE,TRUE))</f>
        <v>1</v>
      </c>
      <c r="G998" s="4">
        <f t="shared" si="31"/>
        <v>6.6445780000000001</v>
      </c>
      <c r="H998" s="4">
        <f t="shared" si="32"/>
        <v>-8.0615430000000003</v>
      </c>
      <c r="I998" s="20" t="str">
        <f t="array" ref="I998">IF(ISBLANK(C998),"",IF(C998=MAX(IF(FarmUnit[1. Identifiant interne d’exploitation agricole*]=A998,FarmUnit[3. Superficie de l’unité agricole (ha)*])),"!","-"))</f>
        <v>!</v>
      </c>
      <c r="J998" s="9" t="str">
        <f ca="1">IFERROR(CONCATENATE(VLOOKUP(A998,GM_Table,12,FALSE)," ",(VLOOKUP(A998,GM_Table,13,FALSE))),"")</f>
        <v/>
      </c>
    </row>
    <row r="999" spans="1:10" ht="15" x14ac:dyDescent="0.2">
      <c r="A999" s="205" t="s">
        <v>3286</v>
      </c>
      <c r="B999" s="205" t="s">
        <v>3286</v>
      </c>
      <c r="C999" s="225">
        <v>6.24</v>
      </c>
      <c r="D999" s="271">
        <v>6.6432849999999997</v>
      </c>
      <c r="E999" s="272">
        <v>-8.0663889999999991</v>
      </c>
      <c r="F999" s="122" t="b">
        <f>IF(ISBLANK(FarmUnit[[#This Row],[1. Identifiant interne d’exploitation agricole*]]),"",IF(ISERROR(MATCH(FarmUnit[[#This Row],[1. Identifiant interne d’exploitation agricole*]],GroupMember[1. Identifiant interne d’exploitation agricole*],0)),FALSE,TRUE))</f>
        <v>1</v>
      </c>
      <c r="G999" s="4">
        <f t="shared" si="31"/>
        <v>6.6432849999999997</v>
      </c>
      <c r="H999" s="4">
        <f t="shared" si="32"/>
        <v>-8.0663889999999991</v>
      </c>
      <c r="I999" s="20" t="str">
        <f t="array" ref="I999">IF(ISBLANK(C999),"",IF(C999=MAX(IF(FarmUnit[1. Identifiant interne d’exploitation agricole*]=A999,FarmUnit[3. Superficie de l’unité agricole (ha)*])),"!","-"))</f>
        <v>!</v>
      </c>
      <c r="J999" s="9" t="str">
        <f ca="1">IFERROR(CONCATENATE(VLOOKUP(A999,GM_Table,12,FALSE)," ",(VLOOKUP(A999,GM_Table,13,FALSE))),"")</f>
        <v/>
      </c>
    </row>
    <row r="1000" spans="1:10" ht="15.75" thickBot="1" x14ac:dyDescent="0.25">
      <c r="A1000" s="205" t="s">
        <v>3287</v>
      </c>
      <c r="B1000" s="205" t="s">
        <v>3287</v>
      </c>
      <c r="C1000" s="225">
        <v>2.2599999999999998</v>
      </c>
      <c r="D1000" s="271">
        <v>6.7521449999999996</v>
      </c>
      <c r="E1000" s="272">
        <v>-8.0758080000000003</v>
      </c>
      <c r="F1000" s="122" t="b">
        <f>IF(ISBLANK(FarmUnit[[#This Row],[1. Identifiant interne d’exploitation agricole*]]),"",IF(ISERROR(MATCH(FarmUnit[[#This Row],[1. Identifiant interne d’exploitation agricole*]],GroupMember[1. Identifiant interne d’exploitation agricole*],0)),FALSE,TRUE))</f>
        <v>1</v>
      </c>
      <c r="G1000" s="4">
        <f t="shared" si="31"/>
        <v>6.7521449999999996</v>
      </c>
      <c r="H1000" s="4">
        <f t="shared" si="32"/>
        <v>-8.0758080000000003</v>
      </c>
      <c r="I1000" s="20" t="str">
        <f t="array" ref="I1000">IF(ISBLANK(C1000),"",IF(C1000=MAX(IF(FarmUnit[1. Identifiant interne d’exploitation agricole*]=A1000,FarmUnit[3. Superficie de l’unité agricole (ha)*])),"!","-"))</f>
        <v>!</v>
      </c>
      <c r="J1000" s="9" t="str">
        <f ca="1">IFERROR(CONCATENATE(VLOOKUP(A1000,GM_Table,12,FALSE)," ",(VLOOKUP(A1000,GM_Table,13,FALSE))),"")</f>
        <v/>
      </c>
    </row>
    <row r="1001" spans="1:10" s="404" customFormat="1" ht="15.75" thickBot="1" x14ac:dyDescent="0.25">
      <c r="A1001" s="375" t="s">
        <v>3497</v>
      </c>
      <c r="B1001" s="375" t="s">
        <v>3497</v>
      </c>
      <c r="C1001" s="343">
        <v>0.6</v>
      </c>
      <c r="D1001" s="400">
        <v>6.6859900000000003</v>
      </c>
      <c r="E1001" s="401">
        <v>-8.0550800000000002</v>
      </c>
      <c r="F1001" s="367" t="b">
        <f>IF(ISBLANK(FarmUnit[[#This Row],[1. Identifiant interne d’exploitation agricole*]]),"",IF(ISERROR(MATCH(FarmUnit[[#This Row],[1. Identifiant interne d’exploitation agricole*]],GroupMember[1. Identifiant interne d’exploitation agricole*],0)),FALSE,TRUE))</f>
        <v>1</v>
      </c>
      <c r="G1001" s="402">
        <f t="shared" ref="G1001:G1022" si="33">IF(D1001=0,"",D1001)</f>
        <v>6.6859900000000003</v>
      </c>
      <c r="H1001" s="402">
        <f t="shared" ref="H1001:H1022" si="34">IF(E1001=0,"",E1001)</f>
        <v>-8.0550800000000002</v>
      </c>
      <c r="I1001" s="403" t="str">
        <f t="array" ref="I1001">IF(ISBLANK(C1001),"",IF(C1001=MAX(IF(FarmUnit[1. Identifiant interne d’exploitation agricole*]=A1001,FarmUnit[3. Superficie de l’unité agricole (ha)*])),"!","-"))</f>
        <v>!</v>
      </c>
      <c r="J1001" s="368" t="str">
        <f ca="1">IFERROR(CONCATENATE(VLOOKUP(A1001,GM_Table,12,FALSE)," ",(VLOOKUP(A1001,GM_Table,13,FALSE))),"")</f>
        <v/>
      </c>
    </row>
    <row r="1002" spans="1:10" ht="15.75" thickBot="1" x14ac:dyDescent="0.25">
      <c r="A1002" s="376" t="s">
        <v>3498</v>
      </c>
      <c r="B1002" s="376" t="s">
        <v>3498</v>
      </c>
      <c r="C1002" s="188">
        <v>1.4</v>
      </c>
      <c r="D1002" s="396">
        <v>6.72072</v>
      </c>
      <c r="E1002" s="397">
        <v>-8.0342000000000002</v>
      </c>
      <c r="F1002" s="317" t="b">
        <f>IF(ISBLANK(FarmUnit[[#This Row],[1. Identifiant interne d’exploitation agricole*]]),"",IF(ISERROR(MATCH(FarmUnit[[#This Row],[1. Identifiant interne d’exploitation agricole*]],GroupMember[1. Identifiant interne d’exploitation agricole*],0)),FALSE,TRUE))</f>
        <v>1</v>
      </c>
      <c r="G1002" s="392">
        <f t="shared" si="33"/>
        <v>6.72072</v>
      </c>
      <c r="H1002" s="392">
        <f t="shared" si="34"/>
        <v>-8.0342000000000002</v>
      </c>
      <c r="I1002" s="393" t="str">
        <f t="array" ref="I1002">IF(ISBLANK(C1002),"",IF(C1002=MAX(IF(FarmUnit[1. Identifiant interne d’exploitation agricole*]=A1002,FarmUnit[3. Superficie de l’unité agricole (ha)*])),"!","-"))</f>
        <v>!</v>
      </c>
      <c r="J1002" s="318" t="str">
        <f ca="1">IFERROR(CONCATENATE(VLOOKUP(A1002,GM_Table,12,FALSE)," ",(VLOOKUP(A1002,GM_Table,13,FALSE))),"")</f>
        <v/>
      </c>
    </row>
    <row r="1003" spans="1:10" s="404" customFormat="1" ht="15.75" thickBot="1" x14ac:dyDescent="0.25">
      <c r="A1003" s="375" t="s">
        <v>3499</v>
      </c>
      <c r="B1003" s="375" t="s">
        <v>3499</v>
      </c>
      <c r="C1003" s="343">
        <v>2.6</v>
      </c>
      <c r="D1003" s="410">
        <v>6.7320399999999996</v>
      </c>
      <c r="E1003" s="411">
        <v>-8.0797699999999999</v>
      </c>
      <c r="F1003" s="367" t="b">
        <f>IF(ISBLANK(FarmUnit[[#This Row],[1. Identifiant interne d’exploitation agricole*]]),"",IF(ISERROR(MATCH(FarmUnit[[#This Row],[1. Identifiant interne d’exploitation agricole*]],GroupMember[1. Identifiant interne d’exploitation agricole*],0)),FALSE,TRUE))</f>
        <v>1</v>
      </c>
      <c r="G1003" s="402">
        <f t="shared" si="33"/>
        <v>6.7320399999999996</v>
      </c>
      <c r="H1003" s="402">
        <f t="shared" si="34"/>
        <v>-8.0797699999999999</v>
      </c>
      <c r="I1003" s="403" t="str">
        <f t="array" ref="I1003">IF(ISBLANK(C1003),"",IF(C1003=MAX(IF(FarmUnit[1. Identifiant interne d’exploitation agricole*]=A1003,FarmUnit[3. Superficie de l’unité agricole (ha)*])),"!","-"))</f>
        <v>!</v>
      </c>
      <c r="J1003" s="368" t="str">
        <f ca="1">IFERROR(CONCATENATE(VLOOKUP(A1003,GM_Table,12,FALSE)," ",(VLOOKUP(A1003,GM_Table,13,FALSE))),"")</f>
        <v/>
      </c>
    </row>
    <row r="1004" spans="1:10" ht="15.75" thickBot="1" x14ac:dyDescent="0.25">
      <c r="A1004" s="412" t="s">
        <v>3501</v>
      </c>
      <c r="B1004" s="412" t="s">
        <v>3501</v>
      </c>
      <c r="C1004" s="188">
        <v>2.5</v>
      </c>
      <c r="D1004" s="396">
        <v>6.7121700000000004</v>
      </c>
      <c r="E1004" s="397">
        <v>-8.0526300000000006</v>
      </c>
      <c r="F1004" s="317" t="b">
        <f>IF(ISBLANK(FarmUnit[[#This Row],[1. Identifiant interne d’exploitation agricole*]]),"",IF(ISERROR(MATCH(FarmUnit[[#This Row],[1. Identifiant interne d’exploitation agricole*]],GroupMember[1. Identifiant interne d’exploitation agricole*],0)),FALSE,TRUE))</f>
        <v>1</v>
      </c>
      <c r="G1004" s="392">
        <f t="shared" si="33"/>
        <v>6.7121700000000004</v>
      </c>
      <c r="H1004" s="392">
        <f t="shared" si="34"/>
        <v>-8.0526300000000006</v>
      </c>
      <c r="I1004" s="393" t="str">
        <f t="array" ref="I1004">IF(ISBLANK(C1004),"",IF(C1004=MAX(IF(FarmUnit[1. Identifiant interne d’exploitation agricole*]=A1004,FarmUnit[3. Superficie de l’unité agricole (ha)*])),"!","-"))</f>
        <v>!</v>
      </c>
      <c r="J1004" s="318" t="str">
        <f ca="1">IFERROR(CONCATENATE(VLOOKUP(A1004,GM_Table,12,FALSE)," ",(VLOOKUP(A1004,GM_Table,13,FALSE))),"")</f>
        <v/>
      </c>
    </row>
    <row r="1005" spans="1:10" s="404" customFormat="1" ht="15.75" thickBot="1" x14ac:dyDescent="0.25">
      <c r="A1005" s="405" t="s">
        <v>3502</v>
      </c>
      <c r="B1005" s="405" t="s">
        <v>3502</v>
      </c>
      <c r="C1005" s="343">
        <v>1.2</v>
      </c>
      <c r="D1005" s="410">
        <v>6.6927199999999996</v>
      </c>
      <c r="E1005" s="411">
        <v>-8.0683100000000003</v>
      </c>
      <c r="F1005" s="367" t="b">
        <f>IF(ISBLANK(FarmUnit[[#This Row],[1. Identifiant interne d’exploitation agricole*]]),"",IF(ISERROR(MATCH(FarmUnit[[#This Row],[1. Identifiant interne d’exploitation agricole*]],GroupMember[1. Identifiant interne d’exploitation agricole*],0)),FALSE,TRUE))</f>
        <v>1</v>
      </c>
      <c r="G1005" s="402">
        <f t="shared" si="33"/>
        <v>6.6927199999999996</v>
      </c>
      <c r="H1005" s="402">
        <f t="shared" si="34"/>
        <v>-8.0683100000000003</v>
      </c>
      <c r="I1005" s="403" t="str">
        <f t="array" ref="I1005">IF(ISBLANK(C1005),"",IF(C1005=MAX(IF(FarmUnit[1. Identifiant interne d’exploitation agricole*]=A1005,FarmUnit[3. Superficie de l’unité agricole (ha)*])),"!","-"))</f>
        <v>!</v>
      </c>
      <c r="J1005" s="368" t="str">
        <f ca="1">IFERROR(CONCATENATE(VLOOKUP(A1005,GM_Table,12,FALSE)," ",(VLOOKUP(A1005,GM_Table,13,FALSE))),"")</f>
        <v/>
      </c>
    </row>
    <row r="1006" spans="1:10" ht="15.75" thickBot="1" x14ac:dyDescent="0.25">
      <c r="A1006" s="412" t="s">
        <v>3503</v>
      </c>
      <c r="B1006" s="412" t="s">
        <v>3503</v>
      </c>
      <c r="C1006" s="188">
        <v>10.199999999999999</v>
      </c>
      <c r="D1006" s="396">
        <v>6.7071500000000004</v>
      </c>
      <c r="E1006" s="397">
        <v>-8.0626599999999993</v>
      </c>
      <c r="F1006" s="317" t="b">
        <f>IF(ISBLANK(FarmUnit[[#This Row],[1. Identifiant interne d’exploitation agricole*]]),"",IF(ISERROR(MATCH(FarmUnit[[#This Row],[1. Identifiant interne d’exploitation agricole*]],GroupMember[1. Identifiant interne d’exploitation agricole*],0)),FALSE,TRUE))</f>
        <v>1</v>
      </c>
      <c r="G1006" s="392">
        <f t="shared" si="33"/>
        <v>6.7071500000000004</v>
      </c>
      <c r="H1006" s="392">
        <f t="shared" si="34"/>
        <v>-8.0626599999999993</v>
      </c>
      <c r="I1006" s="393" t="str">
        <f t="array" ref="I1006">IF(ISBLANK(C1006),"",IF(C1006=MAX(IF(FarmUnit[1. Identifiant interne d’exploitation agricole*]=A1006,FarmUnit[3. Superficie de l’unité agricole (ha)*])),"!","-"))</f>
        <v>!</v>
      </c>
      <c r="J1006" s="318" t="str">
        <f ca="1">IFERROR(CONCATENATE(VLOOKUP(A1006,GM_Table,12,FALSE)," ",(VLOOKUP(A1006,GM_Table,13,FALSE))),"")</f>
        <v/>
      </c>
    </row>
    <row r="1007" spans="1:10" s="404" customFormat="1" ht="15.75" thickBot="1" x14ac:dyDescent="0.25">
      <c r="A1007" s="405" t="s">
        <v>3500</v>
      </c>
      <c r="B1007" s="405" t="s">
        <v>3500</v>
      </c>
      <c r="C1007" s="343">
        <v>1.8</v>
      </c>
      <c r="D1007" s="410">
        <v>6.6958900000000003</v>
      </c>
      <c r="E1007" s="411">
        <v>-8.0585100000000001</v>
      </c>
      <c r="F1007" s="367" t="b">
        <f>IF(ISBLANK(FarmUnit[[#This Row],[1. Identifiant interne d’exploitation agricole*]]),"",IF(ISERROR(MATCH(FarmUnit[[#This Row],[1. Identifiant interne d’exploitation agricole*]],GroupMember[1. Identifiant interne d’exploitation agricole*],0)),FALSE,TRUE))</f>
        <v>1</v>
      </c>
      <c r="G1007" s="402">
        <f t="shared" si="33"/>
        <v>6.6958900000000003</v>
      </c>
      <c r="H1007" s="402">
        <f t="shared" si="34"/>
        <v>-8.0585100000000001</v>
      </c>
      <c r="I1007" s="403" t="str">
        <f t="array" ref="I1007">IF(ISBLANK(C1007),"",IF(C1007=MAX(IF(FarmUnit[1. Identifiant interne d’exploitation agricole*]=A1007,FarmUnit[3. Superficie de l’unité agricole (ha)*])),"!","-"))</f>
        <v>!</v>
      </c>
      <c r="J1007" s="368" t="str">
        <f ca="1">IFERROR(CONCATENATE(VLOOKUP(A1007,GM_Table,12,FALSE)," ",(VLOOKUP(A1007,GM_Table,13,FALSE))),"")</f>
        <v/>
      </c>
    </row>
    <row r="1008" spans="1:10" ht="15.75" thickBot="1" x14ac:dyDescent="0.25">
      <c r="A1008" s="412" t="s">
        <v>3504</v>
      </c>
      <c r="B1008" s="412" t="s">
        <v>3504</v>
      </c>
      <c r="C1008" s="188">
        <v>2.1</v>
      </c>
      <c r="D1008" s="396">
        <v>6.7106599999999998</v>
      </c>
      <c r="E1008" s="397">
        <v>-8.0490700000000004</v>
      </c>
      <c r="F1008" s="317" t="b">
        <f>IF(ISBLANK(FarmUnit[[#This Row],[1. Identifiant interne d’exploitation agricole*]]),"",IF(ISERROR(MATCH(FarmUnit[[#This Row],[1. Identifiant interne d’exploitation agricole*]],GroupMember[1. Identifiant interne d’exploitation agricole*],0)),FALSE,TRUE))</f>
        <v>1</v>
      </c>
      <c r="G1008" s="392">
        <f t="shared" si="33"/>
        <v>6.7106599999999998</v>
      </c>
      <c r="H1008" s="392">
        <f t="shared" si="34"/>
        <v>-8.0490700000000004</v>
      </c>
      <c r="I1008" s="393" t="str">
        <f t="array" ref="I1008">IF(ISBLANK(C1008),"",IF(C1008=MAX(IF(FarmUnit[1. Identifiant interne d’exploitation agricole*]=A1008,FarmUnit[3. Superficie de l’unité agricole (ha)*])),"!","-"))</f>
        <v>!</v>
      </c>
      <c r="J1008" s="318" t="str">
        <f ca="1">IFERROR(CONCATENATE(VLOOKUP(A1008,GM_Table,12,FALSE)," ",(VLOOKUP(A1008,GM_Table,13,FALSE))),"")</f>
        <v/>
      </c>
    </row>
    <row r="1009" spans="1:10" s="404" customFormat="1" ht="15.75" thickBot="1" x14ac:dyDescent="0.25">
      <c r="A1009" s="405" t="s">
        <v>3505</v>
      </c>
      <c r="B1009" s="405" t="s">
        <v>3505</v>
      </c>
      <c r="C1009" s="343">
        <v>6.2</v>
      </c>
      <c r="D1009" s="410">
        <v>6.6611900000000004</v>
      </c>
      <c r="E1009" s="411">
        <v>-8.0671700000000008</v>
      </c>
      <c r="F1009" s="367" t="b">
        <f>IF(ISBLANK(FarmUnit[[#This Row],[1. Identifiant interne d’exploitation agricole*]]),"",IF(ISERROR(MATCH(FarmUnit[[#This Row],[1. Identifiant interne d’exploitation agricole*]],GroupMember[1. Identifiant interne d’exploitation agricole*],0)),FALSE,TRUE))</f>
        <v>1</v>
      </c>
      <c r="G1009" s="402">
        <f t="shared" si="33"/>
        <v>6.6611900000000004</v>
      </c>
      <c r="H1009" s="402">
        <f t="shared" si="34"/>
        <v>-8.0671700000000008</v>
      </c>
      <c r="I1009" s="403" t="str">
        <f t="array" ref="I1009">IF(ISBLANK(C1009),"",IF(C1009=MAX(IF(FarmUnit[1. Identifiant interne d’exploitation agricole*]=A1009,FarmUnit[3. Superficie de l’unité agricole (ha)*])),"!","-"))</f>
        <v>!</v>
      </c>
      <c r="J1009" s="368" t="str">
        <f ca="1">IFERROR(CONCATENATE(VLOOKUP(A1009,GM_Table,12,FALSE)," ",(VLOOKUP(A1009,GM_Table,13,FALSE))),"")</f>
        <v/>
      </c>
    </row>
    <row r="1010" spans="1:10" ht="15.75" thickBot="1" x14ac:dyDescent="0.25">
      <c r="A1010" s="412" t="s">
        <v>3506</v>
      </c>
      <c r="B1010" s="412" t="s">
        <v>3506</v>
      </c>
      <c r="C1010" s="188">
        <v>2.2999999999999998</v>
      </c>
      <c r="D1010" s="396">
        <v>6.7074100000000003</v>
      </c>
      <c r="E1010" s="397">
        <v>-8.0655699999999992</v>
      </c>
      <c r="F1010" s="317" t="b">
        <f>IF(ISBLANK(FarmUnit[[#This Row],[1. Identifiant interne d’exploitation agricole*]]),"",IF(ISERROR(MATCH(FarmUnit[[#This Row],[1. Identifiant interne d’exploitation agricole*]],GroupMember[1. Identifiant interne d’exploitation agricole*],0)),FALSE,TRUE))</f>
        <v>1</v>
      </c>
      <c r="G1010" s="392">
        <f t="shared" si="33"/>
        <v>6.7074100000000003</v>
      </c>
      <c r="H1010" s="392">
        <f t="shared" si="34"/>
        <v>-8.0655699999999992</v>
      </c>
      <c r="I1010" s="393" t="str">
        <f t="array" ref="I1010">IF(ISBLANK(C1010),"",IF(C1010=MAX(IF(FarmUnit[1. Identifiant interne d’exploitation agricole*]=A1010,FarmUnit[3. Superficie de l’unité agricole (ha)*])),"!","-"))</f>
        <v>!</v>
      </c>
      <c r="J1010" s="318" t="str">
        <f ca="1">IFERROR(CONCATENATE(VLOOKUP(A1010,GM_Table,12,FALSE)," ",(VLOOKUP(A1010,GM_Table,13,FALSE))),"")</f>
        <v/>
      </c>
    </row>
    <row r="1011" spans="1:10" s="404" customFormat="1" ht="15.75" thickBot="1" x14ac:dyDescent="0.25">
      <c r="A1011" s="405" t="s">
        <v>3507</v>
      </c>
      <c r="B1011" s="405" t="s">
        <v>3507</v>
      </c>
      <c r="C1011" s="343">
        <v>3.3</v>
      </c>
      <c r="D1011" s="410">
        <v>6.7031200000000002</v>
      </c>
      <c r="E1011" s="411">
        <v>-8.0367700000000006</v>
      </c>
      <c r="F1011" s="367" t="b">
        <f>IF(ISBLANK(FarmUnit[[#This Row],[1. Identifiant interne d’exploitation agricole*]]),"",IF(ISERROR(MATCH(FarmUnit[[#This Row],[1. Identifiant interne d’exploitation agricole*]],GroupMember[1. Identifiant interne d’exploitation agricole*],0)),FALSE,TRUE))</f>
        <v>1</v>
      </c>
      <c r="G1011" s="402">
        <f t="shared" si="33"/>
        <v>6.7031200000000002</v>
      </c>
      <c r="H1011" s="402">
        <f t="shared" si="34"/>
        <v>-8.0367700000000006</v>
      </c>
      <c r="I1011" s="403" t="str">
        <f t="array" ref="I1011">IF(ISBLANK(C1011),"",IF(C1011=MAX(IF(FarmUnit[1. Identifiant interne d’exploitation agricole*]=A1011,FarmUnit[3. Superficie de l’unité agricole (ha)*])),"!","-"))</f>
        <v>!</v>
      </c>
      <c r="J1011" s="368" t="str">
        <f ca="1">IFERROR(CONCATENATE(VLOOKUP(A1011,GM_Table,12,FALSE)," ",(VLOOKUP(A1011,GM_Table,13,FALSE))),"")</f>
        <v/>
      </c>
    </row>
    <row r="1012" spans="1:10" ht="15.75" thickBot="1" x14ac:dyDescent="0.25">
      <c r="A1012" s="412" t="s">
        <v>3508</v>
      </c>
      <c r="B1012" s="412" t="s">
        <v>3508</v>
      </c>
      <c r="C1012" s="188">
        <v>2.1</v>
      </c>
      <c r="D1012" s="396">
        <v>6.6822100000000004</v>
      </c>
      <c r="E1012" s="397">
        <v>-8.0589499999999994</v>
      </c>
      <c r="F1012" s="317" t="b">
        <f>IF(ISBLANK(FarmUnit[[#This Row],[1. Identifiant interne d’exploitation agricole*]]),"",IF(ISERROR(MATCH(FarmUnit[[#This Row],[1. Identifiant interne d’exploitation agricole*]],GroupMember[1. Identifiant interne d’exploitation agricole*],0)),FALSE,TRUE))</f>
        <v>1</v>
      </c>
      <c r="G1012" s="392">
        <f t="shared" si="33"/>
        <v>6.6822100000000004</v>
      </c>
      <c r="H1012" s="392">
        <f t="shared" si="34"/>
        <v>-8.0589499999999994</v>
      </c>
      <c r="I1012" s="393" t="str">
        <f t="array" ref="I1012">IF(ISBLANK(C1012),"",IF(C1012=MAX(IF(FarmUnit[1. Identifiant interne d’exploitation agricole*]=A1012,FarmUnit[3. Superficie de l’unité agricole (ha)*])),"!","-"))</f>
        <v>!</v>
      </c>
      <c r="J1012" s="318" t="str">
        <f ca="1">IFERROR(CONCATENATE(VLOOKUP(A1012,GM_Table,12,FALSE)," ",(VLOOKUP(A1012,GM_Table,13,FALSE))),"")</f>
        <v/>
      </c>
    </row>
    <row r="1013" spans="1:10" s="404" customFormat="1" ht="15.75" thickBot="1" x14ac:dyDescent="0.25">
      <c r="A1013" s="405" t="s">
        <v>3509</v>
      </c>
      <c r="B1013" s="405" t="s">
        <v>3509</v>
      </c>
      <c r="C1013" s="343">
        <v>2.2999999999999998</v>
      </c>
      <c r="D1013" s="410">
        <v>6.7050599999999996</v>
      </c>
      <c r="E1013" s="411">
        <v>-8.0460600000000007</v>
      </c>
      <c r="F1013" s="367" t="b">
        <f>IF(ISBLANK(FarmUnit[[#This Row],[1. Identifiant interne d’exploitation agricole*]]),"",IF(ISERROR(MATCH(FarmUnit[[#This Row],[1. Identifiant interne d’exploitation agricole*]],GroupMember[1. Identifiant interne d’exploitation agricole*],0)),FALSE,TRUE))</f>
        <v>1</v>
      </c>
      <c r="G1013" s="402">
        <f t="shared" si="33"/>
        <v>6.7050599999999996</v>
      </c>
      <c r="H1013" s="402">
        <f t="shared" si="34"/>
        <v>-8.0460600000000007</v>
      </c>
      <c r="I1013" s="403" t="str">
        <f t="array" ref="I1013">IF(ISBLANK(C1013),"",IF(C1013=MAX(IF(FarmUnit[1. Identifiant interne d’exploitation agricole*]=A1013,FarmUnit[3. Superficie de l’unité agricole (ha)*])),"!","-"))</f>
        <v>!</v>
      </c>
      <c r="J1013" s="368" t="str">
        <f ca="1">IFERROR(CONCATENATE(VLOOKUP(A1013,GM_Table,12,FALSE)," ",(VLOOKUP(A1013,GM_Table,13,FALSE))),"")</f>
        <v/>
      </c>
    </row>
    <row r="1014" spans="1:10" ht="15.75" thickBot="1" x14ac:dyDescent="0.25">
      <c r="A1014" s="412" t="s">
        <v>3510</v>
      </c>
      <c r="B1014" s="412" t="s">
        <v>3510</v>
      </c>
      <c r="C1014" s="188">
        <v>4.3</v>
      </c>
      <c r="D1014" s="396">
        <v>6.72011</v>
      </c>
      <c r="E1014" s="397">
        <v>-8.0811299999999999</v>
      </c>
      <c r="F1014" s="317" t="b">
        <f>IF(ISBLANK(FarmUnit[[#This Row],[1. Identifiant interne d’exploitation agricole*]]),"",IF(ISERROR(MATCH(FarmUnit[[#This Row],[1. Identifiant interne d’exploitation agricole*]],GroupMember[1. Identifiant interne d’exploitation agricole*],0)),FALSE,TRUE))</f>
        <v>1</v>
      </c>
      <c r="G1014" s="392">
        <f t="shared" si="33"/>
        <v>6.72011</v>
      </c>
      <c r="H1014" s="392">
        <f t="shared" si="34"/>
        <v>-8.0811299999999999</v>
      </c>
      <c r="I1014" s="393" t="str">
        <f t="array" ref="I1014">IF(ISBLANK(C1014),"",IF(C1014=MAX(IF(FarmUnit[1. Identifiant interne d’exploitation agricole*]=A1014,FarmUnit[3. Superficie de l’unité agricole (ha)*])),"!","-"))</f>
        <v>!</v>
      </c>
      <c r="J1014" s="318" t="str">
        <f ca="1">IFERROR(CONCATENATE(VLOOKUP(A1014,GM_Table,12,FALSE)," ",(VLOOKUP(A1014,GM_Table,13,FALSE))),"")</f>
        <v/>
      </c>
    </row>
    <row r="1015" spans="1:10" s="404" customFormat="1" ht="15.75" thickBot="1" x14ac:dyDescent="0.25">
      <c r="A1015" s="405" t="s">
        <v>3511</v>
      </c>
      <c r="B1015" s="405" t="s">
        <v>3511</v>
      </c>
      <c r="C1015" s="343">
        <v>2.4</v>
      </c>
      <c r="D1015" s="410">
        <v>6.71835</v>
      </c>
      <c r="E1015" s="411">
        <v>-8.0774000000000008</v>
      </c>
      <c r="F1015" s="367" t="b">
        <f>IF(ISBLANK(FarmUnit[[#This Row],[1. Identifiant interne d’exploitation agricole*]]),"",IF(ISERROR(MATCH(FarmUnit[[#This Row],[1. Identifiant interne d’exploitation agricole*]],GroupMember[1. Identifiant interne d’exploitation agricole*],0)),FALSE,TRUE))</f>
        <v>1</v>
      </c>
      <c r="G1015" s="402">
        <f t="shared" si="33"/>
        <v>6.71835</v>
      </c>
      <c r="H1015" s="402">
        <f t="shared" si="34"/>
        <v>-8.0774000000000008</v>
      </c>
      <c r="I1015" s="403" t="str">
        <f t="array" ref="I1015">IF(ISBLANK(C1015),"",IF(C1015=MAX(IF(FarmUnit[1. Identifiant interne d’exploitation agricole*]=A1015,FarmUnit[3. Superficie de l’unité agricole (ha)*])),"!","-"))</f>
        <v>!</v>
      </c>
      <c r="J1015" s="368" t="str">
        <f ca="1">IFERROR(CONCATENATE(VLOOKUP(A1015,GM_Table,12,FALSE)," ",(VLOOKUP(A1015,GM_Table,13,FALSE))),"")</f>
        <v/>
      </c>
    </row>
    <row r="1016" spans="1:10" ht="15.75" thickBot="1" x14ac:dyDescent="0.25">
      <c r="A1016" s="412" t="s">
        <v>3512</v>
      </c>
      <c r="B1016" s="412" t="s">
        <v>3512</v>
      </c>
      <c r="C1016" s="188">
        <v>0.7</v>
      </c>
      <c r="D1016" s="396">
        <v>6.6940099999999996</v>
      </c>
      <c r="E1016" s="397">
        <v>-8.0354899999999994</v>
      </c>
      <c r="F1016" s="317" t="b">
        <f>IF(ISBLANK(FarmUnit[[#This Row],[1. Identifiant interne d’exploitation agricole*]]),"",IF(ISERROR(MATCH(FarmUnit[[#This Row],[1. Identifiant interne d’exploitation agricole*]],GroupMember[1. Identifiant interne d’exploitation agricole*],0)),FALSE,TRUE))</f>
        <v>1</v>
      </c>
      <c r="G1016" s="392">
        <f t="shared" si="33"/>
        <v>6.6940099999999996</v>
      </c>
      <c r="H1016" s="392">
        <f t="shared" si="34"/>
        <v>-8.0354899999999994</v>
      </c>
      <c r="I1016" s="393" t="str">
        <f t="array" ref="I1016">IF(ISBLANK(C1016),"",IF(C1016=MAX(IF(FarmUnit[1. Identifiant interne d’exploitation agricole*]=A1016,FarmUnit[3. Superficie de l’unité agricole (ha)*])),"!","-"))</f>
        <v>!</v>
      </c>
      <c r="J1016" s="318" t="str">
        <f ca="1">IFERROR(CONCATENATE(VLOOKUP(A1016,GM_Table,12,FALSE)," ",(VLOOKUP(A1016,GM_Table,13,FALSE))),"")</f>
        <v/>
      </c>
    </row>
    <row r="1017" spans="1:10" s="404" customFormat="1" ht="15.75" thickBot="1" x14ac:dyDescent="0.25">
      <c r="A1017" s="405" t="s">
        <v>3513</v>
      </c>
      <c r="B1017" s="405" t="s">
        <v>3513</v>
      </c>
      <c r="C1017" s="343">
        <v>1.8</v>
      </c>
      <c r="D1017" s="410">
        <v>6.6635200000000001</v>
      </c>
      <c r="E1017" s="411">
        <v>-8.0331899999999994</v>
      </c>
      <c r="F1017" s="367" t="b">
        <f>IF(ISBLANK(FarmUnit[[#This Row],[1. Identifiant interne d’exploitation agricole*]]),"",IF(ISERROR(MATCH(FarmUnit[[#This Row],[1. Identifiant interne d’exploitation agricole*]],GroupMember[1. Identifiant interne d’exploitation agricole*],0)),FALSE,TRUE))</f>
        <v>1</v>
      </c>
      <c r="G1017" s="402">
        <f t="shared" si="33"/>
        <v>6.6635200000000001</v>
      </c>
      <c r="H1017" s="402">
        <f t="shared" si="34"/>
        <v>-8.0331899999999994</v>
      </c>
      <c r="I1017" s="403" t="str">
        <f t="array" ref="I1017">IF(ISBLANK(C1017),"",IF(C1017=MAX(IF(FarmUnit[1. Identifiant interne d’exploitation agricole*]=A1017,FarmUnit[3. Superficie de l’unité agricole (ha)*])),"!","-"))</f>
        <v>!</v>
      </c>
      <c r="J1017" s="368" t="str">
        <f ca="1">IFERROR(CONCATENATE(VLOOKUP(A1017,GM_Table,12,FALSE)," ",(VLOOKUP(A1017,GM_Table,13,FALSE))),"")</f>
        <v/>
      </c>
    </row>
    <row r="1018" spans="1:10" ht="15.75" thickBot="1" x14ac:dyDescent="0.25">
      <c r="A1018" s="412" t="s">
        <v>3514</v>
      </c>
      <c r="B1018" s="412" t="s">
        <v>3514</v>
      </c>
      <c r="C1018" s="188">
        <v>1.2</v>
      </c>
      <c r="D1018" s="396">
        <v>6.7231100000000001</v>
      </c>
      <c r="E1018" s="397">
        <v>-8.0692000000000004</v>
      </c>
      <c r="F1018" s="317" t="b">
        <f>IF(ISBLANK(FarmUnit[[#This Row],[1. Identifiant interne d’exploitation agricole*]]),"",IF(ISERROR(MATCH(FarmUnit[[#This Row],[1. Identifiant interne d’exploitation agricole*]],GroupMember[1. Identifiant interne d’exploitation agricole*],0)),FALSE,TRUE))</f>
        <v>1</v>
      </c>
      <c r="G1018" s="392">
        <f t="shared" si="33"/>
        <v>6.7231100000000001</v>
      </c>
      <c r="H1018" s="392">
        <f t="shared" si="34"/>
        <v>-8.0692000000000004</v>
      </c>
      <c r="I1018" s="393" t="str">
        <f t="array" ref="I1018">IF(ISBLANK(C1018),"",IF(C1018=MAX(IF(FarmUnit[1. Identifiant interne d’exploitation agricole*]=A1018,FarmUnit[3. Superficie de l’unité agricole (ha)*])),"!","-"))</f>
        <v>!</v>
      </c>
      <c r="J1018" s="318" t="str">
        <f ca="1">IFERROR(CONCATENATE(VLOOKUP(A1018,GM_Table,12,FALSE)," ",(VLOOKUP(A1018,GM_Table,13,FALSE))),"")</f>
        <v/>
      </c>
    </row>
    <row r="1019" spans="1:10" s="404" customFormat="1" ht="15.75" thickBot="1" x14ac:dyDescent="0.25">
      <c r="A1019" s="405" t="s">
        <v>3515</v>
      </c>
      <c r="B1019" s="405" t="s">
        <v>3515</v>
      </c>
      <c r="C1019" s="343">
        <v>3.3</v>
      </c>
      <c r="D1019" s="410">
        <v>6.7219300000000004</v>
      </c>
      <c r="E1019" s="411">
        <v>-8.0859299999999994</v>
      </c>
      <c r="F1019" s="367" t="b">
        <f>IF(ISBLANK(FarmUnit[[#This Row],[1. Identifiant interne d’exploitation agricole*]]),"",IF(ISERROR(MATCH(FarmUnit[[#This Row],[1. Identifiant interne d’exploitation agricole*]],GroupMember[1. Identifiant interne d’exploitation agricole*],0)),FALSE,TRUE))</f>
        <v>1</v>
      </c>
      <c r="G1019" s="402">
        <f t="shared" si="33"/>
        <v>6.7219300000000004</v>
      </c>
      <c r="H1019" s="402">
        <f t="shared" si="34"/>
        <v>-8.0859299999999994</v>
      </c>
      <c r="I1019" s="403" t="str">
        <f t="array" ref="I1019">IF(ISBLANK(C1019),"",IF(C1019=MAX(IF(FarmUnit[1. Identifiant interne d’exploitation agricole*]=A1019,FarmUnit[3. Superficie de l’unité agricole (ha)*])),"!","-"))</f>
        <v>!</v>
      </c>
      <c r="J1019" s="368" t="str">
        <f ca="1">IFERROR(CONCATENATE(VLOOKUP(A1019,GM_Table,12,FALSE)," ",(VLOOKUP(A1019,GM_Table,13,FALSE))),"")</f>
        <v/>
      </c>
    </row>
    <row r="1020" spans="1:10" ht="15.75" thickBot="1" x14ac:dyDescent="0.25">
      <c r="A1020" s="412" t="s">
        <v>3516</v>
      </c>
      <c r="B1020" s="412" t="s">
        <v>3516</v>
      </c>
      <c r="C1020" s="188">
        <v>3.8</v>
      </c>
      <c r="D1020" s="396">
        <v>6.71793</v>
      </c>
      <c r="E1020" s="397">
        <v>-8.0842700000000001</v>
      </c>
      <c r="F1020" s="317" t="b">
        <f>IF(ISBLANK(FarmUnit[[#This Row],[1. Identifiant interne d’exploitation agricole*]]),"",IF(ISERROR(MATCH(FarmUnit[[#This Row],[1. Identifiant interne d’exploitation agricole*]],GroupMember[1. Identifiant interne d’exploitation agricole*],0)),FALSE,TRUE))</f>
        <v>1</v>
      </c>
      <c r="G1020" s="392">
        <f t="shared" si="33"/>
        <v>6.71793</v>
      </c>
      <c r="H1020" s="392">
        <f t="shared" si="34"/>
        <v>-8.0842700000000001</v>
      </c>
      <c r="I1020" s="393" t="str">
        <f t="array" ref="I1020">IF(ISBLANK(C1020),"",IF(C1020=MAX(IF(FarmUnit[1. Identifiant interne d’exploitation agricole*]=A1020,FarmUnit[3. Superficie de l’unité agricole (ha)*])),"!","-"))</f>
        <v>!</v>
      </c>
      <c r="J1020" s="318" t="str">
        <f ca="1">IFERROR(CONCATENATE(VLOOKUP(A1020,GM_Table,12,FALSE)," ",(VLOOKUP(A1020,GM_Table,13,FALSE))),"")</f>
        <v/>
      </c>
    </row>
    <row r="1021" spans="1:10" s="404" customFormat="1" ht="15.75" thickBot="1" x14ac:dyDescent="0.25">
      <c r="A1021" s="405" t="s">
        <v>3517</v>
      </c>
      <c r="B1021" s="405" t="s">
        <v>3517</v>
      </c>
      <c r="C1021" s="343">
        <v>5.0999999999999996</v>
      </c>
      <c r="D1021" s="410">
        <v>6.6931500000000002</v>
      </c>
      <c r="E1021" s="411">
        <v>-8.0347899999999992</v>
      </c>
      <c r="F1021" s="367" t="b">
        <f>IF(ISBLANK(FarmUnit[[#This Row],[1. Identifiant interne d’exploitation agricole*]]),"",IF(ISERROR(MATCH(FarmUnit[[#This Row],[1. Identifiant interne d’exploitation agricole*]],GroupMember[1. Identifiant interne d’exploitation agricole*],0)),FALSE,TRUE))</f>
        <v>1</v>
      </c>
      <c r="G1021" s="402">
        <f t="shared" si="33"/>
        <v>6.6931500000000002</v>
      </c>
      <c r="H1021" s="402">
        <f t="shared" si="34"/>
        <v>-8.0347899999999992</v>
      </c>
      <c r="I1021" s="403" t="str">
        <f t="array" ref="I1021">IF(ISBLANK(C1021),"",IF(C1021=MAX(IF(FarmUnit[1. Identifiant interne d’exploitation agricole*]=A1021,FarmUnit[3. Superficie de l’unité agricole (ha)*])),"!","-"))</f>
        <v>!</v>
      </c>
      <c r="J1021" s="368" t="str">
        <f ca="1">IFERROR(CONCATENATE(VLOOKUP(A1021,GM_Table,12,FALSE)," ",(VLOOKUP(A1021,GM_Table,13,FALSE))),"")</f>
        <v/>
      </c>
    </row>
    <row r="1022" spans="1:10" ht="15.75" thickBot="1" x14ac:dyDescent="0.25">
      <c r="A1022" s="413" t="s">
        <v>3518</v>
      </c>
      <c r="B1022" s="413" t="s">
        <v>3518</v>
      </c>
      <c r="C1022" s="188">
        <v>4.3</v>
      </c>
      <c r="D1022" s="396">
        <v>6.6507899999999998</v>
      </c>
      <c r="E1022" s="397">
        <v>-8.0315499999999993</v>
      </c>
      <c r="F1022" s="324" t="b">
        <f>IF(ISBLANK(FarmUnit[[#This Row],[1. Identifiant interne d’exploitation agricole*]]),"",IF(ISERROR(MATCH(FarmUnit[[#This Row],[1. Identifiant interne d’exploitation agricole*]],GroupMember[1. Identifiant interne d’exploitation agricole*],0)),FALSE,TRUE))</f>
        <v>1</v>
      </c>
      <c r="G1022" s="394">
        <f t="shared" si="33"/>
        <v>6.6507899999999998</v>
      </c>
      <c r="H1022" s="394">
        <f t="shared" si="34"/>
        <v>-8.0315499999999993</v>
      </c>
      <c r="I1022" s="395" t="str">
        <f t="array" ref="I1022">IF(ISBLANK(C1022),"",IF(C1022=MAX(IF(FarmUnit[1. Identifiant interne d’exploitation agricole*]=A1022,FarmUnit[3. Superficie de l’unité agricole (ha)*])),"!","-"))</f>
        <v>!</v>
      </c>
      <c r="J1022" s="325" t="str">
        <f ca="1">IFERROR(CONCATENATE(VLOOKUP(A1022,GM_Table,12,FALSE)," ",(VLOOKUP(A1022,GM_Table,13,FALSE))),"")</f>
        <v/>
      </c>
    </row>
    <row r="1023" spans="1:10" ht="15.75" thickBot="1" x14ac:dyDescent="0.25">
      <c r="A1023" s="412" t="s">
        <v>3532</v>
      </c>
      <c r="B1023" s="412" t="s">
        <v>3532</v>
      </c>
      <c r="C1023" s="188">
        <v>4.5</v>
      </c>
      <c r="D1023" s="461">
        <v>6.9136199999999999</v>
      </c>
      <c r="E1023" s="462">
        <v>-7.9397799999999998</v>
      </c>
      <c r="F1023" s="398" t="b">
        <f>IF(ISBLANK(FarmUnit[[#This Row],[1. Identifiant interne d’exploitation agricole*]]),"",IF(ISERROR(MATCH(FarmUnit[[#This Row],[1. Identifiant interne d’exploitation agricole*]],GroupMember[1. Identifiant interne d’exploitation agricole*],0)),FALSE,TRUE))</f>
        <v>1</v>
      </c>
      <c r="G1023" s="391">
        <f t="shared" ref="G1023:G1029" si="35">IF(D1023=0,"",D1023)</f>
        <v>6.9136199999999999</v>
      </c>
      <c r="H1023" s="391">
        <f t="shared" ref="H1023:H1029" si="36">IF(E1023=0,"",E1023)</f>
        <v>-7.9397799999999998</v>
      </c>
      <c r="I1023" s="399" t="str">
        <f t="array" ref="I1023">IF(ISBLANK(C1023),"",IF(C1023=MAX(IF(FarmUnit[1. Identifiant interne d’exploitation agricole*]=A1023,FarmUnit[3. Superficie de l’unité agricole (ha)*])),"!","-"))</f>
        <v>!</v>
      </c>
      <c r="J1023" s="373" t="str">
        <f ca="1">IFERROR(CONCATENATE(VLOOKUP(A1023,GM_Table,12,FALSE)," ",(VLOOKUP(A1023,GM_Table,13,FALSE))),"")</f>
        <v/>
      </c>
    </row>
    <row r="1024" spans="1:10" s="404" customFormat="1" ht="15.75" thickBot="1" x14ac:dyDescent="0.25">
      <c r="A1024" s="405" t="s">
        <v>3533</v>
      </c>
      <c r="B1024" s="405" t="s">
        <v>3533</v>
      </c>
      <c r="C1024" s="343">
        <v>1.4</v>
      </c>
      <c r="D1024" s="410">
        <v>6.9416900000000004</v>
      </c>
      <c r="E1024" s="411">
        <v>-7.9414199999999999</v>
      </c>
      <c r="F1024" s="406" t="b">
        <f>IF(ISBLANK(FarmUnit[[#This Row],[1. Identifiant interne d’exploitation agricole*]]),"",IF(ISERROR(MATCH(FarmUnit[[#This Row],[1. Identifiant interne d’exploitation agricole*]],GroupMember[1. Identifiant interne d’exploitation agricole*],0)),FALSE,TRUE))</f>
        <v>1</v>
      </c>
      <c r="G1024" s="407">
        <f t="shared" si="35"/>
        <v>6.9416900000000004</v>
      </c>
      <c r="H1024" s="407">
        <f t="shared" si="36"/>
        <v>-7.9414199999999999</v>
      </c>
      <c r="I1024" s="408" t="str">
        <f t="array" ref="I1024">IF(ISBLANK(C1024),"",IF(C1024=MAX(IF(FarmUnit[1. Identifiant interne d’exploitation agricole*]=A1024,FarmUnit[3. Superficie de l’unité agricole (ha)*])),"!","-"))</f>
        <v>!</v>
      </c>
      <c r="J1024" s="409" t="str">
        <f ca="1">IFERROR(CONCATENATE(VLOOKUP(A1024,GM_Table,12,FALSE)," ",(VLOOKUP(A1024,GM_Table,13,FALSE))),"")</f>
        <v/>
      </c>
    </row>
    <row r="1025" spans="1:10" ht="15.75" thickBot="1" x14ac:dyDescent="0.25">
      <c r="A1025" s="412" t="s">
        <v>3534</v>
      </c>
      <c r="B1025" s="412" t="s">
        <v>3534</v>
      </c>
      <c r="C1025" s="188">
        <v>3.8</v>
      </c>
      <c r="D1025" s="463">
        <v>6.9310099999999997</v>
      </c>
      <c r="E1025" s="464">
        <v>-7.9390499999999999</v>
      </c>
      <c r="F1025" s="398" t="b">
        <f>IF(ISBLANK(FarmUnit[[#This Row],[1. Identifiant interne d’exploitation agricole*]]),"",IF(ISERROR(MATCH(FarmUnit[[#This Row],[1. Identifiant interne d’exploitation agricole*]],GroupMember[1. Identifiant interne d’exploitation agricole*],0)),FALSE,TRUE))</f>
        <v>1</v>
      </c>
      <c r="G1025" s="391">
        <f t="shared" si="35"/>
        <v>6.9310099999999997</v>
      </c>
      <c r="H1025" s="391">
        <f t="shared" si="36"/>
        <v>-7.9390499999999999</v>
      </c>
      <c r="I1025" s="399" t="str">
        <f t="array" ref="I1025">IF(ISBLANK(C1025),"",IF(C1025=MAX(IF(FarmUnit[1. Identifiant interne d’exploitation agricole*]=A1025,FarmUnit[3. Superficie de l’unité agricole (ha)*])),"!","-"))</f>
        <v>!</v>
      </c>
      <c r="J1025" s="373" t="str">
        <f ca="1">IFERROR(CONCATENATE(VLOOKUP(A1025,GM_Table,12,FALSE)," ",(VLOOKUP(A1025,GM_Table,13,FALSE))),"")</f>
        <v/>
      </c>
    </row>
    <row r="1026" spans="1:10" s="404" customFormat="1" ht="15.75" thickBot="1" x14ac:dyDescent="0.25">
      <c r="A1026" s="405" t="s">
        <v>3535</v>
      </c>
      <c r="B1026" s="405" t="s">
        <v>3535</v>
      </c>
      <c r="C1026" s="343">
        <v>2.2000000000000002</v>
      </c>
      <c r="D1026" s="410">
        <v>6.9282300000000001</v>
      </c>
      <c r="E1026" s="411">
        <v>-7.9447799999999997</v>
      </c>
      <c r="F1026" s="406" t="b">
        <f>IF(ISBLANK(FarmUnit[[#This Row],[1. Identifiant interne d’exploitation agricole*]]),"",IF(ISERROR(MATCH(FarmUnit[[#This Row],[1. Identifiant interne d’exploitation agricole*]],GroupMember[1. Identifiant interne d’exploitation agricole*],0)),FALSE,TRUE))</f>
        <v>1</v>
      </c>
      <c r="G1026" s="407">
        <f t="shared" si="35"/>
        <v>6.9282300000000001</v>
      </c>
      <c r="H1026" s="407">
        <f t="shared" si="36"/>
        <v>-7.9447799999999997</v>
      </c>
      <c r="I1026" s="408" t="str">
        <f t="array" ref="I1026">IF(ISBLANK(C1026),"",IF(C1026=MAX(IF(FarmUnit[1. Identifiant interne d’exploitation agricole*]=A1026,FarmUnit[3. Superficie de l’unité agricole (ha)*])),"!","-"))</f>
        <v>!</v>
      </c>
      <c r="J1026" s="409" t="str">
        <f ca="1">IFERROR(CONCATENATE(VLOOKUP(A1026,GM_Table,12,FALSE)," ",(VLOOKUP(A1026,GM_Table,13,FALSE))),"")</f>
        <v/>
      </c>
    </row>
    <row r="1027" spans="1:10" ht="15.75" thickBot="1" x14ac:dyDescent="0.25">
      <c r="A1027" s="412" t="s">
        <v>3536</v>
      </c>
      <c r="B1027" s="412" t="s">
        <v>3536</v>
      </c>
      <c r="C1027" s="188">
        <v>3.5</v>
      </c>
      <c r="D1027" s="463">
        <v>6.94156</v>
      </c>
      <c r="E1027" s="464">
        <v>-7.9401599999999997</v>
      </c>
      <c r="F1027" s="398" t="b">
        <f>IF(ISBLANK(FarmUnit[[#This Row],[1. Identifiant interne d’exploitation agricole*]]),"",IF(ISERROR(MATCH(FarmUnit[[#This Row],[1. Identifiant interne d’exploitation agricole*]],GroupMember[1. Identifiant interne d’exploitation agricole*],0)),FALSE,TRUE))</f>
        <v>1</v>
      </c>
      <c r="G1027" s="391">
        <f t="shared" si="35"/>
        <v>6.94156</v>
      </c>
      <c r="H1027" s="391">
        <f t="shared" si="36"/>
        <v>-7.9401599999999997</v>
      </c>
      <c r="I1027" s="399" t="str">
        <f t="array" ref="I1027">IF(ISBLANK(C1027),"",IF(C1027=MAX(IF(FarmUnit[1. Identifiant interne d’exploitation agricole*]=A1027,FarmUnit[3. Superficie de l’unité agricole (ha)*])),"!","-"))</f>
        <v>!</v>
      </c>
      <c r="J1027" s="373" t="str">
        <f ca="1">IFERROR(CONCATENATE(VLOOKUP(A1027,GM_Table,12,FALSE)," ",(VLOOKUP(A1027,GM_Table,13,FALSE))),"")</f>
        <v/>
      </c>
    </row>
    <row r="1028" spans="1:10" s="404" customFormat="1" ht="15.75" thickBot="1" x14ac:dyDescent="0.25">
      <c r="A1028" s="405" t="s">
        <v>3537</v>
      </c>
      <c r="B1028" s="405" t="s">
        <v>3537</v>
      </c>
      <c r="C1028" s="343">
        <v>2.2999999999999998</v>
      </c>
      <c r="D1028" s="410">
        <v>6.8833200000000003</v>
      </c>
      <c r="E1028" s="411">
        <v>-7.9402799999999996</v>
      </c>
      <c r="F1028" s="406" t="b">
        <f>IF(ISBLANK(FarmUnit[[#This Row],[1. Identifiant interne d’exploitation agricole*]]),"",IF(ISERROR(MATCH(FarmUnit[[#This Row],[1. Identifiant interne d’exploitation agricole*]],GroupMember[1. Identifiant interne d’exploitation agricole*],0)),FALSE,TRUE))</f>
        <v>1</v>
      </c>
      <c r="G1028" s="407">
        <f t="shared" si="35"/>
        <v>6.8833200000000003</v>
      </c>
      <c r="H1028" s="407">
        <f t="shared" si="36"/>
        <v>-7.9402799999999996</v>
      </c>
      <c r="I1028" s="408" t="str">
        <f t="array" ref="I1028">IF(ISBLANK(C1028),"",IF(C1028=MAX(IF(FarmUnit[1. Identifiant interne d’exploitation agricole*]=A1028,FarmUnit[3. Superficie de l’unité agricole (ha)*])),"!","-"))</f>
        <v>!</v>
      </c>
      <c r="J1028" s="409" t="str">
        <f ca="1">IFERROR(CONCATENATE(VLOOKUP(A1028,GM_Table,12,FALSE)," ",(VLOOKUP(A1028,GM_Table,13,FALSE))),"")</f>
        <v/>
      </c>
    </row>
    <row r="1029" spans="1:10" ht="15.75" thickBot="1" x14ac:dyDescent="0.25">
      <c r="A1029" s="413" t="s">
        <v>3538</v>
      </c>
      <c r="B1029" s="413" t="s">
        <v>3538</v>
      </c>
      <c r="C1029" s="188">
        <v>6.5</v>
      </c>
      <c r="D1029" s="463">
        <v>6.9243899999999998</v>
      </c>
      <c r="E1029" s="464">
        <v>-7.9296899999999999</v>
      </c>
      <c r="F1029" s="442" t="b">
        <f>IF(ISBLANK(FarmUnit[[#This Row],[1. Identifiant interne d’exploitation agricole*]]),"",IF(ISERROR(MATCH(FarmUnit[[#This Row],[1. Identifiant interne d’exploitation agricole*]],GroupMember[1. Identifiant interne d’exploitation agricole*],0)),FALSE,TRUE))</f>
        <v>1</v>
      </c>
      <c r="G1029" s="459">
        <f t="shared" si="35"/>
        <v>6.9243899999999998</v>
      </c>
      <c r="H1029" s="459">
        <f t="shared" si="36"/>
        <v>-7.9296899999999999</v>
      </c>
      <c r="I1029" s="460" t="str">
        <f t="array" ref="I1029">IF(ISBLANK(C1029),"",IF(C1029=MAX(IF(FarmUnit[1. Identifiant interne d’exploitation agricole*]=A1029,FarmUnit[3. Superficie de l’unité agricole (ha)*])),"!","-"))</f>
        <v>!</v>
      </c>
      <c r="J1029" s="443" t="str">
        <f ca="1">IFERROR(CONCATENATE(VLOOKUP(A1029,GM_Table,12,FALSE)," ",(VLOOKUP(A1029,GM_Table,13,FALSE))),"")</f>
        <v/>
      </c>
    </row>
    <row r="1030" spans="1:10" ht="15.75" thickBot="1" x14ac:dyDescent="0.25">
      <c r="A1030" s="412" t="s">
        <v>3602</v>
      </c>
      <c r="B1030" s="412" t="s">
        <v>3602</v>
      </c>
      <c r="C1030" s="188">
        <v>1.7</v>
      </c>
      <c r="D1030" s="461">
        <v>6.94787</v>
      </c>
      <c r="E1030" s="462">
        <v>-7.8392499999999998</v>
      </c>
      <c r="F1030" s="398" t="b">
        <f>IF(ISBLANK(FarmUnit[[#This Row],[1. Identifiant interne d’exploitation agricole*]]),"",IF(ISERROR(MATCH(FarmUnit[[#This Row],[1. Identifiant interne d’exploitation agricole*]],GroupMember[1. Identifiant interne d’exploitation agricole*],0)),FALSE,TRUE))</f>
        <v>1</v>
      </c>
      <c r="G1030" s="391">
        <f t="shared" ref="G1030:G1061" si="37">IF(D1030=0,"",D1030)</f>
        <v>6.94787</v>
      </c>
      <c r="H1030" s="391">
        <f t="shared" ref="H1030:H1061" si="38">IF(E1030=0,"",E1030)</f>
        <v>-7.8392499999999998</v>
      </c>
      <c r="I1030" s="399" t="str">
        <f t="array" ref="I1030">IF(ISBLANK(C1030),"",IF(C1030=MAX(IF(FarmUnit[1. Identifiant interne d’exploitation agricole*]=A1030,FarmUnit[3. Superficie de l’unité agricole (ha)*])),"!","-"))</f>
        <v>!</v>
      </c>
      <c r="J1030" s="373" t="str">
        <f ca="1">IFERROR(CONCATENATE(VLOOKUP(A1030,GM_Table,12,FALSE)," ",(VLOOKUP(A1030,GM_Table,13,FALSE))),"")</f>
        <v/>
      </c>
    </row>
    <row r="1031" spans="1:10" s="404" customFormat="1" ht="15.75" thickBot="1" x14ac:dyDescent="0.25">
      <c r="A1031" s="405" t="s">
        <v>3603</v>
      </c>
      <c r="B1031" s="405" t="s">
        <v>3603</v>
      </c>
      <c r="C1031" s="343">
        <v>4.5</v>
      </c>
      <c r="D1031" s="410">
        <v>6.94693</v>
      </c>
      <c r="E1031" s="411">
        <v>-7.9128299999999996</v>
      </c>
      <c r="F1031" s="406" t="b">
        <f>IF(ISBLANK(FarmUnit[[#This Row],[1. Identifiant interne d’exploitation agricole*]]),"",IF(ISERROR(MATCH(FarmUnit[[#This Row],[1. Identifiant interne d’exploitation agricole*]],GroupMember[1. Identifiant interne d’exploitation agricole*],0)),FALSE,TRUE))</f>
        <v>1</v>
      </c>
      <c r="G1031" s="407">
        <f t="shared" si="37"/>
        <v>6.94693</v>
      </c>
      <c r="H1031" s="407">
        <f t="shared" si="38"/>
        <v>-7.9128299999999996</v>
      </c>
      <c r="I1031" s="408" t="str">
        <f t="array" ref="I1031">IF(ISBLANK(C1031),"",IF(C1031=MAX(IF(FarmUnit[1. Identifiant interne d’exploitation agricole*]=A1031,FarmUnit[3. Superficie de l’unité agricole (ha)*])),"!","-"))</f>
        <v>!</v>
      </c>
      <c r="J1031" s="409" t="str">
        <f ca="1">IFERROR(CONCATENATE(VLOOKUP(A1031,GM_Table,12,FALSE)," ",(VLOOKUP(A1031,GM_Table,13,FALSE))),"")</f>
        <v/>
      </c>
    </row>
    <row r="1032" spans="1:10" ht="15.75" thickBot="1" x14ac:dyDescent="0.25">
      <c r="A1032" s="412" t="s">
        <v>3604</v>
      </c>
      <c r="B1032" s="412" t="s">
        <v>3604</v>
      </c>
      <c r="C1032" s="188">
        <v>2.5</v>
      </c>
      <c r="D1032" s="463">
        <v>6.9576799999999999</v>
      </c>
      <c r="E1032" s="464">
        <v>-7.9412900000000004</v>
      </c>
      <c r="F1032" s="398" t="b">
        <f>IF(ISBLANK(FarmUnit[[#This Row],[1. Identifiant interne d’exploitation agricole*]]),"",IF(ISERROR(MATCH(FarmUnit[[#This Row],[1. Identifiant interne d’exploitation agricole*]],GroupMember[1. Identifiant interne d’exploitation agricole*],0)),FALSE,TRUE))</f>
        <v>1</v>
      </c>
      <c r="G1032" s="391">
        <f t="shared" si="37"/>
        <v>6.9576799999999999</v>
      </c>
      <c r="H1032" s="391">
        <f t="shared" si="38"/>
        <v>-7.9412900000000004</v>
      </c>
      <c r="I1032" s="399" t="str">
        <f t="array" ref="I1032">IF(ISBLANK(C1032),"",IF(C1032=MAX(IF(FarmUnit[1. Identifiant interne d’exploitation agricole*]=A1032,FarmUnit[3. Superficie de l’unité agricole (ha)*])),"!","-"))</f>
        <v>!</v>
      </c>
      <c r="J1032" s="373" t="str">
        <f ca="1">IFERROR(CONCATENATE(VLOOKUP(A1032,GM_Table,12,FALSE)," ",(VLOOKUP(A1032,GM_Table,13,FALSE))),"")</f>
        <v/>
      </c>
    </row>
    <row r="1033" spans="1:10" s="404" customFormat="1" ht="15.75" thickBot="1" x14ac:dyDescent="0.25">
      <c r="A1033" s="405" t="s">
        <v>3605</v>
      </c>
      <c r="B1033" s="405" t="s">
        <v>3605</v>
      </c>
      <c r="C1033" s="343">
        <v>1.5</v>
      </c>
      <c r="D1033" s="410">
        <v>6.9542999999999999</v>
      </c>
      <c r="E1033" s="411">
        <v>-7.93851</v>
      </c>
      <c r="F1033" s="406" t="b">
        <f>IF(ISBLANK(FarmUnit[[#This Row],[1. Identifiant interne d’exploitation agricole*]]),"",IF(ISERROR(MATCH(FarmUnit[[#This Row],[1. Identifiant interne d’exploitation agricole*]],GroupMember[1. Identifiant interne d’exploitation agricole*],0)),FALSE,TRUE))</f>
        <v>1</v>
      </c>
      <c r="G1033" s="407">
        <f t="shared" si="37"/>
        <v>6.9542999999999999</v>
      </c>
      <c r="H1033" s="407">
        <f t="shared" si="38"/>
        <v>-7.93851</v>
      </c>
      <c r="I1033" s="408" t="str">
        <f t="array" ref="I1033">IF(ISBLANK(C1033),"",IF(C1033=MAX(IF(FarmUnit[1. Identifiant interne d’exploitation agricole*]=A1033,FarmUnit[3. Superficie de l’unité agricole (ha)*])),"!","-"))</f>
        <v>!</v>
      </c>
      <c r="J1033" s="409" t="str">
        <f ca="1">IFERROR(CONCATENATE(VLOOKUP(A1033,GM_Table,12,FALSE)," ",(VLOOKUP(A1033,GM_Table,13,FALSE))),"")</f>
        <v/>
      </c>
    </row>
    <row r="1034" spans="1:10" ht="15.75" thickBot="1" x14ac:dyDescent="0.25">
      <c r="A1034" s="412" t="s">
        <v>3606</v>
      </c>
      <c r="B1034" s="412" t="s">
        <v>3606</v>
      </c>
      <c r="C1034" s="188">
        <v>0.8</v>
      </c>
      <c r="D1034" s="463">
        <v>6.93398</v>
      </c>
      <c r="E1034" s="464">
        <v>-7.9457300000000002</v>
      </c>
      <c r="F1034" s="398" t="b">
        <f>IF(ISBLANK(FarmUnit[[#This Row],[1. Identifiant interne d’exploitation agricole*]]),"",IF(ISERROR(MATCH(FarmUnit[[#This Row],[1. Identifiant interne d’exploitation agricole*]],GroupMember[1. Identifiant interne d’exploitation agricole*],0)),FALSE,TRUE))</f>
        <v>1</v>
      </c>
      <c r="G1034" s="391">
        <f t="shared" si="37"/>
        <v>6.93398</v>
      </c>
      <c r="H1034" s="391">
        <f t="shared" si="38"/>
        <v>-7.9457300000000002</v>
      </c>
      <c r="I1034" s="399" t="str">
        <f t="array" ref="I1034">IF(ISBLANK(C1034),"",IF(C1034=MAX(IF(FarmUnit[1. Identifiant interne d’exploitation agricole*]=A1034,FarmUnit[3. Superficie de l’unité agricole (ha)*])),"!","-"))</f>
        <v>!</v>
      </c>
      <c r="J1034" s="373" t="str">
        <f ca="1">IFERROR(CONCATENATE(VLOOKUP(A1034,GM_Table,12,FALSE)," ",(VLOOKUP(A1034,GM_Table,13,FALSE))),"")</f>
        <v/>
      </c>
    </row>
    <row r="1035" spans="1:10" s="404" customFormat="1" ht="15.75" thickBot="1" x14ac:dyDescent="0.25">
      <c r="A1035" s="405" t="s">
        <v>3607</v>
      </c>
      <c r="B1035" s="405" t="s">
        <v>3607</v>
      </c>
      <c r="C1035" s="343">
        <v>4</v>
      </c>
      <c r="D1035" s="410">
        <v>6.8898700000000002</v>
      </c>
      <c r="E1035" s="411">
        <v>-7.9474099999999996</v>
      </c>
      <c r="F1035" s="406" t="b">
        <f>IF(ISBLANK(FarmUnit[[#This Row],[1. Identifiant interne d’exploitation agricole*]]),"",IF(ISERROR(MATCH(FarmUnit[[#This Row],[1. Identifiant interne d’exploitation agricole*]],GroupMember[1. Identifiant interne d’exploitation agricole*],0)),FALSE,TRUE))</f>
        <v>1</v>
      </c>
      <c r="G1035" s="407">
        <f t="shared" si="37"/>
        <v>6.8898700000000002</v>
      </c>
      <c r="H1035" s="407">
        <f t="shared" si="38"/>
        <v>-7.9474099999999996</v>
      </c>
      <c r="I1035" s="408" t="str">
        <f t="array" ref="I1035">IF(ISBLANK(C1035),"",IF(C1035=MAX(IF(FarmUnit[1. Identifiant interne d’exploitation agricole*]=A1035,FarmUnit[3. Superficie de l’unité agricole (ha)*])),"!","-"))</f>
        <v>!</v>
      </c>
      <c r="J1035" s="409" t="str">
        <f ca="1">IFERROR(CONCATENATE(VLOOKUP(A1035,GM_Table,12,FALSE)," ",(VLOOKUP(A1035,GM_Table,13,FALSE))),"")</f>
        <v/>
      </c>
    </row>
    <row r="1036" spans="1:10" ht="15.75" thickBot="1" x14ac:dyDescent="0.25">
      <c r="A1036" s="412" t="s">
        <v>3608</v>
      </c>
      <c r="B1036" s="412" t="s">
        <v>3608</v>
      </c>
      <c r="C1036" s="188">
        <v>0.6</v>
      </c>
      <c r="D1036" s="463">
        <v>6.9580399999999996</v>
      </c>
      <c r="E1036" s="464">
        <v>-7.94062</v>
      </c>
      <c r="F1036" s="398" t="b">
        <f>IF(ISBLANK(FarmUnit[[#This Row],[1. Identifiant interne d’exploitation agricole*]]),"",IF(ISERROR(MATCH(FarmUnit[[#This Row],[1. Identifiant interne d’exploitation agricole*]],GroupMember[1. Identifiant interne d’exploitation agricole*],0)),FALSE,TRUE))</f>
        <v>1</v>
      </c>
      <c r="G1036" s="391">
        <f t="shared" si="37"/>
        <v>6.9580399999999996</v>
      </c>
      <c r="H1036" s="391">
        <f t="shared" si="38"/>
        <v>-7.94062</v>
      </c>
      <c r="I1036" s="399" t="str">
        <f t="array" ref="I1036">IF(ISBLANK(C1036),"",IF(C1036=MAX(IF(FarmUnit[1. Identifiant interne d’exploitation agricole*]=A1036,FarmUnit[3. Superficie de l’unité agricole (ha)*])),"!","-"))</f>
        <v>!</v>
      </c>
      <c r="J1036" s="373" t="str">
        <f ca="1">IFERROR(CONCATENATE(VLOOKUP(A1036,GM_Table,12,FALSE)," ",(VLOOKUP(A1036,GM_Table,13,FALSE))),"")</f>
        <v/>
      </c>
    </row>
    <row r="1037" spans="1:10" s="404" customFormat="1" ht="15.75" thickBot="1" x14ac:dyDescent="0.25">
      <c r="A1037" s="405" t="s">
        <v>3609</v>
      </c>
      <c r="B1037" s="405" t="s">
        <v>3609</v>
      </c>
      <c r="C1037" s="343">
        <v>3</v>
      </c>
      <c r="D1037" s="410">
        <v>6.9472899999999997</v>
      </c>
      <c r="E1037" s="411">
        <v>-7.8486399999999996</v>
      </c>
      <c r="F1037" s="406" t="b">
        <f>IF(ISBLANK(FarmUnit[[#This Row],[1. Identifiant interne d’exploitation agricole*]]),"",IF(ISERROR(MATCH(FarmUnit[[#This Row],[1. Identifiant interne d’exploitation agricole*]],GroupMember[1. Identifiant interne d’exploitation agricole*],0)),FALSE,TRUE))</f>
        <v>1</v>
      </c>
      <c r="G1037" s="407">
        <f t="shared" si="37"/>
        <v>6.9472899999999997</v>
      </c>
      <c r="H1037" s="407">
        <f t="shared" si="38"/>
        <v>-7.8486399999999996</v>
      </c>
      <c r="I1037" s="408" t="str">
        <f t="array" ref="I1037">IF(ISBLANK(C1037),"",IF(C1037=MAX(IF(FarmUnit[1. Identifiant interne d’exploitation agricole*]=A1037,FarmUnit[3. Superficie de l’unité agricole (ha)*])),"!","-"))</f>
        <v>!</v>
      </c>
      <c r="J1037" s="409" t="str">
        <f ca="1">IFERROR(CONCATENATE(VLOOKUP(A1037,GM_Table,12,FALSE)," ",(VLOOKUP(A1037,GM_Table,13,FALSE))),"")</f>
        <v/>
      </c>
    </row>
    <row r="1038" spans="1:10" ht="15.75" thickBot="1" x14ac:dyDescent="0.25">
      <c r="A1038" s="412" t="s">
        <v>3610</v>
      </c>
      <c r="B1038" s="412" t="s">
        <v>3610</v>
      </c>
      <c r="C1038" s="188">
        <v>0.9</v>
      </c>
      <c r="D1038" s="463">
        <v>6.9474200000000002</v>
      </c>
      <c r="E1038" s="464">
        <v>-7.8502599999999996</v>
      </c>
      <c r="F1038" s="398" t="b">
        <f>IF(ISBLANK(FarmUnit[[#This Row],[1. Identifiant interne d’exploitation agricole*]]),"",IF(ISERROR(MATCH(FarmUnit[[#This Row],[1. Identifiant interne d’exploitation agricole*]],GroupMember[1. Identifiant interne d’exploitation agricole*],0)),FALSE,TRUE))</f>
        <v>1</v>
      </c>
      <c r="G1038" s="391">
        <f t="shared" si="37"/>
        <v>6.9474200000000002</v>
      </c>
      <c r="H1038" s="391">
        <f t="shared" si="38"/>
        <v>-7.8502599999999996</v>
      </c>
      <c r="I1038" s="399" t="str">
        <f t="array" ref="I1038">IF(ISBLANK(C1038),"",IF(C1038=MAX(IF(FarmUnit[1. Identifiant interne d’exploitation agricole*]=A1038,FarmUnit[3. Superficie de l’unité agricole (ha)*])),"!","-"))</f>
        <v>!</v>
      </c>
      <c r="J1038" s="373" t="str">
        <f ca="1">IFERROR(CONCATENATE(VLOOKUP(A1038,GM_Table,12,FALSE)," ",(VLOOKUP(A1038,GM_Table,13,FALSE))),"")</f>
        <v/>
      </c>
    </row>
    <row r="1039" spans="1:10" s="404" customFormat="1" ht="15.75" thickBot="1" x14ac:dyDescent="0.25">
      <c r="A1039" s="405" t="s">
        <v>3611</v>
      </c>
      <c r="B1039" s="405" t="s">
        <v>3611</v>
      </c>
      <c r="C1039" s="343">
        <v>1.2</v>
      </c>
      <c r="D1039" s="410">
        <v>6.94238</v>
      </c>
      <c r="E1039" s="411">
        <v>-7.9275700000000002</v>
      </c>
      <c r="F1039" s="406" t="b">
        <f>IF(ISBLANK(FarmUnit[[#This Row],[1. Identifiant interne d’exploitation agricole*]]),"",IF(ISERROR(MATCH(FarmUnit[[#This Row],[1. Identifiant interne d’exploitation agricole*]],GroupMember[1. Identifiant interne d’exploitation agricole*],0)),FALSE,TRUE))</f>
        <v>1</v>
      </c>
      <c r="G1039" s="407">
        <f t="shared" si="37"/>
        <v>6.94238</v>
      </c>
      <c r="H1039" s="407">
        <f t="shared" si="38"/>
        <v>-7.9275700000000002</v>
      </c>
      <c r="I1039" s="408" t="str">
        <f t="array" ref="I1039">IF(ISBLANK(C1039),"",IF(C1039=MAX(IF(FarmUnit[1. Identifiant interne d’exploitation agricole*]=A1039,FarmUnit[3. Superficie de l’unité agricole (ha)*])),"!","-"))</f>
        <v>!</v>
      </c>
      <c r="J1039" s="409" t="str">
        <f ca="1">IFERROR(CONCATENATE(VLOOKUP(A1039,GM_Table,12,FALSE)," ",(VLOOKUP(A1039,GM_Table,13,FALSE))),"")</f>
        <v/>
      </c>
    </row>
    <row r="1040" spans="1:10" ht="15.75" thickBot="1" x14ac:dyDescent="0.25">
      <c r="A1040" s="412" t="s">
        <v>3612</v>
      </c>
      <c r="B1040" s="412" t="s">
        <v>3612</v>
      </c>
      <c r="C1040" s="188">
        <v>1.4</v>
      </c>
      <c r="D1040" s="463">
        <v>6.9595000000000002</v>
      </c>
      <c r="E1040" s="464">
        <v>-7.9535900000000002</v>
      </c>
      <c r="F1040" s="398" t="b">
        <f>IF(ISBLANK(FarmUnit[[#This Row],[1. Identifiant interne d’exploitation agricole*]]),"",IF(ISERROR(MATCH(FarmUnit[[#This Row],[1. Identifiant interne d’exploitation agricole*]],GroupMember[1. Identifiant interne d’exploitation agricole*],0)),FALSE,TRUE))</f>
        <v>1</v>
      </c>
      <c r="G1040" s="391">
        <f t="shared" si="37"/>
        <v>6.9595000000000002</v>
      </c>
      <c r="H1040" s="391">
        <f t="shared" si="38"/>
        <v>-7.9535900000000002</v>
      </c>
      <c r="I1040" s="399" t="str">
        <f t="array" ref="I1040">IF(ISBLANK(C1040),"",IF(C1040=MAX(IF(FarmUnit[1. Identifiant interne d’exploitation agricole*]=A1040,FarmUnit[3. Superficie de l’unité agricole (ha)*])),"!","-"))</f>
        <v>!</v>
      </c>
      <c r="J1040" s="373" t="str">
        <f ca="1">IFERROR(CONCATENATE(VLOOKUP(A1040,GM_Table,12,FALSE)," ",(VLOOKUP(A1040,GM_Table,13,FALSE))),"")</f>
        <v/>
      </c>
    </row>
    <row r="1041" spans="1:10" s="404" customFormat="1" ht="15.75" thickBot="1" x14ac:dyDescent="0.25">
      <c r="A1041" s="405" t="s">
        <v>3613</v>
      </c>
      <c r="B1041" s="405" t="s">
        <v>3613</v>
      </c>
      <c r="C1041" s="343">
        <v>7.9</v>
      </c>
      <c r="D1041" s="410">
        <v>6.8874700000000004</v>
      </c>
      <c r="E1041" s="411">
        <v>-7.9486400000000001</v>
      </c>
      <c r="F1041" s="406" t="b">
        <f>IF(ISBLANK(FarmUnit[[#This Row],[1. Identifiant interne d’exploitation agricole*]]),"",IF(ISERROR(MATCH(FarmUnit[[#This Row],[1. Identifiant interne d’exploitation agricole*]],GroupMember[1. Identifiant interne d’exploitation agricole*],0)),FALSE,TRUE))</f>
        <v>1</v>
      </c>
      <c r="G1041" s="407">
        <f t="shared" si="37"/>
        <v>6.8874700000000004</v>
      </c>
      <c r="H1041" s="407">
        <f t="shared" si="38"/>
        <v>-7.9486400000000001</v>
      </c>
      <c r="I1041" s="408" t="str">
        <f t="array" ref="I1041">IF(ISBLANK(C1041),"",IF(C1041=MAX(IF(FarmUnit[1. Identifiant interne d’exploitation agricole*]=A1041,FarmUnit[3. Superficie de l’unité agricole (ha)*])),"!","-"))</f>
        <v>!</v>
      </c>
      <c r="J1041" s="409" t="str">
        <f ca="1">IFERROR(CONCATENATE(VLOOKUP(A1041,GM_Table,12,FALSE)," ",(VLOOKUP(A1041,GM_Table,13,FALSE))),"")</f>
        <v/>
      </c>
    </row>
    <row r="1042" spans="1:10" ht="15.75" thickBot="1" x14ac:dyDescent="0.25">
      <c r="A1042" s="412" t="s">
        <v>3614</v>
      </c>
      <c r="B1042" s="412" t="s">
        <v>3614</v>
      </c>
      <c r="C1042" s="188">
        <v>1.8</v>
      </c>
      <c r="D1042" s="463">
        <v>6.9271399999999996</v>
      </c>
      <c r="E1042" s="464">
        <v>-7.9444400000000002</v>
      </c>
      <c r="F1042" s="398" t="b">
        <f>IF(ISBLANK(FarmUnit[[#This Row],[1. Identifiant interne d’exploitation agricole*]]),"",IF(ISERROR(MATCH(FarmUnit[[#This Row],[1. Identifiant interne d’exploitation agricole*]],GroupMember[1. Identifiant interne d’exploitation agricole*],0)),FALSE,TRUE))</f>
        <v>1</v>
      </c>
      <c r="G1042" s="391">
        <f t="shared" si="37"/>
        <v>6.9271399999999996</v>
      </c>
      <c r="H1042" s="391">
        <f t="shared" si="38"/>
        <v>-7.9444400000000002</v>
      </c>
      <c r="I1042" s="399" t="str">
        <f t="array" ref="I1042">IF(ISBLANK(C1042),"",IF(C1042=MAX(IF(FarmUnit[1. Identifiant interne d’exploitation agricole*]=A1042,FarmUnit[3. Superficie de l’unité agricole (ha)*])),"!","-"))</f>
        <v>!</v>
      </c>
      <c r="J1042" s="373" t="str">
        <f ca="1">IFERROR(CONCATENATE(VLOOKUP(A1042,GM_Table,12,FALSE)," ",(VLOOKUP(A1042,GM_Table,13,FALSE))),"")</f>
        <v/>
      </c>
    </row>
    <row r="1043" spans="1:10" s="404" customFormat="1" ht="15.75" thickBot="1" x14ac:dyDescent="0.25">
      <c r="A1043" s="405" t="s">
        <v>3615</v>
      </c>
      <c r="B1043" s="405" t="s">
        <v>3615</v>
      </c>
      <c r="C1043" s="343">
        <v>1</v>
      </c>
      <c r="D1043" s="410">
        <v>6.9414199999999999</v>
      </c>
      <c r="E1043" s="411">
        <v>-7.9181999999999997</v>
      </c>
      <c r="F1043" s="406" t="b">
        <f>IF(ISBLANK(FarmUnit[[#This Row],[1. Identifiant interne d’exploitation agricole*]]),"",IF(ISERROR(MATCH(FarmUnit[[#This Row],[1. Identifiant interne d’exploitation agricole*]],GroupMember[1. Identifiant interne d’exploitation agricole*],0)),FALSE,TRUE))</f>
        <v>1</v>
      </c>
      <c r="G1043" s="407">
        <f t="shared" si="37"/>
        <v>6.9414199999999999</v>
      </c>
      <c r="H1043" s="407">
        <f t="shared" si="38"/>
        <v>-7.9181999999999997</v>
      </c>
      <c r="I1043" s="408" t="str">
        <f t="array" ref="I1043">IF(ISBLANK(C1043),"",IF(C1043=MAX(IF(FarmUnit[1. Identifiant interne d’exploitation agricole*]=A1043,FarmUnit[3. Superficie de l’unité agricole (ha)*])),"!","-"))</f>
        <v>!</v>
      </c>
      <c r="J1043" s="409" t="str">
        <f ca="1">IFERROR(CONCATENATE(VLOOKUP(A1043,GM_Table,12,FALSE)," ",(VLOOKUP(A1043,GM_Table,13,FALSE))),"")</f>
        <v/>
      </c>
    </row>
    <row r="1044" spans="1:10" ht="15.75" thickBot="1" x14ac:dyDescent="0.25">
      <c r="A1044" s="412" t="s">
        <v>3616</v>
      </c>
      <c r="B1044" s="412" t="s">
        <v>3616</v>
      </c>
      <c r="C1044" s="188">
        <v>2.9</v>
      </c>
      <c r="D1044" s="463">
        <v>6.94794</v>
      </c>
      <c r="E1044" s="464">
        <v>-7.8403700000000001</v>
      </c>
      <c r="F1044" s="398" t="b">
        <f>IF(ISBLANK(FarmUnit[[#This Row],[1. Identifiant interne d’exploitation agricole*]]),"",IF(ISERROR(MATCH(FarmUnit[[#This Row],[1. Identifiant interne d’exploitation agricole*]],GroupMember[1. Identifiant interne d’exploitation agricole*],0)),FALSE,TRUE))</f>
        <v>1</v>
      </c>
      <c r="G1044" s="391">
        <f t="shared" si="37"/>
        <v>6.94794</v>
      </c>
      <c r="H1044" s="391">
        <f t="shared" si="38"/>
        <v>-7.8403700000000001</v>
      </c>
      <c r="I1044" s="399" t="str">
        <f t="array" ref="I1044">IF(ISBLANK(C1044),"",IF(C1044=MAX(IF(FarmUnit[1. Identifiant interne d’exploitation agricole*]=A1044,FarmUnit[3. Superficie de l’unité agricole (ha)*])),"!","-"))</f>
        <v>!</v>
      </c>
      <c r="J1044" s="373" t="str">
        <f ca="1">IFERROR(CONCATENATE(VLOOKUP(A1044,GM_Table,12,FALSE)," ",(VLOOKUP(A1044,GM_Table,13,FALSE))),"")</f>
        <v/>
      </c>
    </row>
    <row r="1045" spans="1:10" s="404" customFormat="1" ht="15.75" thickBot="1" x14ac:dyDescent="0.25">
      <c r="A1045" s="405" t="s">
        <v>3617</v>
      </c>
      <c r="B1045" s="405" t="s">
        <v>3617</v>
      </c>
      <c r="C1045" s="343">
        <v>1.7</v>
      </c>
      <c r="D1045" s="410">
        <v>6.9240700000000004</v>
      </c>
      <c r="E1045" s="411">
        <v>-7.9391800000000003</v>
      </c>
      <c r="F1045" s="406" t="b">
        <f>IF(ISBLANK(FarmUnit[[#This Row],[1. Identifiant interne d’exploitation agricole*]]),"",IF(ISERROR(MATCH(FarmUnit[[#This Row],[1. Identifiant interne d’exploitation agricole*]],GroupMember[1. Identifiant interne d’exploitation agricole*],0)),FALSE,TRUE))</f>
        <v>1</v>
      </c>
      <c r="G1045" s="407">
        <f t="shared" si="37"/>
        <v>6.9240700000000004</v>
      </c>
      <c r="H1045" s="407">
        <f t="shared" si="38"/>
        <v>-7.9391800000000003</v>
      </c>
      <c r="I1045" s="408" t="str">
        <f t="array" ref="I1045">IF(ISBLANK(C1045),"",IF(C1045=MAX(IF(FarmUnit[1. Identifiant interne d’exploitation agricole*]=A1045,FarmUnit[3. Superficie de l’unité agricole (ha)*])),"!","-"))</f>
        <v>!</v>
      </c>
      <c r="J1045" s="409" t="str">
        <f ca="1">IFERROR(CONCATENATE(VLOOKUP(A1045,GM_Table,12,FALSE)," ",(VLOOKUP(A1045,GM_Table,13,FALSE))),"")</f>
        <v/>
      </c>
    </row>
    <row r="1046" spans="1:10" ht="15.75" thickBot="1" x14ac:dyDescent="0.25">
      <c r="A1046" s="412" t="s">
        <v>3618</v>
      </c>
      <c r="B1046" s="412" t="s">
        <v>3618</v>
      </c>
      <c r="C1046" s="188">
        <v>2.2999999999999998</v>
      </c>
      <c r="D1046" s="463">
        <v>6.9417600000000004</v>
      </c>
      <c r="E1046" s="464">
        <v>-7.9489200000000002</v>
      </c>
      <c r="F1046" s="398" t="b">
        <f>IF(ISBLANK(FarmUnit[[#This Row],[1. Identifiant interne d’exploitation agricole*]]),"",IF(ISERROR(MATCH(FarmUnit[[#This Row],[1. Identifiant interne d’exploitation agricole*]],GroupMember[1. Identifiant interne d’exploitation agricole*],0)),FALSE,TRUE))</f>
        <v>1</v>
      </c>
      <c r="G1046" s="391">
        <f t="shared" si="37"/>
        <v>6.9417600000000004</v>
      </c>
      <c r="H1046" s="391">
        <f t="shared" si="38"/>
        <v>-7.9489200000000002</v>
      </c>
      <c r="I1046" s="399" t="str">
        <f t="array" ref="I1046">IF(ISBLANK(C1046),"",IF(C1046=MAX(IF(FarmUnit[1. Identifiant interne d’exploitation agricole*]=A1046,FarmUnit[3. Superficie de l’unité agricole (ha)*])),"!","-"))</f>
        <v>!</v>
      </c>
      <c r="J1046" s="373" t="str">
        <f ca="1">IFERROR(CONCATENATE(VLOOKUP(A1046,GM_Table,12,FALSE)," ",(VLOOKUP(A1046,GM_Table,13,FALSE))),"")</f>
        <v/>
      </c>
    </row>
    <row r="1047" spans="1:10" s="404" customFormat="1" ht="15.75" thickBot="1" x14ac:dyDescent="0.25">
      <c r="A1047" s="405" t="s">
        <v>3619</v>
      </c>
      <c r="B1047" s="405" t="s">
        <v>3619</v>
      </c>
      <c r="C1047" s="343">
        <v>3.9</v>
      </c>
      <c r="D1047" s="410">
        <v>6.9272600000000004</v>
      </c>
      <c r="E1047" s="411">
        <v>-7.96563</v>
      </c>
      <c r="F1047" s="406" t="b">
        <f>IF(ISBLANK(FarmUnit[[#This Row],[1. Identifiant interne d’exploitation agricole*]]),"",IF(ISERROR(MATCH(FarmUnit[[#This Row],[1. Identifiant interne d’exploitation agricole*]],GroupMember[1. Identifiant interne d’exploitation agricole*],0)),FALSE,TRUE))</f>
        <v>1</v>
      </c>
      <c r="G1047" s="407">
        <f t="shared" si="37"/>
        <v>6.9272600000000004</v>
      </c>
      <c r="H1047" s="407">
        <f t="shared" si="38"/>
        <v>-7.96563</v>
      </c>
      <c r="I1047" s="408" t="str">
        <f t="array" ref="I1047">IF(ISBLANK(C1047),"",IF(C1047=MAX(IF(FarmUnit[1. Identifiant interne d’exploitation agricole*]=A1047,FarmUnit[3. Superficie de l’unité agricole (ha)*])),"!","-"))</f>
        <v>!</v>
      </c>
      <c r="J1047" s="409" t="str">
        <f ca="1">IFERROR(CONCATENATE(VLOOKUP(A1047,GM_Table,12,FALSE)," ",(VLOOKUP(A1047,GM_Table,13,FALSE))),"")</f>
        <v/>
      </c>
    </row>
    <row r="1048" spans="1:10" ht="15.75" thickBot="1" x14ac:dyDescent="0.25">
      <c r="A1048" s="412" t="s">
        <v>3620</v>
      </c>
      <c r="B1048" s="412" t="s">
        <v>3620</v>
      </c>
      <c r="C1048" s="188">
        <v>5.5</v>
      </c>
      <c r="D1048" s="463">
        <v>6.9355500000000001</v>
      </c>
      <c r="E1048" s="464">
        <v>-7.9451499999999999</v>
      </c>
      <c r="F1048" s="398" t="b">
        <f>IF(ISBLANK(FarmUnit[[#This Row],[1. Identifiant interne d’exploitation agricole*]]),"",IF(ISERROR(MATCH(FarmUnit[[#This Row],[1. Identifiant interne d’exploitation agricole*]],GroupMember[1. Identifiant interne d’exploitation agricole*],0)),FALSE,TRUE))</f>
        <v>1</v>
      </c>
      <c r="G1048" s="391">
        <f t="shared" si="37"/>
        <v>6.9355500000000001</v>
      </c>
      <c r="H1048" s="391">
        <f t="shared" si="38"/>
        <v>-7.9451499999999999</v>
      </c>
      <c r="I1048" s="399" t="str">
        <f t="array" ref="I1048">IF(ISBLANK(C1048),"",IF(C1048=MAX(IF(FarmUnit[1. Identifiant interne d’exploitation agricole*]=A1048,FarmUnit[3. Superficie de l’unité agricole (ha)*])),"!","-"))</f>
        <v>!</v>
      </c>
      <c r="J1048" s="373" t="str">
        <f ca="1">IFERROR(CONCATENATE(VLOOKUP(A1048,GM_Table,12,FALSE)," ",(VLOOKUP(A1048,GM_Table,13,FALSE))),"")</f>
        <v/>
      </c>
    </row>
    <row r="1049" spans="1:10" s="404" customFormat="1" ht="15.75" thickBot="1" x14ac:dyDescent="0.25">
      <c r="A1049" s="405" t="s">
        <v>3621</v>
      </c>
      <c r="B1049" s="405" t="s">
        <v>3621</v>
      </c>
      <c r="C1049" s="343">
        <v>2.4</v>
      </c>
      <c r="D1049" s="410">
        <v>6.9279099999999998</v>
      </c>
      <c r="E1049" s="411">
        <v>-7.9466400000000004</v>
      </c>
      <c r="F1049" s="406" t="b">
        <f>IF(ISBLANK(FarmUnit[[#This Row],[1. Identifiant interne d’exploitation agricole*]]),"",IF(ISERROR(MATCH(FarmUnit[[#This Row],[1. Identifiant interne d’exploitation agricole*]],GroupMember[1. Identifiant interne d’exploitation agricole*],0)),FALSE,TRUE))</f>
        <v>1</v>
      </c>
      <c r="G1049" s="407">
        <f t="shared" si="37"/>
        <v>6.9279099999999998</v>
      </c>
      <c r="H1049" s="407">
        <f t="shared" si="38"/>
        <v>-7.9466400000000004</v>
      </c>
      <c r="I1049" s="408" t="str">
        <f t="array" ref="I1049">IF(ISBLANK(C1049),"",IF(C1049=MAX(IF(FarmUnit[1. Identifiant interne d’exploitation agricole*]=A1049,FarmUnit[3. Superficie de l’unité agricole (ha)*])),"!","-"))</f>
        <v>!</v>
      </c>
      <c r="J1049" s="409" t="str">
        <f ca="1">IFERROR(CONCATENATE(VLOOKUP(A1049,GM_Table,12,FALSE)," ",(VLOOKUP(A1049,GM_Table,13,FALSE))),"")</f>
        <v/>
      </c>
    </row>
    <row r="1050" spans="1:10" ht="15.75" thickBot="1" x14ac:dyDescent="0.25">
      <c r="A1050" s="412" t="s">
        <v>3622</v>
      </c>
      <c r="B1050" s="412" t="s">
        <v>3622</v>
      </c>
      <c r="C1050" s="188">
        <v>2.9</v>
      </c>
      <c r="D1050" s="463">
        <v>6.9325999999999999</v>
      </c>
      <c r="E1050" s="464">
        <v>-7.9445800000000002</v>
      </c>
      <c r="F1050" s="398" t="b">
        <f>IF(ISBLANK(FarmUnit[[#This Row],[1. Identifiant interne d’exploitation agricole*]]),"",IF(ISERROR(MATCH(FarmUnit[[#This Row],[1. Identifiant interne d’exploitation agricole*]],GroupMember[1. Identifiant interne d’exploitation agricole*],0)),FALSE,TRUE))</f>
        <v>1</v>
      </c>
      <c r="G1050" s="391">
        <f t="shared" si="37"/>
        <v>6.9325999999999999</v>
      </c>
      <c r="H1050" s="391">
        <f t="shared" si="38"/>
        <v>-7.9445800000000002</v>
      </c>
      <c r="I1050" s="399" t="str">
        <f t="array" ref="I1050">IF(ISBLANK(C1050),"",IF(C1050=MAX(IF(FarmUnit[1. Identifiant interne d’exploitation agricole*]=A1050,FarmUnit[3. Superficie de l’unité agricole (ha)*])),"!","-"))</f>
        <v>!</v>
      </c>
      <c r="J1050" s="373" t="str">
        <f ca="1">IFERROR(CONCATENATE(VLOOKUP(A1050,GM_Table,12,FALSE)," ",(VLOOKUP(A1050,GM_Table,13,FALSE))),"")</f>
        <v/>
      </c>
    </row>
    <row r="1051" spans="1:10" s="404" customFormat="1" ht="15.75" thickBot="1" x14ac:dyDescent="0.25">
      <c r="A1051" s="405" t="s">
        <v>3623</v>
      </c>
      <c r="B1051" s="405" t="s">
        <v>3623</v>
      </c>
      <c r="C1051" s="343">
        <v>2.2000000000000002</v>
      </c>
      <c r="D1051" s="410">
        <v>6.9320500000000003</v>
      </c>
      <c r="E1051" s="411">
        <v>-7.9361100000000002</v>
      </c>
      <c r="F1051" s="406" t="b">
        <f>IF(ISBLANK(FarmUnit[[#This Row],[1. Identifiant interne d’exploitation agricole*]]),"",IF(ISERROR(MATCH(FarmUnit[[#This Row],[1. Identifiant interne d’exploitation agricole*]],GroupMember[1. Identifiant interne d’exploitation agricole*],0)),FALSE,TRUE))</f>
        <v>1</v>
      </c>
      <c r="G1051" s="407">
        <f t="shared" si="37"/>
        <v>6.9320500000000003</v>
      </c>
      <c r="H1051" s="407">
        <f t="shared" si="38"/>
        <v>-7.9361100000000002</v>
      </c>
      <c r="I1051" s="408" t="str">
        <f t="array" ref="I1051">IF(ISBLANK(C1051),"",IF(C1051=MAX(IF(FarmUnit[1. Identifiant interne d’exploitation agricole*]=A1051,FarmUnit[3. Superficie de l’unité agricole (ha)*])),"!","-"))</f>
        <v>!</v>
      </c>
      <c r="J1051" s="409" t="str">
        <f ca="1">IFERROR(CONCATENATE(VLOOKUP(A1051,GM_Table,12,FALSE)," ",(VLOOKUP(A1051,GM_Table,13,FALSE))),"")</f>
        <v/>
      </c>
    </row>
    <row r="1052" spans="1:10" ht="15.75" thickBot="1" x14ac:dyDescent="0.25">
      <c r="A1052" s="412" t="s">
        <v>3624</v>
      </c>
      <c r="B1052" s="412" t="s">
        <v>3624</v>
      </c>
      <c r="C1052" s="188">
        <v>4.9000000000000004</v>
      </c>
      <c r="D1052" s="463">
        <v>6.9331500000000004</v>
      </c>
      <c r="E1052" s="464">
        <v>-7.9389200000000004</v>
      </c>
      <c r="F1052" s="398" t="b">
        <f>IF(ISBLANK(FarmUnit[[#This Row],[1. Identifiant interne d’exploitation agricole*]]),"",IF(ISERROR(MATCH(FarmUnit[[#This Row],[1. Identifiant interne d’exploitation agricole*]],GroupMember[1. Identifiant interne d’exploitation agricole*],0)),FALSE,TRUE))</f>
        <v>1</v>
      </c>
      <c r="G1052" s="391">
        <f t="shared" si="37"/>
        <v>6.9331500000000004</v>
      </c>
      <c r="H1052" s="391">
        <f t="shared" si="38"/>
        <v>-7.9389200000000004</v>
      </c>
      <c r="I1052" s="399" t="str">
        <f t="array" ref="I1052">IF(ISBLANK(C1052),"",IF(C1052=MAX(IF(FarmUnit[1. Identifiant interne d’exploitation agricole*]=A1052,FarmUnit[3. Superficie de l’unité agricole (ha)*])),"!","-"))</f>
        <v>!</v>
      </c>
      <c r="J1052" s="373" t="str">
        <f ca="1">IFERROR(CONCATENATE(VLOOKUP(A1052,GM_Table,12,FALSE)," ",(VLOOKUP(A1052,GM_Table,13,FALSE))),"")</f>
        <v/>
      </c>
    </row>
    <row r="1053" spans="1:10" s="404" customFormat="1" ht="15.75" thickBot="1" x14ac:dyDescent="0.25">
      <c r="A1053" s="405" t="s">
        <v>3625</v>
      </c>
      <c r="B1053" s="405" t="s">
        <v>3625</v>
      </c>
      <c r="C1053" s="343">
        <v>0.9</v>
      </c>
      <c r="D1053" s="410">
        <v>6.9460699999999997</v>
      </c>
      <c r="E1053" s="411">
        <v>-7.9137599999999999</v>
      </c>
      <c r="F1053" s="406" t="b">
        <f>IF(ISBLANK(FarmUnit[[#This Row],[1. Identifiant interne d’exploitation agricole*]]),"",IF(ISERROR(MATCH(FarmUnit[[#This Row],[1. Identifiant interne d’exploitation agricole*]],GroupMember[1. Identifiant interne d’exploitation agricole*],0)),FALSE,TRUE))</f>
        <v>1</v>
      </c>
      <c r="G1053" s="407">
        <f t="shared" si="37"/>
        <v>6.9460699999999997</v>
      </c>
      <c r="H1053" s="407">
        <f t="shared" si="38"/>
        <v>-7.9137599999999999</v>
      </c>
      <c r="I1053" s="408" t="str">
        <f t="array" ref="I1053">IF(ISBLANK(C1053),"",IF(C1053=MAX(IF(FarmUnit[1. Identifiant interne d’exploitation agricole*]=A1053,FarmUnit[3. Superficie de l’unité agricole (ha)*])),"!","-"))</f>
        <v>!</v>
      </c>
      <c r="J1053" s="409" t="str">
        <f ca="1">IFERROR(CONCATENATE(VLOOKUP(A1053,GM_Table,12,FALSE)," ",(VLOOKUP(A1053,GM_Table,13,FALSE))),"")</f>
        <v/>
      </c>
    </row>
    <row r="1054" spans="1:10" ht="15.75" thickBot="1" x14ac:dyDescent="0.25">
      <c r="A1054" s="412" t="s">
        <v>3626</v>
      </c>
      <c r="B1054" s="412" t="s">
        <v>3626</v>
      </c>
      <c r="C1054" s="188">
        <v>9.1999999999999993</v>
      </c>
      <c r="D1054" s="463">
        <v>6.9235899999999999</v>
      </c>
      <c r="E1054" s="464">
        <v>-7.9367700000000001</v>
      </c>
      <c r="F1054" s="398" t="b">
        <f>IF(ISBLANK(FarmUnit[[#This Row],[1. Identifiant interne d’exploitation agricole*]]),"",IF(ISERROR(MATCH(FarmUnit[[#This Row],[1. Identifiant interne d’exploitation agricole*]],GroupMember[1. Identifiant interne d’exploitation agricole*],0)),FALSE,TRUE))</f>
        <v>1</v>
      </c>
      <c r="G1054" s="391">
        <f t="shared" si="37"/>
        <v>6.9235899999999999</v>
      </c>
      <c r="H1054" s="391">
        <f t="shared" si="38"/>
        <v>-7.9367700000000001</v>
      </c>
      <c r="I1054" s="399" t="str">
        <f t="array" ref="I1054">IF(ISBLANK(C1054),"",IF(C1054=MAX(IF(FarmUnit[1. Identifiant interne d’exploitation agricole*]=A1054,FarmUnit[3. Superficie de l’unité agricole (ha)*])),"!","-"))</f>
        <v>!</v>
      </c>
      <c r="J1054" s="373" t="str">
        <f ca="1">IFERROR(CONCATENATE(VLOOKUP(A1054,GM_Table,12,FALSE)," ",(VLOOKUP(A1054,GM_Table,13,FALSE))),"")</f>
        <v/>
      </c>
    </row>
    <row r="1055" spans="1:10" s="404" customFormat="1" ht="15.75" thickBot="1" x14ac:dyDescent="0.25">
      <c r="A1055" s="405" t="s">
        <v>3627</v>
      </c>
      <c r="B1055" s="405" t="s">
        <v>3627</v>
      </c>
      <c r="C1055" s="343">
        <v>1.1000000000000001</v>
      </c>
      <c r="D1055" s="410">
        <v>6.9028299999999998</v>
      </c>
      <c r="E1055" s="411">
        <v>-7.9453100000000001</v>
      </c>
      <c r="F1055" s="406" t="b">
        <f>IF(ISBLANK(FarmUnit[[#This Row],[1. Identifiant interne d’exploitation agricole*]]),"",IF(ISERROR(MATCH(FarmUnit[[#This Row],[1. Identifiant interne d’exploitation agricole*]],GroupMember[1. Identifiant interne d’exploitation agricole*],0)),FALSE,TRUE))</f>
        <v>1</v>
      </c>
      <c r="G1055" s="407">
        <f t="shared" si="37"/>
        <v>6.9028299999999998</v>
      </c>
      <c r="H1055" s="407">
        <f t="shared" si="38"/>
        <v>-7.9453100000000001</v>
      </c>
      <c r="I1055" s="408" t="str">
        <f t="array" ref="I1055">IF(ISBLANK(C1055),"",IF(C1055=MAX(IF(FarmUnit[1. Identifiant interne d’exploitation agricole*]=A1055,FarmUnit[3. Superficie de l’unité agricole (ha)*])),"!","-"))</f>
        <v>!</v>
      </c>
      <c r="J1055" s="409" t="str">
        <f ca="1">IFERROR(CONCATENATE(VLOOKUP(A1055,GM_Table,12,FALSE)," ",(VLOOKUP(A1055,GM_Table,13,FALSE))),"")</f>
        <v/>
      </c>
    </row>
    <row r="1056" spans="1:10" ht="15.75" thickBot="1" x14ac:dyDescent="0.25">
      <c r="A1056" s="412" t="s">
        <v>3628</v>
      </c>
      <c r="B1056" s="412" t="s">
        <v>3628</v>
      </c>
      <c r="C1056" s="188">
        <v>0.9</v>
      </c>
      <c r="D1056" s="463">
        <v>6.90083</v>
      </c>
      <c r="E1056" s="464">
        <v>-7.9429600000000002</v>
      </c>
      <c r="F1056" s="398" t="b">
        <f>IF(ISBLANK(FarmUnit[[#This Row],[1. Identifiant interne d’exploitation agricole*]]),"",IF(ISERROR(MATCH(FarmUnit[[#This Row],[1. Identifiant interne d’exploitation agricole*]],GroupMember[1. Identifiant interne d’exploitation agricole*],0)),FALSE,TRUE))</f>
        <v>1</v>
      </c>
      <c r="G1056" s="391">
        <f t="shared" si="37"/>
        <v>6.90083</v>
      </c>
      <c r="H1056" s="391">
        <f t="shared" si="38"/>
        <v>-7.9429600000000002</v>
      </c>
      <c r="I1056" s="399" t="str">
        <f t="array" ref="I1056">IF(ISBLANK(C1056),"",IF(C1056=MAX(IF(FarmUnit[1. Identifiant interne d’exploitation agricole*]=A1056,FarmUnit[3. Superficie de l’unité agricole (ha)*])),"!","-"))</f>
        <v>!</v>
      </c>
      <c r="J1056" s="373" t="str">
        <f ca="1">IFERROR(CONCATENATE(VLOOKUP(A1056,GM_Table,12,FALSE)," ",(VLOOKUP(A1056,GM_Table,13,FALSE))),"")</f>
        <v/>
      </c>
    </row>
    <row r="1057" spans="1:10" s="404" customFormat="1" ht="15.75" thickBot="1" x14ac:dyDescent="0.25">
      <c r="A1057" s="405" t="s">
        <v>3629</v>
      </c>
      <c r="B1057" s="405" t="s">
        <v>3629</v>
      </c>
      <c r="C1057" s="343">
        <v>2.9</v>
      </c>
      <c r="D1057" s="410">
        <v>6.9520099999999996</v>
      </c>
      <c r="E1057" s="411">
        <v>-7.9312100000000001</v>
      </c>
      <c r="F1057" s="406" t="b">
        <f>IF(ISBLANK(FarmUnit[[#This Row],[1. Identifiant interne d’exploitation agricole*]]),"",IF(ISERROR(MATCH(FarmUnit[[#This Row],[1. Identifiant interne d’exploitation agricole*]],GroupMember[1. Identifiant interne d’exploitation agricole*],0)),FALSE,TRUE))</f>
        <v>1</v>
      </c>
      <c r="G1057" s="407">
        <f t="shared" si="37"/>
        <v>6.9520099999999996</v>
      </c>
      <c r="H1057" s="407">
        <f t="shared" si="38"/>
        <v>-7.9312100000000001</v>
      </c>
      <c r="I1057" s="408" t="str">
        <f t="array" ref="I1057">IF(ISBLANK(C1057),"",IF(C1057=MAX(IF(FarmUnit[1. Identifiant interne d’exploitation agricole*]=A1057,FarmUnit[3. Superficie de l’unité agricole (ha)*])),"!","-"))</f>
        <v>!</v>
      </c>
      <c r="J1057" s="409" t="str">
        <f ca="1">IFERROR(CONCATENATE(VLOOKUP(A1057,GM_Table,12,FALSE)," ",(VLOOKUP(A1057,GM_Table,13,FALSE))),"")</f>
        <v/>
      </c>
    </row>
    <row r="1058" spans="1:10" ht="15.75" thickBot="1" x14ac:dyDescent="0.25">
      <c r="A1058" s="412" t="s">
        <v>3630</v>
      </c>
      <c r="B1058" s="412" t="s">
        <v>3630</v>
      </c>
      <c r="C1058" s="188">
        <v>2</v>
      </c>
      <c r="D1058" s="463">
        <v>6.9481299999999999</v>
      </c>
      <c r="E1058" s="464">
        <v>-7.8349799999999998</v>
      </c>
      <c r="F1058" s="398" t="b">
        <f>IF(ISBLANK(FarmUnit[[#This Row],[1. Identifiant interne d’exploitation agricole*]]),"",IF(ISERROR(MATCH(FarmUnit[[#This Row],[1. Identifiant interne d’exploitation agricole*]],GroupMember[1. Identifiant interne d’exploitation agricole*],0)),FALSE,TRUE))</f>
        <v>1</v>
      </c>
      <c r="G1058" s="391">
        <f t="shared" si="37"/>
        <v>6.9481299999999999</v>
      </c>
      <c r="H1058" s="391">
        <f t="shared" si="38"/>
        <v>-7.8349799999999998</v>
      </c>
      <c r="I1058" s="399" t="str">
        <f t="array" ref="I1058">IF(ISBLANK(C1058),"",IF(C1058=MAX(IF(FarmUnit[1. Identifiant interne d’exploitation agricole*]=A1058,FarmUnit[3. Superficie de l’unité agricole (ha)*])),"!","-"))</f>
        <v>!</v>
      </c>
      <c r="J1058" s="373" t="str">
        <f ca="1">IFERROR(CONCATENATE(VLOOKUP(A1058,GM_Table,12,FALSE)," ",(VLOOKUP(A1058,GM_Table,13,FALSE))),"")</f>
        <v/>
      </c>
    </row>
    <row r="1059" spans="1:10" s="404" customFormat="1" ht="15.75" thickBot="1" x14ac:dyDescent="0.25">
      <c r="A1059" s="405" t="s">
        <v>3631</v>
      </c>
      <c r="B1059" s="405" t="s">
        <v>3631</v>
      </c>
      <c r="C1059" s="343">
        <v>1.3</v>
      </c>
      <c r="D1059" s="410">
        <v>6.9094300000000004</v>
      </c>
      <c r="E1059" s="411">
        <v>-7.9798499999999999</v>
      </c>
      <c r="F1059" s="406" t="b">
        <f>IF(ISBLANK(FarmUnit[[#This Row],[1. Identifiant interne d’exploitation agricole*]]),"",IF(ISERROR(MATCH(FarmUnit[[#This Row],[1. Identifiant interne d’exploitation agricole*]],GroupMember[1. Identifiant interne d’exploitation agricole*],0)),FALSE,TRUE))</f>
        <v>1</v>
      </c>
      <c r="G1059" s="407">
        <f t="shared" si="37"/>
        <v>6.9094300000000004</v>
      </c>
      <c r="H1059" s="407">
        <f t="shared" si="38"/>
        <v>-7.9798499999999999</v>
      </c>
      <c r="I1059" s="408" t="str">
        <f t="array" ref="I1059">IF(ISBLANK(C1059),"",IF(C1059=MAX(IF(FarmUnit[1. Identifiant interne d’exploitation agricole*]=A1059,FarmUnit[3. Superficie de l’unité agricole (ha)*])),"!","-"))</f>
        <v>!</v>
      </c>
      <c r="J1059" s="409" t="str">
        <f ca="1">IFERROR(CONCATENATE(VLOOKUP(A1059,GM_Table,12,FALSE)," ",(VLOOKUP(A1059,GM_Table,13,FALSE))),"")</f>
        <v/>
      </c>
    </row>
    <row r="1060" spans="1:10" ht="15.75" thickBot="1" x14ac:dyDescent="0.25">
      <c r="A1060" s="412" t="s">
        <v>3632</v>
      </c>
      <c r="B1060" s="412" t="s">
        <v>3632</v>
      </c>
      <c r="C1060" s="188">
        <v>2.6</v>
      </c>
      <c r="D1060" s="463">
        <v>6.9358500000000003</v>
      </c>
      <c r="E1060" s="464">
        <v>-7.9378599999999997</v>
      </c>
      <c r="F1060" s="398" t="b">
        <f>IF(ISBLANK(FarmUnit[[#This Row],[1. Identifiant interne d’exploitation agricole*]]),"",IF(ISERROR(MATCH(FarmUnit[[#This Row],[1. Identifiant interne d’exploitation agricole*]],GroupMember[1. Identifiant interne d’exploitation agricole*],0)),FALSE,TRUE))</f>
        <v>1</v>
      </c>
      <c r="G1060" s="391">
        <f t="shared" si="37"/>
        <v>6.9358500000000003</v>
      </c>
      <c r="H1060" s="391">
        <f t="shared" si="38"/>
        <v>-7.9378599999999997</v>
      </c>
      <c r="I1060" s="399" t="str">
        <f t="array" ref="I1060">IF(ISBLANK(C1060),"",IF(C1060=MAX(IF(FarmUnit[1. Identifiant interne d’exploitation agricole*]=A1060,FarmUnit[3. Superficie de l’unité agricole (ha)*])),"!","-"))</f>
        <v>!</v>
      </c>
      <c r="J1060" s="373" t="str">
        <f ca="1">IFERROR(CONCATENATE(VLOOKUP(A1060,GM_Table,12,FALSE)," ",(VLOOKUP(A1060,GM_Table,13,FALSE))),"")</f>
        <v/>
      </c>
    </row>
    <row r="1061" spans="1:10" s="404" customFormat="1" ht="15.75" thickBot="1" x14ac:dyDescent="0.25">
      <c r="A1061" s="405" t="s">
        <v>3633</v>
      </c>
      <c r="B1061" s="405" t="s">
        <v>3633</v>
      </c>
      <c r="C1061" s="343">
        <v>3.7</v>
      </c>
      <c r="D1061" s="410">
        <v>6.9369500000000004</v>
      </c>
      <c r="E1061" s="411">
        <v>-7.93086</v>
      </c>
      <c r="F1061" s="406" t="b">
        <f>IF(ISBLANK(FarmUnit[[#This Row],[1. Identifiant interne d’exploitation agricole*]]),"",IF(ISERROR(MATCH(FarmUnit[[#This Row],[1. Identifiant interne d’exploitation agricole*]],GroupMember[1. Identifiant interne d’exploitation agricole*],0)),FALSE,TRUE))</f>
        <v>1</v>
      </c>
      <c r="G1061" s="407">
        <f t="shared" si="37"/>
        <v>6.9369500000000004</v>
      </c>
      <c r="H1061" s="407">
        <f t="shared" si="38"/>
        <v>-7.93086</v>
      </c>
      <c r="I1061" s="408" t="str">
        <f t="array" ref="I1061">IF(ISBLANK(C1061),"",IF(C1061=MAX(IF(FarmUnit[1. Identifiant interne d’exploitation agricole*]=A1061,FarmUnit[3. Superficie de l’unité agricole (ha)*])),"!","-"))</f>
        <v>!</v>
      </c>
      <c r="J1061" s="409" t="str">
        <f ca="1">IFERROR(CONCATENATE(VLOOKUP(A1061,GM_Table,12,FALSE)," ",(VLOOKUP(A1061,GM_Table,13,FALSE))),"")</f>
        <v/>
      </c>
    </row>
    <row r="1062" spans="1:10" ht="15.75" thickBot="1" x14ac:dyDescent="0.25">
      <c r="A1062" s="412" t="s">
        <v>3634</v>
      </c>
      <c r="B1062" s="412" t="s">
        <v>3634</v>
      </c>
      <c r="C1062" s="188">
        <v>3.4</v>
      </c>
      <c r="D1062" s="463">
        <v>6.9332500000000001</v>
      </c>
      <c r="E1062" s="464">
        <v>-7.9178100000000002</v>
      </c>
      <c r="F1062" s="398" t="b">
        <f>IF(ISBLANK(FarmUnit[[#This Row],[1. Identifiant interne d’exploitation agricole*]]),"",IF(ISERROR(MATCH(FarmUnit[[#This Row],[1. Identifiant interne d’exploitation agricole*]],GroupMember[1. Identifiant interne d’exploitation agricole*],0)),FALSE,TRUE))</f>
        <v>1</v>
      </c>
      <c r="G1062" s="391">
        <f t="shared" ref="G1062:G1081" si="39">IF(D1062=0,"",D1062)</f>
        <v>6.9332500000000001</v>
      </c>
      <c r="H1062" s="391">
        <f t="shared" ref="H1062:H1081" si="40">IF(E1062=0,"",E1062)</f>
        <v>-7.9178100000000002</v>
      </c>
      <c r="I1062" s="399" t="str">
        <f t="array" ref="I1062">IF(ISBLANK(C1062),"",IF(C1062=MAX(IF(FarmUnit[1. Identifiant interne d’exploitation agricole*]=A1062,FarmUnit[3. Superficie de l’unité agricole (ha)*])),"!","-"))</f>
        <v>!</v>
      </c>
      <c r="J1062" s="373" t="str">
        <f ca="1">IFERROR(CONCATENATE(VLOOKUP(A1062,GM_Table,12,FALSE)," ",(VLOOKUP(A1062,GM_Table,13,FALSE))),"")</f>
        <v/>
      </c>
    </row>
    <row r="1063" spans="1:10" s="404" customFormat="1" ht="15.75" thickBot="1" x14ac:dyDescent="0.25">
      <c r="A1063" s="405" t="s">
        <v>3635</v>
      </c>
      <c r="B1063" s="405" t="s">
        <v>3635</v>
      </c>
      <c r="C1063" s="343">
        <v>1.6</v>
      </c>
      <c r="D1063" s="410">
        <v>6.9262100000000002</v>
      </c>
      <c r="E1063" s="411">
        <v>-7.9480399999999998</v>
      </c>
      <c r="F1063" s="406" t="b">
        <f>IF(ISBLANK(FarmUnit[[#This Row],[1. Identifiant interne d’exploitation agricole*]]),"",IF(ISERROR(MATCH(FarmUnit[[#This Row],[1. Identifiant interne d’exploitation agricole*]],GroupMember[1. Identifiant interne d’exploitation agricole*],0)),FALSE,TRUE))</f>
        <v>1</v>
      </c>
      <c r="G1063" s="407">
        <f t="shared" si="39"/>
        <v>6.9262100000000002</v>
      </c>
      <c r="H1063" s="407">
        <f t="shared" si="40"/>
        <v>-7.9480399999999998</v>
      </c>
      <c r="I1063" s="408" t="str">
        <f t="array" ref="I1063">IF(ISBLANK(C1063),"",IF(C1063=MAX(IF(FarmUnit[1. Identifiant interne d’exploitation agricole*]=A1063,FarmUnit[3. Superficie de l’unité agricole (ha)*])),"!","-"))</f>
        <v>!</v>
      </c>
      <c r="J1063" s="409" t="str">
        <f ca="1">IFERROR(CONCATENATE(VLOOKUP(A1063,GM_Table,12,FALSE)," ",(VLOOKUP(A1063,GM_Table,13,FALSE))),"")</f>
        <v/>
      </c>
    </row>
    <row r="1064" spans="1:10" ht="15.75" thickBot="1" x14ac:dyDescent="0.25">
      <c r="A1064" s="412" t="s">
        <v>3636</v>
      </c>
      <c r="B1064" s="412" t="s">
        <v>3636</v>
      </c>
      <c r="C1064" s="188">
        <v>1.2</v>
      </c>
      <c r="D1064" s="463">
        <v>6.94184</v>
      </c>
      <c r="E1064" s="464">
        <v>-7.9389700000000003</v>
      </c>
      <c r="F1064" s="398" t="b">
        <f>IF(ISBLANK(FarmUnit[[#This Row],[1. Identifiant interne d’exploitation agricole*]]),"",IF(ISERROR(MATCH(FarmUnit[[#This Row],[1. Identifiant interne d’exploitation agricole*]],GroupMember[1. Identifiant interne d’exploitation agricole*],0)),FALSE,TRUE))</f>
        <v>1</v>
      </c>
      <c r="G1064" s="391">
        <f t="shared" si="39"/>
        <v>6.94184</v>
      </c>
      <c r="H1064" s="391">
        <f t="shared" si="40"/>
        <v>-7.9389700000000003</v>
      </c>
      <c r="I1064" s="399" t="str">
        <f t="array" ref="I1064">IF(ISBLANK(C1064),"",IF(C1064=MAX(IF(FarmUnit[1. Identifiant interne d’exploitation agricole*]=A1064,FarmUnit[3. Superficie de l’unité agricole (ha)*])),"!","-"))</f>
        <v>!</v>
      </c>
      <c r="J1064" s="373" t="str">
        <f ca="1">IFERROR(CONCATENATE(VLOOKUP(A1064,GM_Table,12,FALSE)," ",(VLOOKUP(A1064,GM_Table,13,FALSE))),"")</f>
        <v/>
      </c>
    </row>
    <row r="1065" spans="1:10" s="404" customFormat="1" ht="15.75" thickBot="1" x14ac:dyDescent="0.25">
      <c r="A1065" s="405" t="s">
        <v>3637</v>
      </c>
      <c r="B1065" s="405" t="s">
        <v>3637</v>
      </c>
      <c r="C1065" s="343">
        <v>5.0999999999999996</v>
      </c>
      <c r="D1065" s="410">
        <v>6.9417600000000004</v>
      </c>
      <c r="E1065" s="411">
        <v>-7.92584</v>
      </c>
      <c r="F1065" s="406" t="b">
        <f>IF(ISBLANK(FarmUnit[[#This Row],[1. Identifiant interne d’exploitation agricole*]]),"",IF(ISERROR(MATCH(FarmUnit[[#This Row],[1. Identifiant interne d’exploitation agricole*]],GroupMember[1. Identifiant interne d’exploitation agricole*],0)),FALSE,TRUE))</f>
        <v>1</v>
      </c>
      <c r="G1065" s="407">
        <f t="shared" si="39"/>
        <v>6.9417600000000004</v>
      </c>
      <c r="H1065" s="407">
        <f t="shared" si="40"/>
        <v>-7.92584</v>
      </c>
      <c r="I1065" s="408" t="str">
        <f t="array" ref="I1065">IF(ISBLANK(C1065),"",IF(C1065=MAX(IF(FarmUnit[1. Identifiant interne d’exploitation agricole*]=A1065,FarmUnit[3. Superficie de l’unité agricole (ha)*])),"!","-"))</f>
        <v>!</v>
      </c>
      <c r="J1065" s="409" t="str">
        <f ca="1">IFERROR(CONCATENATE(VLOOKUP(A1065,GM_Table,12,FALSE)," ",(VLOOKUP(A1065,GM_Table,13,FALSE))),"")</f>
        <v/>
      </c>
    </row>
    <row r="1066" spans="1:10" ht="15.75" thickBot="1" x14ac:dyDescent="0.25">
      <c r="A1066" s="412" t="s">
        <v>3638</v>
      </c>
      <c r="B1066" s="412" t="s">
        <v>3638</v>
      </c>
      <c r="C1066" s="188">
        <v>1.7</v>
      </c>
      <c r="D1066" s="463">
        <v>6.9376499999999997</v>
      </c>
      <c r="E1066" s="464">
        <v>-7.9443700000000002</v>
      </c>
      <c r="F1066" s="398" t="b">
        <f>IF(ISBLANK(FarmUnit[[#This Row],[1. Identifiant interne d’exploitation agricole*]]),"",IF(ISERROR(MATCH(FarmUnit[[#This Row],[1. Identifiant interne d’exploitation agricole*]],GroupMember[1. Identifiant interne d’exploitation agricole*],0)),FALSE,TRUE))</f>
        <v>1</v>
      </c>
      <c r="G1066" s="391">
        <f t="shared" si="39"/>
        <v>6.9376499999999997</v>
      </c>
      <c r="H1066" s="391">
        <f t="shared" si="40"/>
        <v>-7.9443700000000002</v>
      </c>
      <c r="I1066" s="399" t="str">
        <f t="array" ref="I1066">IF(ISBLANK(C1066),"",IF(C1066=MAX(IF(FarmUnit[1. Identifiant interne d’exploitation agricole*]=A1066,FarmUnit[3. Superficie de l’unité agricole (ha)*])),"!","-"))</f>
        <v>!</v>
      </c>
      <c r="J1066" s="373" t="str">
        <f ca="1">IFERROR(CONCATENATE(VLOOKUP(A1066,GM_Table,12,FALSE)," ",(VLOOKUP(A1066,GM_Table,13,FALSE))),"")</f>
        <v/>
      </c>
    </row>
    <row r="1067" spans="1:10" s="404" customFormat="1" ht="15.75" thickBot="1" x14ac:dyDescent="0.25">
      <c r="A1067" s="405" t="s">
        <v>3639</v>
      </c>
      <c r="B1067" s="405" t="s">
        <v>3639</v>
      </c>
      <c r="C1067" s="343">
        <v>0.6</v>
      </c>
      <c r="D1067" s="410">
        <v>6.93621</v>
      </c>
      <c r="E1067" s="411">
        <v>-7.9889099999999997</v>
      </c>
      <c r="F1067" s="406" t="b">
        <f>IF(ISBLANK(FarmUnit[[#This Row],[1. Identifiant interne d’exploitation agricole*]]),"",IF(ISERROR(MATCH(FarmUnit[[#This Row],[1. Identifiant interne d’exploitation agricole*]],GroupMember[1. Identifiant interne d’exploitation agricole*],0)),FALSE,TRUE))</f>
        <v>1</v>
      </c>
      <c r="G1067" s="407">
        <f t="shared" si="39"/>
        <v>6.93621</v>
      </c>
      <c r="H1067" s="407">
        <f t="shared" si="40"/>
        <v>-7.9889099999999997</v>
      </c>
      <c r="I1067" s="408" t="str">
        <f t="array" ref="I1067">IF(ISBLANK(C1067),"",IF(C1067=MAX(IF(FarmUnit[1. Identifiant interne d’exploitation agricole*]=A1067,FarmUnit[3. Superficie de l’unité agricole (ha)*])),"!","-"))</f>
        <v>!</v>
      </c>
      <c r="J1067" s="409" t="str">
        <f ca="1">IFERROR(CONCATENATE(VLOOKUP(A1067,GM_Table,12,FALSE)," ",(VLOOKUP(A1067,GM_Table,13,FALSE))),"")</f>
        <v/>
      </c>
    </row>
    <row r="1068" spans="1:10" ht="15.75" thickBot="1" x14ac:dyDescent="0.25">
      <c r="A1068" s="412" t="s">
        <v>3640</v>
      </c>
      <c r="B1068" s="412" t="s">
        <v>3640</v>
      </c>
      <c r="C1068" s="188">
        <v>6.5</v>
      </c>
      <c r="D1068" s="463">
        <v>6.92347</v>
      </c>
      <c r="E1068" s="464">
        <v>-7.92828</v>
      </c>
      <c r="F1068" s="398" t="b">
        <f>IF(ISBLANK(FarmUnit[[#This Row],[1. Identifiant interne d’exploitation agricole*]]),"",IF(ISERROR(MATCH(FarmUnit[[#This Row],[1. Identifiant interne d’exploitation agricole*]],GroupMember[1. Identifiant interne d’exploitation agricole*],0)),FALSE,TRUE))</f>
        <v>1</v>
      </c>
      <c r="G1068" s="391">
        <f t="shared" si="39"/>
        <v>6.92347</v>
      </c>
      <c r="H1068" s="391">
        <f t="shared" si="40"/>
        <v>-7.92828</v>
      </c>
      <c r="I1068" s="399" t="str">
        <f t="array" ref="I1068">IF(ISBLANK(C1068),"",IF(C1068=MAX(IF(FarmUnit[1. Identifiant interne d’exploitation agricole*]=A1068,FarmUnit[3. Superficie de l’unité agricole (ha)*])),"!","-"))</f>
        <v>!</v>
      </c>
      <c r="J1068" s="373" t="str">
        <f ca="1">IFERROR(CONCATENATE(VLOOKUP(A1068,GM_Table,12,FALSE)," ",(VLOOKUP(A1068,GM_Table,13,FALSE))),"")</f>
        <v/>
      </c>
    </row>
    <row r="1069" spans="1:10" s="404" customFormat="1" ht="15.75" thickBot="1" x14ac:dyDescent="0.25">
      <c r="A1069" s="405" t="s">
        <v>3641</v>
      </c>
      <c r="B1069" s="405" t="s">
        <v>3641</v>
      </c>
      <c r="C1069" s="343">
        <v>2.1</v>
      </c>
      <c r="D1069" s="410">
        <v>6.89994</v>
      </c>
      <c r="E1069" s="411">
        <v>-7.9763599999999997</v>
      </c>
      <c r="F1069" s="406" t="b">
        <f>IF(ISBLANK(FarmUnit[[#This Row],[1. Identifiant interne d’exploitation agricole*]]),"",IF(ISERROR(MATCH(FarmUnit[[#This Row],[1. Identifiant interne d’exploitation agricole*]],GroupMember[1. Identifiant interne d’exploitation agricole*],0)),FALSE,TRUE))</f>
        <v>1</v>
      </c>
      <c r="G1069" s="407">
        <f t="shared" si="39"/>
        <v>6.89994</v>
      </c>
      <c r="H1069" s="407">
        <f t="shared" si="40"/>
        <v>-7.9763599999999997</v>
      </c>
      <c r="I1069" s="408" t="str">
        <f t="array" ref="I1069">IF(ISBLANK(C1069),"",IF(C1069=MAX(IF(FarmUnit[1. Identifiant interne d’exploitation agricole*]=A1069,FarmUnit[3. Superficie de l’unité agricole (ha)*])),"!","-"))</f>
        <v>!</v>
      </c>
      <c r="J1069" s="409" t="str">
        <f ca="1">IFERROR(CONCATENATE(VLOOKUP(A1069,GM_Table,12,FALSE)," ",(VLOOKUP(A1069,GM_Table,13,FALSE))),"")</f>
        <v/>
      </c>
    </row>
    <row r="1070" spans="1:10" ht="15.75" thickBot="1" x14ac:dyDescent="0.25">
      <c r="A1070" s="412" t="s">
        <v>3642</v>
      </c>
      <c r="B1070" s="412" t="s">
        <v>3642</v>
      </c>
      <c r="C1070" s="188">
        <v>1.4</v>
      </c>
      <c r="D1070" s="463">
        <v>6.9058999999999999</v>
      </c>
      <c r="E1070" s="464">
        <v>-7.9810499999999998</v>
      </c>
      <c r="F1070" s="398" t="b">
        <f>IF(ISBLANK(FarmUnit[[#This Row],[1. Identifiant interne d’exploitation agricole*]]),"",IF(ISERROR(MATCH(FarmUnit[[#This Row],[1. Identifiant interne d’exploitation agricole*]],GroupMember[1. Identifiant interne d’exploitation agricole*],0)),FALSE,TRUE))</f>
        <v>1</v>
      </c>
      <c r="G1070" s="391">
        <f t="shared" si="39"/>
        <v>6.9058999999999999</v>
      </c>
      <c r="H1070" s="391">
        <f t="shared" si="40"/>
        <v>-7.9810499999999998</v>
      </c>
      <c r="I1070" s="399" t="str">
        <f t="array" ref="I1070">IF(ISBLANK(C1070),"",IF(C1070=MAX(IF(FarmUnit[1. Identifiant interne d’exploitation agricole*]=A1070,FarmUnit[3. Superficie de l’unité agricole (ha)*])),"!","-"))</f>
        <v>!</v>
      </c>
      <c r="J1070" s="373" t="str">
        <f ca="1">IFERROR(CONCATENATE(VLOOKUP(A1070,GM_Table,12,FALSE)," ",(VLOOKUP(A1070,GM_Table,13,FALSE))),"")</f>
        <v/>
      </c>
    </row>
    <row r="1071" spans="1:10" s="404" customFormat="1" ht="15.75" thickBot="1" x14ac:dyDescent="0.25">
      <c r="A1071" s="405" t="s">
        <v>3643</v>
      </c>
      <c r="B1071" s="405" t="s">
        <v>3643</v>
      </c>
      <c r="C1071" s="343">
        <v>2.6</v>
      </c>
      <c r="D1071" s="410">
        <v>6.9237900000000003</v>
      </c>
      <c r="E1071" s="411">
        <v>-7.9731100000000001</v>
      </c>
      <c r="F1071" s="406" t="b">
        <f>IF(ISBLANK(FarmUnit[[#This Row],[1. Identifiant interne d’exploitation agricole*]]),"",IF(ISERROR(MATCH(FarmUnit[[#This Row],[1. Identifiant interne d’exploitation agricole*]],GroupMember[1. Identifiant interne d’exploitation agricole*],0)),FALSE,TRUE))</f>
        <v>1</v>
      </c>
      <c r="G1071" s="407">
        <f t="shared" si="39"/>
        <v>6.9237900000000003</v>
      </c>
      <c r="H1071" s="407">
        <f t="shared" si="40"/>
        <v>-7.9731100000000001</v>
      </c>
      <c r="I1071" s="408" t="str">
        <f t="array" ref="I1071">IF(ISBLANK(C1071),"",IF(C1071=MAX(IF(FarmUnit[1. Identifiant interne d’exploitation agricole*]=A1071,FarmUnit[3. Superficie de l’unité agricole (ha)*])),"!","-"))</f>
        <v>!</v>
      </c>
      <c r="J1071" s="409" t="str">
        <f ca="1">IFERROR(CONCATENATE(VLOOKUP(A1071,GM_Table,12,FALSE)," ",(VLOOKUP(A1071,GM_Table,13,FALSE))),"")</f>
        <v/>
      </c>
    </row>
    <row r="1072" spans="1:10" ht="15.75" thickBot="1" x14ac:dyDescent="0.25">
      <c r="A1072" s="412" t="s">
        <v>3644</v>
      </c>
      <c r="B1072" s="412" t="s">
        <v>3644</v>
      </c>
      <c r="C1072" s="188">
        <v>0.7</v>
      </c>
      <c r="D1072" s="463">
        <v>6.9443999999999999</v>
      </c>
      <c r="E1072" s="464">
        <v>-7.8290300000000004</v>
      </c>
      <c r="F1072" s="398" t="b">
        <f>IF(ISBLANK(FarmUnit[[#This Row],[1. Identifiant interne d’exploitation agricole*]]),"",IF(ISERROR(MATCH(FarmUnit[[#This Row],[1. Identifiant interne d’exploitation agricole*]],GroupMember[1. Identifiant interne d’exploitation agricole*],0)),FALSE,TRUE))</f>
        <v>1</v>
      </c>
      <c r="G1072" s="391">
        <f t="shared" si="39"/>
        <v>6.9443999999999999</v>
      </c>
      <c r="H1072" s="391">
        <f t="shared" si="40"/>
        <v>-7.8290300000000004</v>
      </c>
      <c r="I1072" s="399" t="str">
        <f t="array" ref="I1072">IF(ISBLANK(C1072),"",IF(C1072=MAX(IF(FarmUnit[1. Identifiant interne d’exploitation agricole*]=A1072,FarmUnit[3. Superficie de l’unité agricole (ha)*])),"!","-"))</f>
        <v>!</v>
      </c>
      <c r="J1072" s="373" t="str">
        <f ca="1">IFERROR(CONCATENATE(VLOOKUP(A1072,GM_Table,12,FALSE)," ",(VLOOKUP(A1072,GM_Table,13,FALSE))),"")</f>
        <v/>
      </c>
    </row>
    <row r="1073" spans="1:10" s="404" customFormat="1" ht="15.75" thickBot="1" x14ac:dyDescent="0.25">
      <c r="A1073" s="405" t="s">
        <v>3645</v>
      </c>
      <c r="B1073" s="405" t="s">
        <v>3645</v>
      </c>
      <c r="C1073" s="343">
        <v>2.9</v>
      </c>
      <c r="D1073" s="410">
        <v>6.9327699999999997</v>
      </c>
      <c r="E1073" s="411">
        <v>-7.9345400000000001</v>
      </c>
      <c r="F1073" s="406" t="b">
        <f>IF(ISBLANK(FarmUnit[[#This Row],[1. Identifiant interne d’exploitation agricole*]]),"",IF(ISERROR(MATCH(FarmUnit[[#This Row],[1. Identifiant interne d’exploitation agricole*]],GroupMember[1. Identifiant interne d’exploitation agricole*],0)),FALSE,TRUE))</f>
        <v>1</v>
      </c>
      <c r="G1073" s="407">
        <f t="shared" si="39"/>
        <v>6.9327699999999997</v>
      </c>
      <c r="H1073" s="407">
        <f t="shared" si="40"/>
        <v>-7.9345400000000001</v>
      </c>
      <c r="I1073" s="408" t="str">
        <f t="array" ref="I1073">IF(ISBLANK(C1073),"",IF(C1073=MAX(IF(FarmUnit[1. Identifiant interne d’exploitation agricole*]=A1073,FarmUnit[3. Superficie de l’unité agricole (ha)*])),"!","-"))</f>
        <v>!</v>
      </c>
      <c r="J1073" s="409" t="str">
        <f ca="1">IFERROR(CONCATENATE(VLOOKUP(A1073,GM_Table,12,FALSE)," ",(VLOOKUP(A1073,GM_Table,13,FALSE))),"")</f>
        <v/>
      </c>
    </row>
    <row r="1074" spans="1:10" ht="15.75" thickBot="1" x14ac:dyDescent="0.25">
      <c r="A1074" s="412" t="s">
        <v>3646</v>
      </c>
      <c r="B1074" s="412" t="s">
        <v>3646</v>
      </c>
      <c r="C1074" s="188">
        <v>0.6</v>
      </c>
      <c r="D1074" s="463">
        <v>6.9506399999999999</v>
      </c>
      <c r="E1074" s="464">
        <v>-7.9352099999999997</v>
      </c>
      <c r="F1074" s="398" t="b">
        <f>IF(ISBLANK(FarmUnit[[#This Row],[1. Identifiant interne d’exploitation agricole*]]),"",IF(ISERROR(MATCH(FarmUnit[[#This Row],[1. Identifiant interne d’exploitation agricole*]],GroupMember[1. Identifiant interne d’exploitation agricole*],0)),FALSE,TRUE))</f>
        <v>1</v>
      </c>
      <c r="G1074" s="391">
        <f t="shared" si="39"/>
        <v>6.9506399999999999</v>
      </c>
      <c r="H1074" s="391">
        <f t="shared" si="40"/>
        <v>-7.9352099999999997</v>
      </c>
      <c r="I1074" s="399" t="str">
        <f t="array" ref="I1074">IF(ISBLANK(C1074),"",IF(C1074=MAX(IF(FarmUnit[1. Identifiant interne d’exploitation agricole*]=A1074,FarmUnit[3. Superficie de l’unité agricole (ha)*])),"!","-"))</f>
        <v>!</v>
      </c>
      <c r="J1074" s="373" t="str">
        <f ca="1">IFERROR(CONCATENATE(VLOOKUP(A1074,GM_Table,12,FALSE)," ",(VLOOKUP(A1074,GM_Table,13,FALSE))),"")</f>
        <v/>
      </c>
    </row>
    <row r="1075" spans="1:10" s="404" customFormat="1" ht="15.75" thickBot="1" x14ac:dyDescent="0.25">
      <c r="A1075" s="405" t="s">
        <v>3647</v>
      </c>
      <c r="B1075" s="405" t="s">
        <v>3647</v>
      </c>
      <c r="C1075" s="343">
        <v>2.2999999999999998</v>
      </c>
      <c r="D1075" s="410">
        <v>6.9444299999999997</v>
      </c>
      <c r="E1075" s="411">
        <v>-7.8304400000000003</v>
      </c>
      <c r="F1075" s="406" t="b">
        <f>IF(ISBLANK(FarmUnit[[#This Row],[1. Identifiant interne d’exploitation agricole*]]),"",IF(ISERROR(MATCH(FarmUnit[[#This Row],[1. Identifiant interne d’exploitation agricole*]],GroupMember[1. Identifiant interne d’exploitation agricole*],0)),FALSE,TRUE))</f>
        <v>1</v>
      </c>
      <c r="G1075" s="407">
        <f t="shared" si="39"/>
        <v>6.9444299999999997</v>
      </c>
      <c r="H1075" s="407">
        <f t="shared" si="40"/>
        <v>-7.8304400000000003</v>
      </c>
      <c r="I1075" s="408" t="str">
        <f t="array" ref="I1075">IF(ISBLANK(C1075),"",IF(C1075=MAX(IF(FarmUnit[1. Identifiant interne d’exploitation agricole*]=A1075,FarmUnit[3. Superficie de l’unité agricole (ha)*])),"!","-"))</f>
        <v>!</v>
      </c>
      <c r="J1075" s="409" t="str">
        <f ca="1">IFERROR(CONCATENATE(VLOOKUP(A1075,GM_Table,12,FALSE)," ",(VLOOKUP(A1075,GM_Table,13,FALSE))),"")</f>
        <v/>
      </c>
    </row>
    <row r="1076" spans="1:10" ht="15.75" thickBot="1" x14ac:dyDescent="0.25">
      <c r="A1076" s="412" t="s">
        <v>3648</v>
      </c>
      <c r="B1076" s="412" t="s">
        <v>3648</v>
      </c>
      <c r="C1076" s="188">
        <v>2.2000000000000002</v>
      </c>
      <c r="D1076" s="463">
        <v>6.9357300000000004</v>
      </c>
      <c r="E1076" s="464">
        <v>-7.8341900000000004</v>
      </c>
      <c r="F1076" s="398" t="b">
        <f>IF(ISBLANK(FarmUnit[[#This Row],[1. Identifiant interne d’exploitation agricole*]]),"",IF(ISERROR(MATCH(FarmUnit[[#This Row],[1. Identifiant interne d’exploitation agricole*]],GroupMember[1. Identifiant interne d’exploitation agricole*],0)),FALSE,TRUE))</f>
        <v>1</v>
      </c>
      <c r="G1076" s="391">
        <f t="shared" si="39"/>
        <v>6.9357300000000004</v>
      </c>
      <c r="H1076" s="391">
        <f t="shared" si="40"/>
        <v>-7.8341900000000004</v>
      </c>
      <c r="I1076" s="399" t="str">
        <f t="array" ref="I1076">IF(ISBLANK(C1076),"",IF(C1076=MAX(IF(FarmUnit[1. Identifiant interne d’exploitation agricole*]=A1076,FarmUnit[3. Superficie de l’unité agricole (ha)*])),"!","-"))</f>
        <v>!</v>
      </c>
      <c r="J1076" s="373" t="str">
        <f ca="1">IFERROR(CONCATENATE(VLOOKUP(A1076,GM_Table,12,FALSE)," ",(VLOOKUP(A1076,GM_Table,13,FALSE))),"")</f>
        <v/>
      </c>
    </row>
    <row r="1077" spans="1:10" s="404" customFormat="1" ht="15.75" thickBot="1" x14ac:dyDescent="0.25">
      <c r="A1077" s="405" t="s">
        <v>3649</v>
      </c>
      <c r="B1077" s="405" t="s">
        <v>3649</v>
      </c>
      <c r="C1077" s="343">
        <v>9.5</v>
      </c>
      <c r="D1077" s="410">
        <v>6.9386900000000002</v>
      </c>
      <c r="E1077" s="411">
        <v>-7.9896900000000004</v>
      </c>
      <c r="F1077" s="406" t="b">
        <f>IF(ISBLANK(FarmUnit[[#This Row],[1. Identifiant interne d’exploitation agricole*]]),"",IF(ISERROR(MATCH(FarmUnit[[#This Row],[1. Identifiant interne d’exploitation agricole*]],GroupMember[1. Identifiant interne d’exploitation agricole*],0)),FALSE,TRUE))</f>
        <v>1</v>
      </c>
      <c r="G1077" s="407">
        <f t="shared" si="39"/>
        <v>6.9386900000000002</v>
      </c>
      <c r="H1077" s="407">
        <f t="shared" si="40"/>
        <v>-7.9896900000000004</v>
      </c>
      <c r="I1077" s="408" t="str">
        <f t="array" ref="I1077">IF(ISBLANK(C1077),"",IF(C1077=MAX(IF(FarmUnit[1. Identifiant interne d’exploitation agricole*]=A1077,FarmUnit[3. Superficie de l’unité agricole (ha)*])),"!","-"))</f>
        <v>!</v>
      </c>
      <c r="J1077" s="409" t="str">
        <f ca="1">IFERROR(CONCATENATE(VLOOKUP(A1077,GM_Table,12,FALSE)," ",(VLOOKUP(A1077,GM_Table,13,FALSE))),"")</f>
        <v/>
      </c>
    </row>
    <row r="1078" spans="1:10" ht="15.75" thickBot="1" x14ac:dyDescent="0.25">
      <c r="A1078" s="412" t="s">
        <v>3650</v>
      </c>
      <c r="B1078" s="412" t="s">
        <v>3650</v>
      </c>
      <c r="C1078" s="188">
        <v>15.4</v>
      </c>
      <c r="D1078" s="463">
        <v>6.9250699999999998</v>
      </c>
      <c r="E1078" s="464">
        <v>-7.9340700000000002</v>
      </c>
      <c r="F1078" s="398" t="b">
        <f>IF(ISBLANK(FarmUnit[[#This Row],[1. Identifiant interne d’exploitation agricole*]]),"",IF(ISERROR(MATCH(FarmUnit[[#This Row],[1. Identifiant interne d’exploitation agricole*]],GroupMember[1. Identifiant interne d’exploitation agricole*],0)),FALSE,TRUE))</f>
        <v>1</v>
      </c>
      <c r="G1078" s="391">
        <f t="shared" si="39"/>
        <v>6.9250699999999998</v>
      </c>
      <c r="H1078" s="391">
        <f t="shared" si="40"/>
        <v>-7.9340700000000002</v>
      </c>
      <c r="I1078" s="399" t="str">
        <f t="array" ref="I1078">IF(ISBLANK(C1078),"",IF(C1078=MAX(IF(FarmUnit[1. Identifiant interne d’exploitation agricole*]=A1078,FarmUnit[3. Superficie de l’unité agricole (ha)*])),"!","-"))</f>
        <v>!</v>
      </c>
      <c r="J1078" s="373" t="str">
        <f ca="1">IFERROR(CONCATENATE(VLOOKUP(A1078,GM_Table,12,FALSE)," ",(VLOOKUP(A1078,GM_Table,13,FALSE))),"")</f>
        <v/>
      </c>
    </row>
    <row r="1079" spans="1:10" s="404" customFormat="1" ht="15.75" thickBot="1" x14ac:dyDescent="0.25">
      <c r="A1079" s="405" t="s">
        <v>3651</v>
      </c>
      <c r="B1079" s="405" t="s">
        <v>3651</v>
      </c>
      <c r="C1079" s="343">
        <v>2.1</v>
      </c>
      <c r="D1079" s="410">
        <v>6.9426500000000004</v>
      </c>
      <c r="E1079" s="411">
        <v>-7.9491800000000001</v>
      </c>
      <c r="F1079" s="406" t="b">
        <f>IF(ISBLANK(FarmUnit[[#This Row],[1. Identifiant interne d’exploitation agricole*]]),"",IF(ISERROR(MATCH(FarmUnit[[#This Row],[1. Identifiant interne d’exploitation agricole*]],GroupMember[1. Identifiant interne d’exploitation agricole*],0)),FALSE,TRUE))</f>
        <v>1</v>
      </c>
      <c r="G1079" s="407">
        <f t="shared" si="39"/>
        <v>6.9426500000000004</v>
      </c>
      <c r="H1079" s="407">
        <f t="shared" si="40"/>
        <v>-7.9491800000000001</v>
      </c>
      <c r="I1079" s="408" t="str">
        <f t="array" ref="I1079">IF(ISBLANK(C1079),"",IF(C1079=MAX(IF(FarmUnit[1. Identifiant interne d’exploitation agricole*]=A1079,FarmUnit[3. Superficie de l’unité agricole (ha)*])),"!","-"))</f>
        <v>!</v>
      </c>
      <c r="J1079" s="409" t="str">
        <f ca="1">IFERROR(CONCATENATE(VLOOKUP(A1079,GM_Table,12,FALSE)," ",(VLOOKUP(A1079,GM_Table,13,FALSE))),"")</f>
        <v/>
      </c>
    </row>
    <row r="1080" spans="1:10" ht="15.75" thickBot="1" x14ac:dyDescent="0.25">
      <c r="A1080" s="412" t="s">
        <v>3652</v>
      </c>
      <c r="B1080" s="412" t="s">
        <v>3652</v>
      </c>
      <c r="C1080" s="188">
        <v>1.3</v>
      </c>
      <c r="D1080" s="463">
        <v>6.9226599999999996</v>
      </c>
      <c r="E1080" s="464">
        <v>-7.9402699999999999</v>
      </c>
      <c r="F1080" s="398" t="b">
        <f>IF(ISBLANK(FarmUnit[[#This Row],[1. Identifiant interne d’exploitation agricole*]]),"",IF(ISERROR(MATCH(FarmUnit[[#This Row],[1. Identifiant interne d’exploitation agricole*]],GroupMember[1. Identifiant interne d’exploitation agricole*],0)),FALSE,TRUE))</f>
        <v>1</v>
      </c>
      <c r="G1080" s="391">
        <f t="shared" si="39"/>
        <v>6.9226599999999996</v>
      </c>
      <c r="H1080" s="391">
        <f t="shared" si="40"/>
        <v>-7.9402699999999999</v>
      </c>
      <c r="I1080" s="399" t="str">
        <f t="array" ref="I1080">IF(ISBLANK(C1080),"",IF(C1080=MAX(IF(FarmUnit[1. Identifiant interne d’exploitation agricole*]=A1080,FarmUnit[3. Superficie de l’unité agricole (ha)*])),"!","-"))</f>
        <v>!</v>
      </c>
      <c r="J1080" s="373" t="str">
        <f ca="1">IFERROR(CONCATENATE(VLOOKUP(A1080,GM_Table,12,FALSE)," ",(VLOOKUP(A1080,GM_Table,13,FALSE))),"")</f>
        <v/>
      </c>
    </row>
    <row r="1081" spans="1:10" s="404" customFormat="1" ht="15.75" thickBot="1" x14ac:dyDescent="0.25">
      <c r="A1081" s="503" t="s">
        <v>3653</v>
      </c>
      <c r="B1081" s="503" t="s">
        <v>3653</v>
      </c>
      <c r="C1081" s="343">
        <v>2.2999999999999998</v>
      </c>
      <c r="D1081" s="410">
        <v>6.9408799999999999</v>
      </c>
      <c r="E1081" s="411">
        <v>-7.9269400000000001</v>
      </c>
      <c r="F1081" s="489" t="b">
        <f>IF(ISBLANK(FarmUnit[[#This Row],[1. Identifiant interne d’exploitation agricole*]]),"",IF(ISERROR(MATCH(FarmUnit[[#This Row],[1. Identifiant interne d’exploitation agricole*]],GroupMember[1. Identifiant interne d’exploitation agricole*],0)),FALSE,TRUE))</f>
        <v>1</v>
      </c>
      <c r="G1081" s="504">
        <f t="shared" si="39"/>
        <v>6.9408799999999999</v>
      </c>
      <c r="H1081" s="504">
        <f t="shared" si="40"/>
        <v>-7.9269400000000001</v>
      </c>
      <c r="I1081" s="505" t="str">
        <f t="array" ref="I1081">IF(ISBLANK(C1081),"",IF(C1081=MAX(IF(FarmUnit[1. Identifiant interne d’exploitation agricole*]=A1081,FarmUnit[3. Superficie de l’unité agricole (ha)*])),"!","-"))</f>
        <v>!</v>
      </c>
      <c r="J1081" s="490" t="str">
        <f ca="1">IFERROR(CONCATENATE(VLOOKUP(A1081,GM_Table,12,FALSE)," ",(VLOOKUP(A1081,GM_Table,13,FALSE))),"")</f>
        <v/>
      </c>
    </row>
  </sheetData>
  <protectedRanges>
    <protectedRange algorithmName="SHA-512" hashValue="RS81NFiMR1QsRpz2rzEn4gqVf2ABO2eVoQOiH3t6WiBj63ekAOrY6QDJ72EVm5su8oqQ/ykNrHTnv7G2cuGd9g==" saltValue="uaJ84xAAjRl5R2j/Q/L0bg==" spinCount="100000" sqref="G1:J1 G3:J1000" name="DataValFU"/>
    <protectedRange algorithmName="SHA-512" hashValue="RS81NFiMR1QsRpz2rzEn4gqVf2ABO2eVoQOiH3t6WiBj63ekAOrY6QDJ72EVm5su8oqQ/ykNrHTnv7G2cuGd9g==" saltValue="uaJ84xAAjRl5R2j/Q/L0bg==" spinCount="100000" sqref="G2:J2" name="DataValFU_1"/>
    <protectedRange sqref="D3:E22" name="AllowUserToFilter_1_1_1"/>
    <protectedRange sqref="D23:E23" name="AllowUserToFilter_1_1_1_1"/>
    <protectedRange sqref="D24:E24" name="AllowUserToFilter_1_1_1_2"/>
    <protectedRange sqref="D25:E25" name="AllowUserToFilter_1_1_1_3"/>
    <protectedRange sqref="D26:E26" name="AllowUserToFilter_1_1_1_4"/>
    <protectedRange sqref="D27:E27" name="AllowUserToFilter_1_1_1_5"/>
    <protectedRange sqref="D28:E28" name="AllowUserToFilter_1_1_1_6"/>
    <protectedRange sqref="D29:E32" name="AllowUserToFilter_1_1_1_7"/>
    <protectedRange sqref="D33:E33" name="AllowUserToFilter_1_1_1_8"/>
    <protectedRange sqref="D37:E37" name="AllowUserToFilter_6_1"/>
    <protectedRange sqref="D38:E53 D34:E36 D54 D55:E65" name="AllowUserToFilter_1_1_1_9"/>
    <protectedRange sqref="E54" name="AllowUserToFilter_1_1_1_2_1"/>
    <protectedRange sqref="D66:E66" name="AllowUserToFilter_1_1_1_10"/>
    <protectedRange sqref="D67:E73" name="AllowUserToFilter_1_1_1_11"/>
    <protectedRange sqref="D74:E74" name="AllowUserToFilter_1_1_1_13"/>
    <protectedRange sqref="D75:E75" name="AllowUserToFilter_1_1_1_14"/>
    <protectedRange sqref="D76:E76" name="AllowUserToFilter_1_1_1_15"/>
    <protectedRange sqref="D77:E77" name="AllowUserToFilter_1_1_1_16"/>
    <protectedRange sqref="D78:E78" name="AllowUserToFilter_1_1_1_17"/>
    <protectedRange sqref="D79:E79" name="AllowUserToFilter_1_1_1_18"/>
    <protectedRange sqref="D80:E80" name="AllowUserToFilter_1_1_1_19"/>
    <protectedRange sqref="D81:E81" name="AllowUserToFilter_1_1_1_20"/>
    <protectedRange sqref="D82:E85" name="AllowUserToFilter_1_1_1_21"/>
    <protectedRange sqref="D86:E86" name="AllowUserToFilter_1_1_1_22"/>
    <protectedRange sqref="D87:E92" name="AllowUserToFilter_1_1_1_23"/>
    <protectedRange sqref="D93:E93" name="AllowUserToFilter_1_1_1_24"/>
    <protectedRange sqref="D94:E95" name="AllowUserToFilter_1_1_1_25"/>
    <protectedRange sqref="D96:E96" name="AllowUserToFilter_6_1_1"/>
    <protectedRange sqref="D97:E100" name="AllowUserToFilter_1_1_1_26"/>
    <protectedRange sqref="D101:E101" name="AllowUserToFilter_1_1_1_27"/>
    <protectedRange sqref="D102:E103" name="AllowUserToFilter_1_1_1_28"/>
    <protectedRange sqref="D106:E106" name="AllowUserToFilter_6_1_2"/>
    <protectedRange sqref="D104:E105" name="AllowUserToFilter_1_1_1_29"/>
    <protectedRange sqref="D107:E117" name="AllowUserToFilter_1_1_1_30"/>
    <protectedRange sqref="D118:E141" name="AllowUserToFilter_1_1_1_31"/>
    <protectedRange sqref="D142:E178" name="AllowUserToFilter_1_1_1_32"/>
    <protectedRange sqref="D179:E275" name="AllowUserToFilter_1_1_1_33"/>
    <protectedRange sqref="D276:E347" name="AllowUserToFilter_1_1_1_34"/>
    <protectedRange sqref="D348:E351" name="AllowUserToFilter_1_1_1_35"/>
    <protectedRange sqref="D352:E352" name="AllowUserToFilter_1_1_1_36"/>
    <protectedRange sqref="D353:E357" name="AllowUserToFilter_1_1_1_37"/>
    <protectedRange sqref="D423:E423 D435:E435" name="AllowUserToFilter_6_1_3"/>
    <protectedRange sqref="D358:E422 D436:E502 D424:E434" name="AllowUserToFilter_1_1_1_38"/>
    <protectedRange sqref="D504:E504" name="AllowUserToFilter_6_1_4"/>
    <protectedRange sqref="D503:E503 D505:E505" name="AllowUserToFilter_1_1_1_39"/>
    <protectedRange sqref="D506:E512" name="AllowUserToFilter_1_1_1_40"/>
    <protectedRange sqref="D513:E517" name="AllowUserToFilter_1_1_1_41"/>
    <protectedRange sqref="D518:E518" name="AllowUserToFilter_1_1_1_42"/>
    <protectedRange sqref="D519:E519" name="AllowUserToFilter_1_1_1_43"/>
    <protectedRange sqref="D520:E520" name="AllowUserToFilter_1_1_1_44"/>
    <protectedRange sqref="D521:E531" name="AllowUserToFilter_1_1_1_45"/>
    <protectedRange sqref="D533:E534 D538:E538" name="AllowUserToFilter_6_1_5"/>
    <protectedRange sqref="D532:E532 D535:E537 D539:E555" name="AllowUserToFilter_1_1_1_46"/>
    <protectedRange sqref="D561:E561" name="AllowUserToFilter_6_1_6"/>
    <protectedRange sqref="D556:E560 D562:E564" name="AllowUserToFilter_1_1_1_47"/>
    <protectedRange sqref="D565:E565" name="AllowUserToFilter_1_1_1_48"/>
    <protectedRange sqref="D575:E575" name="AllowUserToFilter_6_1_7"/>
    <protectedRange sqref="D576:E585 D566:E574" name="AllowUserToFilter_1_1_1_49"/>
    <protectedRange sqref="D586:E588" name="AllowUserToFilter_1_1_1_50"/>
    <protectedRange sqref="D589:E591" name="AllowUserToFilter_1_1_1_51"/>
    <protectedRange sqref="D624:E624 D618:E619" name="AllowUserToFilter_6_1_8"/>
    <protectedRange sqref="D625:E630 D592:E617 D620:E623" name="AllowUserToFilter_1_1_1_52"/>
    <protectedRange sqref="D637:E650" name="AllowUserToFilter_6_1_9"/>
    <protectedRange sqref="D631:E636" name="AllowUserToFilter_1_1_1_53"/>
    <protectedRange sqref="D651:E670" name="AllowUserToFilter_6_1_10"/>
    <protectedRange sqref="D671:E677" name="AllowUserToFilter_6_1_11"/>
    <protectedRange sqref="D678:E685" name="AllowUserToFilter_6_1_12"/>
    <protectedRange sqref="A3:B22" name="AllowUserToFilter_1_1"/>
    <protectedRange sqref="A23:B23" name="AllowUserToFilter_4_1"/>
    <protectedRange sqref="A24:B24" name="AllowUserToFilter_6_2"/>
    <protectedRange sqref="A25:B25" name="AllowUserToFilter_8_1"/>
    <protectedRange sqref="A26:B26" name="AllowUserToFilter_11_1"/>
    <protectedRange sqref="A27:B28" name="AllowUserToFilter_12_2"/>
    <protectedRange sqref="A29:B32" name="AllowUserToFilter_13"/>
    <protectedRange sqref="A33:B33" name="AllowUserToFilter_13_1"/>
    <protectedRange sqref="A34:B65" name="AllowUserToFilter_14_1"/>
    <protectedRange sqref="A66:B66" name="AllowUserToFilter_15_1"/>
    <protectedRange sqref="A67:B73" name="AllowUserToFilter_16_1"/>
    <protectedRange sqref="A74:B74" name="AllowUserToFilter_14_1_1"/>
    <protectedRange sqref="A75:B75" name="AllowUserToFilter_17_1"/>
    <protectedRange sqref="A76:B688" name="AllowUserToFilter_18_1"/>
  </protectedRanges>
  <mergeCells count="2">
    <mergeCell ref="A1:E1"/>
    <mergeCell ref="G1:J1"/>
  </mergeCells>
  <phoneticPr fontId="19" type="noConversion"/>
  <conditionalFormatting sqref="I3:I1081">
    <cfRule type="cellIs" dxfId="42" priority="29" operator="equal">
      <formula>"!"</formula>
    </cfRule>
  </conditionalFormatting>
  <conditionalFormatting sqref="H3:H1081">
    <cfRule type="cellIs" dxfId="41" priority="16" operator="lessThan">
      <formula>-180</formula>
    </cfRule>
    <cfRule type="cellIs" dxfId="40" priority="26" operator="greaterThan">
      <formula>180</formula>
    </cfRule>
    <cfRule type="cellIs" dxfId="39" priority="27" operator="between">
      <formula>-180</formula>
      <formula>180</formula>
    </cfRule>
    <cfRule type="cellIs" dxfId="38" priority="28" operator="equal">
      <formula>0</formula>
    </cfRule>
  </conditionalFormatting>
  <conditionalFormatting sqref="G3:G1081">
    <cfRule type="cellIs" dxfId="37" priority="2" operator="between">
      <formula>-30</formula>
      <formula>30</formula>
    </cfRule>
    <cfRule type="cellIs" dxfId="36" priority="13" operator="lessThan">
      <formula>-90</formula>
    </cfRule>
    <cfRule type="cellIs" dxfId="35" priority="15" operator="greaterThan">
      <formula>90</formula>
    </cfRule>
    <cfRule type="cellIs" dxfId="34" priority="30" operator="lessThan">
      <formula>-30</formula>
    </cfRule>
    <cfRule type="cellIs" dxfId="33" priority="65" operator="greaterThan">
      <formula>30</formula>
    </cfRule>
  </conditionalFormatting>
  <conditionalFormatting sqref="F3:F1081">
    <cfRule type="containsText" dxfId="32" priority="1" operator="containsText" text="FALSE">
      <formula>NOT(ISERROR(SEARCH("FALSE",F3)))</formula>
    </cfRule>
  </conditionalFormatting>
  <dataValidations count="9">
    <dataValidation errorStyle="information" allowBlank="1" showInputMessage="1" showErrorMessage="1" sqref="G3:I1081" xr:uid="{00000000-0002-0000-0300-000000000000}"/>
    <dataValidation allowBlank="1" showInputMessage="1" showErrorMessage="1" promptTitle="Attention" prompt="It is obligatory to provide one GPS point for the largest farm unit of each group member!_x000a_Please use a number format, 4 or more decimals. _x000a_XX.XXXX or XX,XXXX_x000a_If you use the wrong format, the columns on the right will be marked in red." sqref="E2" xr:uid="{00000000-0002-0000-0300-000001000000}"/>
    <dataValidation allowBlank="1" showInputMessage="1" showErrorMessage="1" promptTitle="-90 to 90" prompt="If the cell is red, it is incorrect, please correct the data._x000a__x000a_Check that you are using the correct decimal ( , or . )_x000a_If the cell shows too many decimal &quot;0&quot;, please make sure to have more precise data._x000a_" sqref="G2" xr:uid="{00000000-0002-0000-0300-000002000000}"/>
    <dataValidation allowBlank="1" showInputMessage="1" showErrorMessage="1" promptTitle="-180 to 180" prompt="If the cell is red, please correct the data._x000a_Please make sure you are using the right decimal  ( , or . )_x000a_If you see too many decimal &quot;0&quot;, please input more precise data." sqref="H2" xr:uid="{00000000-0002-0000-0300-000003000000}"/>
    <dataValidation allowBlank="1" showInputMessage="1" showErrorMessage="1" promptTitle="! = largest farm unit" prompt="If a farm has multiple farm units, the geolocation shall be provided for the largest farm unit with the certified crop. (Farm requirement 1.2.12)_x000a__x000a_! indicates the largest farm unit for the same group member ID. It may not contain certified crop._x000a_? other" sqref="I2" xr:uid="{00000000-0002-0000-0300-000004000000}"/>
    <dataValidation allowBlank="1" showInputMessage="1" showErrorMessage="1" promptTitle="Mandatory value" prompt="Please make sure to use the same ID presented on tab 1. Group member, column 1._x000a_If a member has more than one farm unit of cert- prod repeat the ID as many lines as there are farm units. Please check the requirements on geodata for your upcoming audit." sqref="A2" xr:uid="{00000000-0002-0000-0300-000005000000}"/>
    <dataValidation allowBlank="1" showInputMessage="1" showErrorMessage="1" promptTitle="Mandatory Information" prompt="The area of the specific farm unit. _x000a_The sum of all Farm Units of a group member should not be larger than the Total Farm Area in tab 1. Group Member. _x000a__x000a_Use format cell as &quot;number&quot;" sqref="C2" xr:uid="{00000000-0002-0000-0300-000006000000}"/>
    <dataValidation allowBlank="1" showInputMessage="1" showErrorMessage="1" promptTitle="Mandatory value" prompt="Please indicate here the farm unit ID that you use in your internal management system, e.g. when collecting geolocation data." sqref="B2" xr:uid="{00000000-0002-0000-0300-000007000000}"/>
    <dataValidation allowBlank="1" showInputMessage="1" showErrorMessage="1" promptTitle="Attention" prompt="IIt is obligatory to provide one GPS point for the largest farm unit of each group member!_x000a_Please use a number format, 4 or more decimals. _x000a_XX.XXXX or XX,XXXX_x000a_If you use the wrong format, the columns on the right will be marked in red." sqref="D2" xr:uid="{00000000-0002-0000-0300-000008000000}"/>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2:F104"/>
  <sheetViews>
    <sheetView showGridLines="0" zoomScale="80" zoomScaleNormal="80" workbookViewId="0">
      <selection activeCell="D82" sqref="D82"/>
    </sheetView>
  </sheetViews>
  <sheetFormatPr defaultColWidth="8.7421875" defaultRowHeight="13.5" x14ac:dyDescent="0.15"/>
  <cols>
    <col min="1" max="1" width="43.44921875" style="10" customWidth="1"/>
    <col min="2" max="2" width="45.73828125" style="10" customWidth="1"/>
    <col min="3" max="3" width="25.01953125" style="41" customWidth="1"/>
    <col min="4" max="4" width="41.296875" style="10" customWidth="1"/>
    <col min="5" max="5" width="41.296875" style="37" customWidth="1"/>
    <col min="6" max="6" width="20.04296875" style="10" customWidth="1"/>
    <col min="7" max="7" width="16.94921875" style="10" customWidth="1"/>
    <col min="8" max="18" width="50.71484375" style="10" bestFit="1" customWidth="1"/>
    <col min="19" max="19" width="36.3203125" style="10" bestFit="1" customWidth="1"/>
    <col min="20" max="20" width="55.2890625" style="10" bestFit="1" customWidth="1"/>
    <col min="21" max="28" width="69.546875" style="10" bestFit="1" customWidth="1"/>
    <col min="29" max="29" width="32.015625" style="10" bestFit="1" customWidth="1"/>
    <col min="30" max="30" width="74.25390625" style="10" bestFit="1" customWidth="1"/>
    <col min="31" max="16384" width="8.7421875" style="10"/>
  </cols>
  <sheetData>
    <row r="2" spans="1:6" s="78" customFormat="1" ht="22.5" thickBot="1" x14ac:dyDescent="0.35">
      <c r="A2" s="77" t="s">
        <v>5</v>
      </c>
      <c r="C2" s="79"/>
      <c r="E2" s="80"/>
    </row>
    <row r="3" spans="1:6" s="78" customFormat="1" ht="21.75" thickTop="1" x14ac:dyDescent="0.25">
      <c r="A3" s="78" t="s">
        <v>6</v>
      </c>
      <c r="C3" s="79"/>
      <c r="E3" s="80"/>
    </row>
    <row r="4" spans="1:6" s="78" customFormat="1" ht="46.15" customHeight="1" x14ac:dyDescent="0.25">
      <c r="A4" s="545" t="s">
        <v>7</v>
      </c>
      <c r="B4" s="545"/>
      <c r="C4" s="545"/>
      <c r="D4" s="545"/>
      <c r="E4" s="545"/>
    </row>
    <row r="6" spans="1:6" ht="18" x14ac:dyDescent="0.2">
      <c r="A6" s="14" t="s">
        <v>8</v>
      </c>
    </row>
    <row r="7" spans="1:6" ht="27.75" x14ac:dyDescent="0.15">
      <c r="A7" s="16" t="s">
        <v>191</v>
      </c>
      <c r="B7" s="16" t="s">
        <v>192</v>
      </c>
      <c r="C7" s="42" t="s">
        <v>193</v>
      </c>
      <c r="D7" s="16" t="s">
        <v>194</v>
      </c>
      <c r="E7" s="38" t="s">
        <v>195</v>
      </c>
      <c r="F7" s="16" t="s">
        <v>196</v>
      </c>
    </row>
    <row r="8" spans="1:6" s="71" customFormat="1" ht="43.5" x14ac:dyDescent="0.2">
      <c r="A8" s="81" t="s">
        <v>197</v>
      </c>
      <c r="B8" s="82" t="s">
        <v>198</v>
      </c>
      <c r="C8" s="83">
        <f t="array" ref="C8">SUMPRODUCT((GroupMember[1. Identifiant interne d’exploitation agricole*]&lt;&gt;"")/COUNTIF(GroupMember[1. Identifiant interne d’exploitation agricole*],GroupMember[1. Identifiant interne d’exploitation agricole*]&amp;""))</f>
        <v>1079</v>
      </c>
      <c r="D8" s="84" t="s">
        <v>233</v>
      </c>
      <c r="E8" s="85"/>
      <c r="F8" s="86"/>
    </row>
    <row r="9" spans="1:6" s="71" customFormat="1" ht="43.5" x14ac:dyDescent="0.2">
      <c r="A9" s="81"/>
      <c r="B9" s="82" t="s">
        <v>199</v>
      </c>
      <c r="C9" s="87" t="b">
        <f t="array" ref="C9">IF(SUMPRODUCT((GroupMember[1. Identifiant interne d’exploitation agricole*]&lt;&gt;"")/COUNTIF(GroupMember[1. Identifiant interne d’exploitation agricole*],GroupMember[1. Identifiant interne d’exploitation agricole*]&amp;""))=COUNTA(GroupMember[1. Identifiant interne d’exploitation agricole*]),TRUE,FALSE)</f>
        <v>1</v>
      </c>
      <c r="D9" s="84" t="s">
        <v>234</v>
      </c>
      <c r="E9" s="88" t="str">
        <f t="array" ref="E9">IF(ISNA(MATCH(TRUE,(COUNTIF(GroupMember[1. Identifiant interne d’exploitation agricole*],GroupMember[1. Identifiant interne d’exploitation agricole*]))&gt;1,0)),Translations!$B$9, "A"&amp;MATCH(TRUE,(COUNTIF(GroupMember[1. Identifiant interne d’exploitation agricole*],GroupMember[1. Identifiant interne d’exploitation agricole*]))&gt;1,0)+2)</f>
        <v>Il n’y a aucun doublon.</v>
      </c>
      <c r="F9" s="89" t="str">
        <f t="array" aca="1" ref="F9" ca="1">IF(E9=Translations!$B$9,HYPERLINK("#"&amp;CELL("address"),Translations!B8),HYPERLINK("#'1. Group member'!"&amp;E9,Translations!$B$10))</f>
        <v>Non applicable.</v>
      </c>
    </row>
    <row r="10" spans="1:6" s="71" customFormat="1" ht="129.75" x14ac:dyDescent="0.2">
      <c r="A10" s="81" t="s">
        <v>101</v>
      </c>
      <c r="B10" s="84" t="s">
        <v>200</v>
      </c>
      <c r="C10" s="88" t="b">
        <f t="array" ref="C10">AND(ISBLANK(GroupMember[1. Identifiant interne d’exploitation agricole*])=ISBLANK(GroupMember[2. Identifiant national d’exploitation agricole**]))</f>
        <v>0</v>
      </c>
      <c r="D10" s="84" t="s">
        <v>235</v>
      </c>
      <c r="E10" s="88" t="str">
        <f t="array" ref="E10">IF(ISNA(MATCH(FALSE,(ISBLANK(GroupMember[1. Identifiant interne d’exploitation agricole*])=ISBLANK(GroupMember[2. Identifiant national d’exploitation agricole**])),0)),Translations!$B$12, "B"&amp;MATCH(FALSE,(ISBLANK(GroupMember[1. Identifiant interne d’exploitation agricole*])=ISBLANK(GroupMember[2. Identifiant national d’exploitation agricole**])),0)+2)</f>
        <v>B1001</v>
      </c>
      <c r="F10" s="89" t="str">
        <f t="array" aca="1" ref="F10" ca="1">IF(E10=Translations!$B$12,HYPERLINK("#"&amp;CELL("address"),Translations!$B$8),HYPERLINK("#'1. Group member'!"&amp;E10,Translations!$B$11))</f>
        <v>Emplacement de la première cellule vide.</v>
      </c>
    </row>
    <row r="11" spans="1:6" s="71" customFormat="1" ht="72" x14ac:dyDescent="0.2">
      <c r="A11" s="81" t="s">
        <v>102</v>
      </c>
      <c r="B11" s="84" t="s">
        <v>201</v>
      </c>
      <c r="C11" s="88" t="b">
        <f t="array" ref="C11">AND(ISBLANK(GroupMember[1. Identifiant interne d’exploitation agricole*])=ISBLANK(GroupMember[3. Identifiant interne d’exploitation agricole*]))</f>
        <v>1</v>
      </c>
      <c r="D11" s="84" t="s">
        <v>235</v>
      </c>
      <c r="E11" s="88" t="str">
        <f t="array" ref="E11">IF(ISNA(MATCH(FALSE,(ISBLANK(GroupMember[1. Identifiant interne d’exploitation agricole*])=ISBLANK(GroupMember[3. Identifiant interne d’exploitation agricole*])),0)),Translations!$B$12, "C"&amp;MATCH(FALSE,(ISBLANK(GroupMember[1. Identifiant interne d’exploitation agricole*])=ISBLANK(GroupMember[3. Identifiant interne d’exploitation agricole*])),0)+2)</f>
        <v>Il n’y a aucune cellule vide.</v>
      </c>
      <c r="F11" s="89" t="str">
        <f t="array" aca="1" ref="F11" ca="1">IF(E11=Translations!$B$12,HYPERLINK("#"&amp;CELL("address"),Translations!$B$8),HYPERLINK("#'1. Group member'!"&amp;E11,Translations!$B$11))</f>
        <v>Non applicable.</v>
      </c>
    </row>
    <row r="12" spans="1:6" s="71" customFormat="1" ht="43.5" x14ac:dyDescent="0.2">
      <c r="A12" s="81"/>
      <c r="B12" s="84" t="s">
        <v>202</v>
      </c>
      <c r="C12" s="87" t="b">
        <f t="array" ref="C12">IF(SUMPRODUCT((GroupMember[3. Identifiant interne d’exploitation agricole*]&lt;&gt;"")/COUNTIF(GroupMember[3. Identifiant interne d’exploitation agricole*],GroupMember[3. Identifiant interne d’exploitation agricole*]&amp;""))=COUNTA(GroupMember[3. Identifiant interne d’exploitation agricole*]),TRUE,FALSE)</f>
        <v>1</v>
      </c>
      <c r="D12" s="84" t="s">
        <v>234</v>
      </c>
      <c r="E12" s="88" t="str">
        <f t="array" ref="E12">IF(ISNA(MATCH(TRUE,(COUNTIF(GroupMember[3. Identifiant interne d’exploitation agricole*],GroupMember[3. Identifiant interne d’exploitation agricole*]))&gt;1,0)),Translations!$B$9, "A"&amp;MATCH(TRUE,(COUNTIF(GroupMember[3. Identifiant interne d’exploitation agricole*],GroupMember[3. Identifiant interne d’exploitation agricole*]))&gt;1,0)+2)</f>
        <v>Il n’y a aucun doublon.</v>
      </c>
      <c r="F12" s="89" t="str">
        <f t="array" aca="1" ref="F12" ca="1">IF(E12=Translations!$B$9,HYPERLINK("#"&amp;CELL("address"),Translations!$B$8),HYPERLINK("#'1. Group member'!"&amp;E12,Translations!$B$10))</f>
        <v>Non applicable.</v>
      </c>
    </row>
    <row r="13" spans="1:6" s="71" customFormat="1" ht="57.75" x14ac:dyDescent="0.2">
      <c r="A13" s="81" t="s">
        <v>4</v>
      </c>
      <c r="B13" s="84" t="s">
        <v>203</v>
      </c>
      <c r="C13" s="88" t="b">
        <f t="array" ref="C13">AND(ISBLANK(GroupMember[1. Identifiant interne d’exploitation agricole*])=ISBLANK(GroupMember[4. Village*]))</f>
        <v>0</v>
      </c>
      <c r="D13" s="84" t="s">
        <v>235</v>
      </c>
      <c r="E13" s="88" t="str">
        <f t="array" ref="E13">IF(ISNA(MATCH(FALSE,(ISBLANK(GroupMember[1. Identifiant interne d’exploitation agricole*])=ISBLANK(GroupMember[4. Village*])),0)),Translations!$B$12, "D"&amp;MATCH(FALSE,(ISBLANK(GroupMember[1. Identifiant interne d’exploitation agricole*])=ISBLANK(GroupMember[4. Village*])),0)+2)</f>
        <v>D1022</v>
      </c>
      <c r="F13" s="89" t="str">
        <f t="array" aca="1" ref="F13" ca="1">IF(E13=Translations!$B$12,HYPERLINK("#"&amp;CELL("address"),Translations!$B$8),HYPERLINK("#'1. Group member'!"&amp;E13,Translations!$B$11))</f>
        <v>Emplacement de la première cellule vide.</v>
      </c>
    </row>
    <row r="14" spans="1:6" s="71" customFormat="1" ht="16.5" x14ac:dyDescent="0.2">
      <c r="A14" s="81" t="s">
        <v>103</v>
      </c>
      <c r="B14" s="84" t="s">
        <v>204</v>
      </c>
      <c r="C14" s="85"/>
      <c r="D14" s="90"/>
      <c r="E14" s="91"/>
      <c r="F14" s="86"/>
    </row>
    <row r="15" spans="1:6" s="71" customFormat="1" ht="57.75" x14ac:dyDescent="0.2">
      <c r="A15" s="81" t="s">
        <v>104</v>
      </c>
      <c r="B15" s="84" t="s">
        <v>205</v>
      </c>
      <c r="C15" s="88" t="b">
        <f t="array" ref="C15">AND(ISBLANK(GroupMember[1. Identifiant interne d’exploitation agricole*])=ISBLANK(GroupMember[6. District/État/Province*]))</f>
        <v>1</v>
      </c>
      <c r="D15" s="84" t="s">
        <v>235</v>
      </c>
      <c r="E15" s="88" t="str">
        <f t="array" ref="E15">IF(ISNA(MATCH(FALSE,(ISBLANK(GroupMember[1. Identifiant interne d’exploitation agricole*])=ISBLANK(GroupMember[6. District/État/Province*])),0)),Translations!$B$12, "F"&amp;MATCH(FALSE,(ISBLANK(GroupMember[1. Identifiant interne d’exploitation agricole*])=ISBLANK(GroupMember[6. District/État/Province*])),0)+2)</f>
        <v>Il n’y a aucune cellule vide.</v>
      </c>
      <c r="F15" s="89" t="str">
        <f t="array" aca="1" ref="F15" ca="1">IF(E15=Translations!$B$12,HYPERLINK("#"&amp;CELL("address"),Translations!$B$8),HYPERLINK("#'1. Group member'!"&amp;E15,Translations!$B$11))</f>
        <v>Non applicable.</v>
      </c>
    </row>
    <row r="16" spans="1:6" s="71" customFormat="1" ht="16.5" x14ac:dyDescent="0.2">
      <c r="A16" s="81" t="s">
        <v>105</v>
      </c>
      <c r="B16" s="84" t="s">
        <v>204</v>
      </c>
      <c r="C16" s="92"/>
      <c r="D16" s="90"/>
      <c r="E16" s="91"/>
      <c r="F16" s="86"/>
    </row>
    <row r="17" spans="1:6" s="71" customFormat="1" ht="72" x14ac:dyDescent="0.2">
      <c r="A17" s="81" t="s">
        <v>106</v>
      </c>
      <c r="B17" s="84" t="s">
        <v>206</v>
      </c>
      <c r="C17" s="88" t="b">
        <f t="array" ref="C17">AND(ISBLANK(GroupMember[1. Identifiant interne d’exploitation agricole*])=ISBLANK(GroupMember[8. Superficie totale de l’exploitation agricole (ha)*]))</f>
        <v>1</v>
      </c>
      <c r="D17" s="84" t="s">
        <v>235</v>
      </c>
      <c r="E17" s="88" t="str">
        <f t="array" ref="E17">IF(ISNA(MATCH(FALSE,(ISBLANK(GroupMember[1. Identifiant interne d’exploitation agricole*])=ISBLANK(GroupMember[8. Superficie totale de l’exploitation agricole (ha)*])),0)),Translations!$B$12, "H"&amp;MATCH(FALSE,(ISBLANK(GroupMember[1. Identifiant interne d’exploitation agricole*])=ISBLANK(GroupMember[8. Superficie totale de l’exploitation agricole (ha)*])),0)+2)</f>
        <v>Il n’y a aucune cellule vide.</v>
      </c>
      <c r="F17" s="89" t="str">
        <f t="array" aca="1" ref="F17" ca="1">IF(E17=Translations!$B$12,HYPERLINK("#"&amp;CELL("address"),Translations!$B$8),HYPERLINK("#'1. Group member'!"&amp;E17,Translations!$B$11))</f>
        <v>Non applicable.</v>
      </c>
    </row>
    <row r="18" spans="1:6" s="71" customFormat="1" ht="29.25" x14ac:dyDescent="0.2">
      <c r="A18" s="81"/>
      <c r="B18" s="84" t="s">
        <v>207</v>
      </c>
      <c r="C18" s="88" t="b">
        <f t="array" ref="C18">AND(ISNUMBER(GroupMember[8. Superficie totale de l’exploitation agricole (ha)*])+ISBLANK(GroupMember[8. Superficie totale de l’exploitation agricole (ha)*]))</f>
        <v>1</v>
      </c>
      <c r="D18" s="84" t="s">
        <v>236</v>
      </c>
      <c r="E18" s="88" t="str">
        <f t="array" ref="E18">IF(AND(ISNUMBER(GroupMember[8. Superficie totale de l’exploitation agricole (ha)*])+ISBLANK(GroupMember[8. Superficie totale de l’exploitation agricole (ha)*])),Translations!$B$13, "H"&amp;MATCH(0,(ISNUMBER(GroupMember[8. Superficie totale de l’exploitation agricole (ha)*])+ISBLANK(GroupMember[8. Superficie totale de l’exploitation agricole (ha)*])),0)+2)</f>
        <v>Toutes les cellules sont des nombres</v>
      </c>
      <c r="F18" s="89" t="str">
        <f t="array" aca="1" ref="F18" ca="1">IF(E18=Translations!$B$13,HYPERLINK("#"&amp;CELL("address"),Translations!$B$8),HYPERLINK("#'1. Group member'!"&amp;E18,Translations!$B$14))</f>
        <v>Non applicable.</v>
      </c>
    </row>
    <row r="19" spans="1:6" s="71" customFormat="1" ht="57.75" x14ac:dyDescent="0.2">
      <c r="A19" s="81" t="s">
        <v>107</v>
      </c>
      <c r="B19" s="84" t="s">
        <v>208</v>
      </c>
      <c r="C19" s="88" t="b">
        <f t="array" ref="C19">AND(ISBLANK(GroupMember[1. Identifiant interne d’exploitation agricole*])=ISBLANK(GroupMember[9. Type d’exploitation agricole*]))</f>
        <v>1</v>
      </c>
      <c r="D19" s="84" t="s">
        <v>235</v>
      </c>
      <c r="E19" s="88" t="str">
        <f t="array" ref="E19">IF(ISNA(MATCH(FALSE,(ISBLANK(GroupMember[1. Identifiant interne d’exploitation agricole*])=ISBLANK(GroupMember[9. Type d’exploitation agricole*])),0)),Translations!$B$12, "I"&amp;MATCH(FALSE,(ISBLANK(GroupMember[1. Identifiant interne d’exploitation agricole*])=ISBLANK(GroupMember[9. Type d’exploitation agricole*])),0)+2)</f>
        <v>Il n’y a aucune cellule vide.</v>
      </c>
      <c r="F19" s="89" t="str">
        <f t="array" aca="1" ref="F19" ca="1">IF(E19=Translations!$B$12,HYPERLINK("#"&amp;CELL("address"),Translations!$B$8),HYPERLINK("#'1. Group member'!"&amp;E19,Translations!$B$11))</f>
        <v>Non applicable.</v>
      </c>
    </row>
    <row r="20" spans="1:6" s="71" customFormat="1" ht="43.5" x14ac:dyDescent="0.2">
      <c r="A20" s="81"/>
      <c r="B20" s="84" t="s">
        <v>209</v>
      </c>
      <c r="C20" s="88" t="b">
        <f t="array" ref="C20">AND(ISNUMBER(SEARCH("Small farm",GroupMember[9. Type d’exploitation agricole*]))+ISNUMBER(SEARCH("Large farm",GroupMember[9. Type d’exploitation agricole*]))+ISBLANK(GroupMember[9. Type d’exploitation agricole*]))</f>
        <v>0</v>
      </c>
      <c r="D20" s="84" t="s">
        <v>237</v>
      </c>
      <c r="E20" s="88" t="str">
        <f t="array" ref="E20">IF(AND((ISNUMBER(SEARCH("Small farm",GroupMember[9. Type d’exploitation agricole*]))+ISNUMBER(SEARCH("Large farm",GroupMember[9. Type d’exploitation agricole*]))+ISBLANK(GroupMember[9. Type d’exploitation agricole*]))),Translations!$B$15, "I"&amp;MATCH(0,(ISNUMBER(SEARCH("Small farm",GroupMember[9. Type d’exploitation agricole*]))+ISNUMBER(SEARCH("Large farm",GroupMember[9. Type d’exploitation agricole*]))+ISBLANK(GroupMember[9. Type d’exploitation agricole*])),0)+2)</f>
        <v>I3</v>
      </c>
      <c r="F20" s="89" t="str">
        <f t="array" aca="1" ref="F20" ca="1">IF(E20=Translations!$B$15,HYPERLINK("#"&amp;CELL("address"),Translations!$B$8),HYPERLINK("#'1. Group member'!"&amp;E20,Translations!$B$14))</f>
        <v>Emplacement de la première cellule non numérique</v>
      </c>
    </row>
    <row r="21" spans="1:6" s="71" customFormat="1" ht="57.75" x14ac:dyDescent="0.2">
      <c r="A21" s="81" t="s">
        <v>108</v>
      </c>
      <c r="B21" s="84" t="s">
        <v>210</v>
      </c>
      <c r="C21" s="88" t="b">
        <f t="array" ref="C21">AND(ISBLANK(GroupMember[1. Identifiant interne d’exploitation agricole*])=ISBLANK(GroupMember[10. Nombre d’unités agricoles*]))</f>
        <v>1</v>
      </c>
      <c r="D21" s="84" t="s">
        <v>235</v>
      </c>
      <c r="E21" s="88" t="str">
        <f t="array" ref="E21">IF(ISNA(MATCH(FALSE,(ISBLANK(GroupMember[1. Identifiant interne d’exploitation agricole*])=ISBLANK(GroupMember[10. Nombre d’unités agricoles*])),0)),Translations!$B$12, "J"&amp;MATCH(FALSE,(ISBLANK(GroupMember[1. Identifiant interne d’exploitation agricole*])=ISBLANK(GroupMember[10. Nombre d’unités agricoles*])),0)+2)</f>
        <v>Il n’y a aucune cellule vide.</v>
      </c>
      <c r="F21" s="89" t="str">
        <f t="array" aca="1" ref="F21" ca="1">IF(E21=Translations!$B$12,HYPERLINK("#"&amp;CELL("address"),Translations!$B$8),HYPERLINK("#'1. Group member'!"&amp;E21,Translations!$B$11))</f>
        <v>Non applicable.</v>
      </c>
    </row>
    <row r="22" spans="1:6" s="71" customFormat="1" ht="29.25" x14ac:dyDescent="0.2">
      <c r="A22" s="81"/>
      <c r="B22" s="84" t="s">
        <v>207</v>
      </c>
      <c r="C22" s="88" t="b">
        <f t="array" ref="C22">AND(ISNUMBER(GroupMember[10. Nombre d’unités agricoles*])+ISBLANK(GroupMember[10. Nombre d’unités agricoles*]))</f>
        <v>1</v>
      </c>
      <c r="D22" s="84" t="s">
        <v>236</v>
      </c>
      <c r="E22" s="88" t="str">
        <f t="array" ref="E22">IF(AND(ISNUMBER(GroupMember[10. Nombre d’unités agricoles*])+ISBLANK(GroupMember[10. Nombre d’unités agricoles*])),Translations!$B$13, "J"&amp;MATCH(0,(ISNUMBER(GroupMember[10. Nombre d’unités agricoles*])+ISBLANK(GroupMember[10. Nombre d’unités agricoles*])),0)+2)</f>
        <v>Toutes les cellules sont des nombres</v>
      </c>
      <c r="F22" s="89" t="str">
        <f t="array" aca="1" ref="F22" ca="1">IF(E22=Translations!$B$13,HYPERLINK("#"&amp;CELL("address"),Translations!$B$8),HYPERLINK("#'1. Group member'!"&amp;E22,Translations!$B$14))</f>
        <v>Non applicable.</v>
      </c>
    </row>
    <row r="23" spans="1:6" s="71" customFormat="1" ht="72" x14ac:dyDescent="0.2">
      <c r="A23" s="81" t="s">
        <v>109</v>
      </c>
      <c r="B23" s="84" t="s">
        <v>211</v>
      </c>
      <c r="C23" s="88" t="b">
        <f t="array" ref="C23">AND(ISBLANK(GroupMember[1. Identifiant interne d’exploitation agricole*])=ISBLANK(GroupMember[11. Première année de certification RA*]))</f>
        <v>1</v>
      </c>
      <c r="D23" s="84" t="s">
        <v>235</v>
      </c>
      <c r="E23" s="88" t="str">
        <f t="array" ref="E23">IF(ISNA(MATCH(FALSE,(ISBLANK(GroupMember[1. Identifiant interne d’exploitation agricole*])=ISBLANK(GroupMember[11. Première année de certification RA*])),0)),Translations!$B$12, "K"&amp;MATCH(FALSE,(ISBLANK(GroupMember[1. Identifiant interne d’exploitation agricole*])=ISBLANK(GroupMember[11. Première année de certification RA*])),0)+2)</f>
        <v>Il n’y a aucune cellule vide.</v>
      </c>
      <c r="F23" s="89" t="str">
        <f t="array" aca="1" ref="F23" ca="1">IF(E23=Translations!$B$12,HYPERLINK("#"&amp;CELL("address"),Translations!$B$8),HYPERLINK("#'1. Group member'!"&amp;E23,Translations!$B$11))</f>
        <v>Non applicable.</v>
      </c>
    </row>
    <row r="24" spans="1:6" s="71" customFormat="1" ht="29.25" x14ac:dyDescent="0.2">
      <c r="A24" s="81"/>
      <c r="B24" s="84" t="s">
        <v>212</v>
      </c>
      <c r="C24" s="88" t="b">
        <f t="array" ref="C24">AND((GroupMember[11. Première année de certification RA*]&gt;2020)+ISBLANK(GroupMember[11. Première année de certification RA*]))</f>
        <v>1</v>
      </c>
      <c r="D24" s="84" t="s">
        <v>238</v>
      </c>
      <c r="E24" s="88" t="str">
        <f t="array" ref="E24">IF(AND((GroupMember[11. Première année de certification RA*]&gt;2020)+ISBLANK(GroupMember[11. Première année de certification RA*])),Translations!$B$16, "K"&amp;MATCH(0,(GroupMember[11. Première année de certification RA*]&gt;2020)+ISBLANK(GroupMember[11. Première année de certification RA*]),0)+2)</f>
        <v>Toutes les années sont correctes.</v>
      </c>
      <c r="F24" s="89" t="str">
        <f t="array" aca="1" ref="F24" ca="1">IF(E24=Translations!$B$16,HYPERLINK("#"&amp;CELL("address"),Translations!$B$8),HYPERLINK("#'1. Group member'!"&amp;E24,Translations!$B$17))</f>
        <v>Non applicable.</v>
      </c>
    </row>
    <row r="25" spans="1:6" s="71" customFormat="1" ht="57.75" x14ac:dyDescent="0.2">
      <c r="A25" s="81" t="s">
        <v>111</v>
      </c>
      <c r="B25" s="84" t="s">
        <v>213</v>
      </c>
      <c r="C25" s="88" t="b">
        <f t="array" ref="C25">AND(ISBLANK(GroupMember[1. Identifiant interne d’exploitation agricole*])=ISBLANK(GroupMember[12. Prénom*]))</f>
        <v>1</v>
      </c>
      <c r="D25" s="84" t="s">
        <v>235</v>
      </c>
      <c r="E25" s="88" t="str">
        <f t="array" ref="E25">IF(ISNA(MATCH(FALSE,(ISBLANK(GroupMember[1. Identifiant interne d’exploitation agricole*])=ISBLANK(GroupMember[12. Prénom*])),0)),Translations!$B$12, "L"&amp;MATCH(FALSE,(ISBLANK(GroupMember[1. Identifiant interne d’exploitation agricole*])=ISBLANK(GroupMember[12. Prénom*])),0)+2)</f>
        <v>Il n’y a aucune cellule vide.</v>
      </c>
      <c r="F25" s="89" t="str">
        <f t="array" aca="1" ref="F25" ca="1">IF(E25=Translations!$B$12,HYPERLINK("#"&amp;CELL("address"),Translations!$B$8),HYPERLINK("#'1. Group member'!"&amp;E25,Translations!$B$11))</f>
        <v>Non applicable.</v>
      </c>
    </row>
    <row r="26" spans="1:6" s="71" customFormat="1" ht="57.75" x14ac:dyDescent="0.2">
      <c r="A26" s="81" t="s">
        <v>112</v>
      </c>
      <c r="B26" s="84" t="s">
        <v>214</v>
      </c>
      <c r="C26" s="88" t="b">
        <f t="array" ref="C26">AND(ISBLANK(GroupMember[1. Identifiant interne d’exploitation agricole*])=ISBLANK(GroupMember[13. Nom*]))</f>
        <v>0</v>
      </c>
      <c r="D26" s="84" t="s">
        <v>235</v>
      </c>
      <c r="E26" s="88" t="str">
        <f t="array" ref="E26">IF(ISNA(MATCH(FALSE,(ISBLANK(GroupMember[1. Identifiant interne d’exploitation agricole*])=ISBLANK(GroupMember[13. Nom*])),0)),Translations!$B$12, "M"&amp;MATCH(FALSE,(ISBLANK(GroupMember[1. Identifiant interne d’exploitation agricole*])=ISBLANK(GroupMember[13. Nom*])),0)+2)</f>
        <v>M546</v>
      </c>
      <c r="F26" s="89" t="str">
        <f t="array" aca="1" ref="F26" ca="1">IF(E26=Translations!$B$12,HYPERLINK("#"&amp;CELL("address"),Translations!$B$8),HYPERLINK("#'1. Group member'!"&amp;E26,Translations!$B$11))</f>
        <v>Emplacement de la première cellule vide.</v>
      </c>
    </row>
    <row r="27" spans="1:6" s="71" customFormat="1" ht="43.5" x14ac:dyDescent="0.2">
      <c r="A27" s="81" t="s">
        <v>113</v>
      </c>
      <c r="B27" s="84" t="s">
        <v>215</v>
      </c>
      <c r="C27" s="88" t="b">
        <f t="array" ref="C27">AND(ISBLANK(GroupMember[1. Identifiant interne d’exploitation agricole*])=ISBLANK(GroupMember[14. Numéro de téléphone**]))</f>
        <v>0</v>
      </c>
      <c r="D27" s="84" t="s">
        <v>235</v>
      </c>
      <c r="E27" s="88" t="str">
        <f>IF(ISNA(MATCH(FALSE,(ISBLANK(GroupMember[[#This Row],[1. Identifiant interne d’exploitation agricole*]])=ISBLANK(GroupMember[[#This Row],[2. Identifiant national d’exploitation agricole**]])),0)),Translations!$B$12, "N"&amp;MATCH(FALSE,(ISBLANK(GroupMember[[#This Row],[1. Identifiant interne d’exploitation agricole*]])=ISBLANK(GroupMember[[#This Row],[2. Identifiant national d’exploitation agricole**]])),0)+2)</f>
        <v>Il n’y a aucune cellule vide.</v>
      </c>
      <c r="F27" s="89" t="str">
        <f t="array" aca="1" ref="F27" ca="1">IF(E27=Translations!$B$12,HYPERLINK("#"&amp;CELL("address"),Translations!$B$8),HYPERLINK("#'1. Group member'!"&amp;E27,Translations!$B$11))</f>
        <v>Non applicable.</v>
      </c>
    </row>
    <row r="28" spans="1:6" s="71" customFormat="1" ht="43.5" x14ac:dyDescent="0.2">
      <c r="A28" s="81" t="s">
        <v>114</v>
      </c>
      <c r="B28" s="84" t="s">
        <v>215</v>
      </c>
      <c r="C28" s="88" t="b">
        <f t="array" ref="C28">AND(ISBLANK(GroupMember[1. Identifiant interne d’exploitation agricole*])=ISBLANK(GroupMember[15. Numéro d’identification national**]))</f>
        <v>0</v>
      </c>
      <c r="D28" s="84" t="s">
        <v>235</v>
      </c>
      <c r="E28" s="88" t="str">
        <f t="array" ref="E28">IF(ISNA(MATCH(FALSE,(ISBLANK(GroupMember[1. Identifiant interne d’exploitation agricole*])=ISBLANK(GroupMember[15. Numéro d’identification national**])),0)),Translations!$B$12, "O"&amp;MATCH(FALSE,(ISBLANK(GroupMember[1. Identifiant interne d’exploitation agricole*])=ISBLANK(GroupMember[15. Numéro d’identification national**])),0)+2)</f>
        <v>O3</v>
      </c>
      <c r="F28" s="89" t="str">
        <f t="array" aca="1" ref="F28" ca="1">IF(E28=Translations!$B$12,HYPERLINK("#"&amp;CELL("address"),Translations!$B$8),HYPERLINK("#'1. Group member'!"&amp;E28,Translations!$B$11))</f>
        <v>Emplacement de la première cellule vide.</v>
      </c>
    </row>
    <row r="29" spans="1:6" s="71" customFormat="1" ht="72" x14ac:dyDescent="0.2">
      <c r="A29" s="81" t="s">
        <v>115</v>
      </c>
      <c r="B29" s="84" t="s">
        <v>216</v>
      </c>
      <c r="C29" s="88" t="b">
        <f t="array" ref="C29">AND(ISBLANK(GroupMember[1. Identifiant interne d’exploitation agricole*])=ISBLANK(GroupMember[16. Genre*]))</f>
        <v>1</v>
      </c>
      <c r="D29" s="84" t="s">
        <v>235</v>
      </c>
      <c r="E29" s="88" t="str">
        <f t="array" ref="E29">IF(ISNA(MATCH(FALSE,(ISBLANK(GroupMember[1. Identifiant interne d’exploitation agricole*])=ISBLANK(GroupMember[16. Genre*])),0)),Translations!$B$12, "P"&amp;MATCH(FALSE,(ISBLANK(GroupMember[1. Identifiant interne d’exploitation agricole*])=ISBLANK(GroupMember[16. Genre*])),0)+2)</f>
        <v>Il n’y a aucune cellule vide.</v>
      </c>
      <c r="F29" s="89" t="str">
        <f t="array" aca="1" ref="F29" ca="1">IF(E29=Translations!$B$12,HYPERLINK("#"&amp;CELL("address"),Translations!$B$8),HYPERLINK("#'1. Group member'!"&amp;E29,Translations!$B$11))</f>
        <v>Non applicable.</v>
      </c>
    </row>
    <row r="30" spans="1:6" s="71" customFormat="1" ht="72" x14ac:dyDescent="0.2">
      <c r="A30" s="81" t="s">
        <v>116</v>
      </c>
      <c r="B30" s="84" t="s">
        <v>217</v>
      </c>
      <c r="C30" s="88" t="b">
        <f t="array" ref="C30">AND(ISBLANK(GroupMember[1. Identifiant interne d’exploitation agricole*])=ISBLANK(GroupMember[17. Année de naissance*]))</f>
        <v>0</v>
      </c>
      <c r="D30" s="84" t="s">
        <v>235</v>
      </c>
      <c r="E30" s="88" t="str">
        <f t="array" ref="E30">IF(ISNA(MATCH(FALSE,(ISBLANK(GroupMember[1. Identifiant interne d’exploitation agricole*])=ISBLANK(GroupMember[17. Année de naissance*])),0)),Translations!$B$12, "Q"&amp;MATCH(FALSE,(ISBLANK(GroupMember[1. Identifiant interne d’exploitation agricole*])=ISBLANK(GroupMember[17. Année de naissance*])),0)+2)</f>
        <v>Q3</v>
      </c>
      <c r="F30" s="89" t="str">
        <f t="array" aca="1" ref="F30" ca="1">IF(E30=Translations!$B$12,HYPERLINK("#"&amp;CELL("address"),Translations!$B$8),HYPERLINK("#'1. Group member'!"&amp;E30,Translations!$B$11))</f>
        <v>Emplacement de la première cellule vide.</v>
      </c>
    </row>
    <row r="31" spans="1:6" s="71" customFormat="1" ht="29.25" x14ac:dyDescent="0.2">
      <c r="A31" s="81"/>
      <c r="B31" s="84" t="s">
        <v>218</v>
      </c>
      <c r="C31" s="88" t="b">
        <f t="array" ref="C31">AND((GroupMember[17. Année de naissance*]&gt;1899)*(GroupMember[17. Année de naissance*]&lt;2022)+ISBLANK(GroupMember[17. Année de naissance*]))</f>
        <v>1</v>
      </c>
      <c r="D31" s="84" t="s">
        <v>239</v>
      </c>
      <c r="E31" s="88" t="str">
        <f t="array" ref="E31">IF(AND((GroupMember[17. Année de naissance*]&gt;1899)*(GroupMember[17. Année de naissance*]&lt;2022)+ISBLANK(GroupMember[17. Année de naissance*])),Translations!$B$16, "Q"&amp;MATCH(0,(GroupMember[17. Année de naissance*]&gt;1899)*(GroupMember[17. Année de naissance*]&lt;2022)+ISBLANK(GroupMember[17. Année de naissance*]),0)+2)</f>
        <v>Toutes les années sont correctes.</v>
      </c>
      <c r="F31" s="89" t="str">
        <f t="array" aca="1" ref="F31" ca="1">IF(E31=Translations!$B$16,HYPERLINK("#"&amp;CELL("address"),Translations!$B$8),HYPERLINK("#'1. Group member'!"&amp;E31,Translations!$B$17))</f>
        <v>Non applicable.</v>
      </c>
    </row>
    <row r="32" spans="1:6" s="71" customFormat="1" ht="57.75" x14ac:dyDescent="0.2">
      <c r="A32" s="81" t="s">
        <v>117</v>
      </c>
      <c r="B32" s="84" t="s">
        <v>219</v>
      </c>
      <c r="C32" s="88" t="b">
        <f t="array" ref="C32">AND(ISBLANK(GroupMember[1. Identifiant interne d’exploitation agricole*])=ISBLANK(GroupMember[18. Taille du ménage*]))</f>
        <v>0</v>
      </c>
      <c r="D32" s="84" t="s">
        <v>235</v>
      </c>
      <c r="E32" s="88" t="str">
        <f t="array" ref="E32">IF(ISNA(MATCH(FALSE,(ISBLANK(GroupMember[1. Identifiant interne d’exploitation agricole*])=ISBLANK(GroupMember[18. Taille du ménage*])),0)),Translations!$B$12, "R"&amp;MATCH(FALSE,(ISBLANK(GroupMember[1. Identifiant interne d’exploitation agricole*])=ISBLANK(GroupMember[18. Taille du ménage*])),0)+2)</f>
        <v>R1001</v>
      </c>
      <c r="F32" s="89" t="str">
        <f t="array" aca="1" ref="F32" ca="1">IF(E32=Translations!$B$12,HYPERLINK("#"&amp;CELL("address"),Translations!$B$8),HYPERLINK("#'1. Group member'!"&amp;E32,Translations!$B$11))</f>
        <v>Emplacement de la première cellule vide.</v>
      </c>
    </row>
    <row r="33" spans="1:6" s="71" customFormat="1" ht="29.25" x14ac:dyDescent="0.2">
      <c r="A33" s="81"/>
      <c r="B33" s="84" t="s">
        <v>220</v>
      </c>
      <c r="C33" s="88" t="b">
        <f t="array" ref="C33">AND((GroupMember[18. Taille du ménage*]&gt;0)+ISBLANK(GroupMember[18. Taille du ménage*]))</f>
        <v>1</v>
      </c>
      <c r="D33" s="84" t="s">
        <v>240</v>
      </c>
      <c r="E33" s="88" t="str">
        <f t="array" ref="E33">IF(AND((GroupMember[18. Taille du ménage*]&gt;0)+ISBLANK(GroupMember[18. Taille du ménage*])),Translations!$B$19, "R"&amp;MATCH(0,(GroupMember[18. Taille du ménage*]&gt;0)+ISBLANK(GroupMember[18. Taille du ménage*]),0)+2)</f>
        <v>Toutes les tailles sont correctes.</v>
      </c>
      <c r="F33" s="89" t="str">
        <f t="array" aca="1" ref="F33" ca="1">IF(E33=Translations!$B$19,HYPERLINK("#"&amp;CELL("address"),Translations!$B$8),HYPERLINK("#'1. Group member'!"&amp;E33,Translations!$B$18))</f>
        <v>Non applicable.</v>
      </c>
    </row>
    <row r="34" spans="1:6" s="71" customFormat="1" ht="16.5" x14ac:dyDescent="0.2">
      <c r="A34" s="81" t="s">
        <v>119</v>
      </c>
      <c r="B34" s="84" t="s">
        <v>221</v>
      </c>
      <c r="C34" s="92"/>
      <c r="D34" s="93"/>
      <c r="E34" s="94"/>
      <c r="F34" s="95"/>
    </row>
    <row r="35" spans="1:6" s="71" customFormat="1" ht="16.5" x14ac:dyDescent="0.2">
      <c r="A35" s="81" t="s">
        <v>120</v>
      </c>
      <c r="B35" s="84" t="s">
        <v>221</v>
      </c>
      <c r="C35" s="92"/>
      <c r="D35" s="93"/>
      <c r="E35" s="94"/>
      <c r="F35" s="95"/>
    </row>
    <row r="36" spans="1:6" s="71" customFormat="1" ht="16.5" x14ac:dyDescent="0.2">
      <c r="A36" s="81" t="s">
        <v>121</v>
      </c>
      <c r="B36" s="84" t="s">
        <v>221</v>
      </c>
      <c r="C36" s="92"/>
      <c r="D36" s="93"/>
      <c r="E36" s="94"/>
      <c r="F36" s="95"/>
    </row>
    <row r="37" spans="1:6" s="71" customFormat="1" ht="16.5" x14ac:dyDescent="0.2">
      <c r="A37" s="81" t="s">
        <v>122</v>
      </c>
      <c r="B37" s="84" t="s">
        <v>221</v>
      </c>
      <c r="C37" s="92"/>
      <c r="D37" s="93"/>
      <c r="E37" s="94"/>
      <c r="F37" s="95"/>
    </row>
    <row r="38" spans="1:6" s="71" customFormat="1" ht="16.5" x14ac:dyDescent="0.2">
      <c r="A38" s="81" t="s">
        <v>123</v>
      </c>
      <c r="B38" s="84" t="s">
        <v>221</v>
      </c>
      <c r="C38" s="92"/>
      <c r="D38" s="93"/>
      <c r="E38" s="94"/>
      <c r="F38" s="95"/>
    </row>
    <row r="39" spans="1:6" s="71" customFormat="1" ht="72" x14ac:dyDescent="0.2">
      <c r="A39" s="81" t="s">
        <v>125</v>
      </c>
      <c r="B39" s="84" t="s">
        <v>222</v>
      </c>
      <c r="C39" s="88" t="b">
        <f t="array" ref="C39">AND(ISBLANK(GroupMember[1. Identifiant interne d’exploitation agricole*])=ISBLANK(GroupMember[24. Nombre de travailleurs permanents*]))</f>
        <v>0</v>
      </c>
      <c r="D39" s="84" t="s">
        <v>235</v>
      </c>
      <c r="E39" s="88" t="str">
        <f t="array" ref="E39">IF(ISNA(MATCH(FALSE,(ISBLANK(GroupMember[1. Identifiant interne d’exploitation agricole*])=ISBLANK(GroupMember[24. Nombre de travailleurs permanents*])),0)),Translations!$B$12, "X"&amp;MATCH(FALSE,(ISBLANK(GroupMember[1. Identifiant interne d’exploitation agricole*])=ISBLANK(GroupMember[24. Nombre de travailleurs permanents*])),0)+2)</f>
        <v>X1001</v>
      </c>
      <c r="F39" s="89" t="str">
        <f t="array" aca="1" ref="F39" ca="1">IF(E39=Translations!$B$12,HYPERLINK("#"&amp;CELL("address"),Translations!$B$8),HYPERLINK("#'1. Group member'!"&amp;E39,Translations!$B$11))</f>
        <v>Emplacement de la première cellule vide.</v>
      </c>
    </row>
    <row r="40" spans="1:6" s="71" customFormat="1" ht="29.25" x14ac:dyDescent="0.2">
      <c r="A40" s="81"/>
      <c r="B40" s="84" t="s">
        <v>223</v>
      </c>
      <c r="C40" s="88" t="b">
        <f t="array" ref="C40">AND(IFERROR(GroupMember[24. Nombre de travailleurs permanents*]+2&gt;1,FALSE)+ISBLANK(GroupMember[24. Nombre de travailleurs permanents*]))</f>
        <v>1</v>
      </c>
      <c r="D40" s="84" t="s">
        <v>241</v>
      </c>
      <c r="E40" s="88" t="str">
        <f t="array" ref="E40">IF(AND(IFERROR(GroupMember[24. Nombre de travailleurs permanents*]+2&gt;1,FALSE)+ISBLANK(GroupMember[24. Nombre de travailleurs permanents*])+ISBLANK(GroupMember[24. Nombre de travailleurs permanents*])),Translations!$B$20, "X"&amp;MATCH(0,IFERROR(GroupMember[24. Nombre de travailleurs permanents*]+2&gt;1,FALSE)+ISBLANK(GroupMember[24. Nombre de travailleurs permanents*])+ISBLANK(GroupMember[24. Nombre de travailleurs permanents*]),0)+2)</f>
        <v>Toutes les valeurs sont correctes.</v>
      </c>
      <c r="F40" s="89" t="str">
        <f ca="1">IF(E40=Translations!$B$20,HYPERLINK("#"&amp;CELL("address"),Translations!$B$8),HYPERLINK("#'1. Group member'!"&amp;E40,Translations!$B$21))</f>
        <v>Non applicable.</v>
      </c>
    </row>
    <row r="41" spans="1:6" s="71" customFormat="1" ht="72" x14ac:dyDescent="0.2">
      <c r="A41" s="81" t="s">
        <v>126</v>
      </c>
      <c r="B41" s="84" t="s">
        <v>224</v>
      </c>
      <c r="C41" s="88" t="b">
        <f>AND(ISBLANK(GroupMember[[#This Row],[1. Identifiant interne d’exploitation agricole*]])=ISBLANK(GroupMember[[#This Row],[25. Estimation du nombre de travailleurs temporaires par an*]]))</f>
        <v>1</v>
      </c>
      <c r="D41" s="84" t="s">
        <v>235</v>
      </c>
      <c r="E41" s="88" t="str">
        <f t="array" ref="E41">IF(ISNA(MATCH(FALSE,(ISBLANK(GroupMember[1. Identifiant interne d’exploitation agricole*])=ISBLANK(GroupMember[25. Estimation du nombre de travailleurs temporaires par an*])),0)),Translations!$B$12, "Y"&amp;MATCH(FALSE,(ISBLANK(GroupMember[1. Identifiant interne d’exploitation agricole*])=ISBLANK(GroupMember[25. Estimation du nombre de travailleurs temporaires par an*])),0)+2)</f>
        <v>Y1001</v>
      </c>
      <c r="F41" s="89" t="str">
        <f t="array" aca="1" ref="F41" ca="1">IF(E41=Translations!$B$12,HYPERLINK("#"&amp;CELL("address"),Translations!$B$8),HYPERLINK("#'1. Group member'!"&amp;E41,Translations!$B$11))</f>
        <v>Emplacement de la première cellule vide.</v>
      </c>
    </row>
    <row r="42" spans="1:6" s="71" customFormat="1" ht="43.5" x14ac:dyDescent="0.2">
      <c r="A42" s="81"/>
      <c r="B42" s="84" t="s">
        <v>225</v>
      </c>
      <c r="C42" s="88" t="b">
        <f t="array" ref="C42">AND(IFERROR(GroupMember[25. Estimation du nombre de travailleurs temporaires par an*]+2&gt;1,FALSE)+ISBLANK(GroupMember[25. Estimation du nombre de travailleurs temporaires par an*]))</f>
        <v>1</v>
      </c>
      <c r="D42" s="84" t="s">
        <v>241</v>
      </c>
      <c r="E42" s="88" t="str">
        <f t="array" ref="E42">IF(AND(IFERROR(GroupMember[25. Estimation du nombre de travailleurs temporaires par an*]+2&gt;1,FALSE)+ISBLANK(GroupMember[25. Estimation du nombre de travailleurs temporaires par an*])+ISBLANK(GroupMember[25. Estimation du nombre de travailleurs temporaires par an*])),Translations!$B$20, "Y"&amp;MATCH(0,IFERROR(GroupMember[25. Estimation du nombre de travailleurs temporaires par an*]+2&gt;1,FALSE)+ISBLANK(GroupMember[25. Estimation du nombre de travailleurs temporaires par an*])+ISBLANK(GroupMember[25. Estimation du nombre de travailleurs temporaires par an*]),0)+2)</f>
        <v>Toutes les valeurs sont correctes.</v>
      </c>
      <c r="F42" s="89" t="str">
        <f t="array" aca="1" ref="F42" ca="1">IF(E42=Translations!$B$20,HYPERLINK("#"&amp;CELL("address"),Translations!$B$8),HYPERLINK("#'1. Group member'!"&amp;E42,Translations!B21))</f>
        <v>Non applicable.</v>
      </c>
    </row>
    <row r="43" spans="1:6" s="71" customFormat="1" ht="57.75" x14ac:dyDescent="0.2">
      <c r="A43" s="81" t="s">
        <v>128</v>
      </c>
      <c r="B43" s="84" t="s">
        <v>226</v>
      </c>
      <c r="C43" s="88" t="b">
        <f t="array" ref="C43">AND(ISBLANK(GroupMember[1. Identifiant interne d’exploitation agricole*])=ISBLANK(GroupMember[26. Nom de l’inspecteur interne*]))</f>
        <v>0</v>
      </c>
      <c r="D43" s="84" t="s">
        <v>235</v>
      </c>
      <c r="E43" s="88" t="str">
        <f t="array" ref="E43">IF(ISNA(MATCH(FALSE,(ISBLANK(GroupMember[1. Identifiant interne d’exploitation agricole*])=ISBLANK(GroupMember[26. Nom de l’inspecteur interne*])),0)),Translations!$B$12, "Z"&amp;MATCH(FALSE,(ISBLANK(GroupMember[1. Identifiant interne d’exploitation agricole*])=ISBLANK(GroupMember[26. Nom de l’inspecteur interne*])),0)+2)</f>
        <v>Z1001</v>
      </c>
      <c r="F43" s="89" t="str">
        <f t="array" aca="1" ref="F43" ca="1">IF(E43=Translations!$B$12,HYPERLINK("#"&amp;CELL("address"),Translations!$B$8),HYPERLINK("#'1. Group member'!"&amp;E43,Translations!$B$11))</f>
        <v>Emplacement de la première cellule vide.</v>
      </c>
    </row>
    <row r="44" spans="1:6" s="71" customFormat="1" ht="57.75" x14ac:dyDescent="0.2">
      <c r="A44" s="81" t="s">
        <v>129</v>
      </c>
      <c r="B44" s="84" t="s">
        <v>227</v>
      </c>
      <c r="C44" s="88" t="b">
        <f t="array" ref="C44">AND(ISBLANK(GroupMember[1. Identifiant interne d’exploitation agricole*])=ISBLANK(GroupMember[27. Année de l’inspection interne*]))</f>
        <v>0</v>
      </c>
      <c r="D44" s="84" t="s">
        <v>235</v>
      </c>
      <c r="E44" s="88" t="str">
        <f t="array" ref="E44">IF(ISNA(MATCH(FALSE,(ISBLANK(GroupMember[1. Identifiant interne d’exploitation agricole*])=ISBLANK(GroupMember[27. Année de l’inspection interne*])),0)),Translations!$B$12, "AA"&amp;MATCH(FALSE,(ISBLANK(GroupMember[1. Identifiant interne d’exploitation agricole*])=ISBLANK(GroupMember[27. Année de l’inspection interne*])),0)+2)</f>
        <v>AA1001</v>
      </c>
      <c r="F44" s="89" t="str">
        <f t="array" aca="1" ref="F44" ca="1">IF(E44=Translations!$B$12,HYPERLINK("#"&amp;CELL("address"),Translations!$B$8),HYPERLINK("#'1. Group member'!"&amp;E44,Translations!$B$11))</f>
        <v>Emplacement de la première cellule vide.</v>
      </c>
    </row>
    <row r="45" spans="1:6" s="71" customFormat="1" ht="29.25" x14ac:dyDescent="0.2">
      <c r="A45" s="81"/>
      <c r="B45" s="84" t="s">
        <v>228</v>
      </c>
      <c r="C45" s="88" t="b">
        <f t="array" ref="C45">AND((GroupMember[27. Année de l’inspection interne*]&gt;2020)*(GroupMember[27. Année de l’inspection interne*]&lt;9999)+ISBLANK(GroupMember[27. Année de l’inspection interne*]))</f>
        <v>1</v>
      </c>
      <c r="D45" s="84" t="s">
        <v>242</v>
      </c>
      <c r="E45" s="88" t="str">
        <f t="array" ref="E45">IF(AND((GroupMember[27. Année de l’inspection interne*]&gt;2020)*(GroupMember[27. Année de l’inspection interne*]&lt;9999)+ISBLANK(GroupMember[27. Année de l’inspection interne*])),Translations!$B$20, "AA"&amp;MATCH(0,(GroupMember[27. Année de l’inspection interne*]&gt;2020)*(GroupMember[27. Année de l’inspection interne*]&lt;9999)+ISBLANK(GroupMember[27. Année de l’inspection interne*]),0)+2)</f>
        <v>Toutes les valeurs sont correctes.</v>
      </c>
      <c r="F45" s="89" t="str">
        <f t="array" aca="1" ref="F45" ca="1">IF(E45=Translations!$B$20,HYPERLINK("#"&amp;CELL("address"),Translations!$B$8),HYPERLINK("#'1. Group member'!"&amp;E45,Translations!$B$21))</f>
        <v>Non applicable.</v>
      </c>
    </row>
    <row r="46" spans="1:6" s="71" customFormat="1" ht="57.75" x14ac:dyDescent="0.2">
      <c r="A46" s="81" t="s">
        <v>130</v>
      </c>
      <c r="B46" s="84" t="s">
        <v>229</v>
      </c>
      <c r="C46" s="88" t="b">
        <f t="array" ref="C46">AND(ISBLANK(GroupMember[1. Identifiant interne d’exploitation agricole*])=ISBLANK(GroupMember[28. Mois de l’inspection interne*]))</f>
        <v>0</v>
      </c>
      <c r="D46" s="84" t="s">
        <v>235</v>
      </c>
      <c r="E46" s="88" t="str">
        <f t="array" ref="E46">IF(ISNA(MATCH(FALSE,(ISBLANK(GroupMember[1. Identifiant interne d’exploitation agricole*])=ISBLANK(GroupMember[28. Mois de l’inspection interne*])),0)),Translations!$B$12, "AB"&amp;MATCH(FALSE,(ISBLANK(GroupMember[1. Identifiant interne d’exploitation agricole*])=ISBLANK(GroupMember[28. Mois de l’inspection interne*])),0)+2)</f>
        <v>AB1001</v>
      </c>
      <c r="F46" s="89" t="str">
        <f t="array" aca="1" ref="F46" ca="1">IF(E46=Translations!$B$12,HYPERLINK("#"&amp;CELL("address"),Translations!$B$8),HYPERLINK("#'1. Group member'!"&amp;E46,Translations!$B$11))</f>
        <v>Emplacement de la première cellule vide.</v>
      </c>
    </row>
    <row r="47" spans="1:6" s="71" customFormat="1" ht="29.25" x14ac:dyDescent="0.2">
      <c r="A47" s="81"/>
      <c r="B47" s="84" t="s">
        <v>230</v>
      </c>
      <c r="C47" s="88" t="b">
        <f t="array" ref="C47">AND(IFERROR(GroupMember[28. Mois de l’inspection interne*]+1&gt;1,FALSE)*(GroupMember[28. Mois de l’inspection interne*]&lt;13)+ISBLANK(GroupMember[28. Mois de l’inspection interne*]))</f>
        <v>1</v>
      </c>
      <c r="D47" s="84" t="s">
        <v>243</v>
      </c>
      <c r="E47" s="88" t="str">
        <f t="array" ref="E47">IF(AND(IFERROR(GroupMember[28. Mois de l’inspection interne*]+1&gt;1,FALSE)*(GroupMember[28. Mois de l’inspection interne*]&lt;13)+ISBLANK(GroupMember[28. Mois de l’inspection interne*])),Translations!$B$20, "AB"&amp;MATCH(0,IFERROR(GroupMember[28. Mois de l’inspection interne*]+1&gt;1,FALSE)*(GroupMember[28. Mois de l’inspection interne*]&lt;13)+ISBLANK(GroupMember[28. Mois de l’inspection interne*]),0)+2)</f>
        <v>Toutes les valeurs sont correctes.</v>
      </c>
      <c r="F47" s="89" t="str">
        <f t="array" aca="1" ref="F47" ca="1">IF(E47=Translations!$B$20,HYPERLINK("#"&amp;CELL("address"),Translations!$B$8),HYPERLINK("#'1. Group member'!"&amp;E47,Translations!$B$21))</f>
        <v>Non applicable.</v>
      </c>
    </row>
    <row r="48" spans="1:6" s="71" customFormat="1" ht="57.75" x14ac:dyDescent="0.2">
      <c r="A48" s="81" t="s">
        <v>131</v>
      </c>
      <c r="B48" s="84" t="s">
        <v>231</v>
      </c>
      <c r="C48" s="84" t="b">
        <f t="array" ref="C48">AND(ISBLANK(GroupMember[1. Identifiant interne d’exploitation agricole*])=ISBLANK(GroupMember[29. Jour de l’inspection interne*]))</f>
        <v>0</v>
      </c>
      <c r="D48" s="84" t="s">
        <v>235</v>
      </c>
      <c r="E48" s="88" t="str">
        <f t="array" ref="E48">IF(ISNA(MATCH(FALSE,(ISBLANK(GroupMember[1. Identifiant interne d’exploitation agricole*])=ISBLANK(GroupMember[29. Jour de l’inspection interne*])),0)),Translations!$B$12, "AC"&amp;MATCH(FALSE,(ISBLANK(GroupMember[1. Identifiant interne d’exploitation agricole*])=ISBLANK(GroupMember[29. Jour de l’inspection interne*])),0)+2)</f>
        <v>AC1001</v>
      </c>
      <c r="F48" s="89" t="str">
        <f t="array" aca="1" ref="F48" ca="1">IF(E48=Translations!$B$12,HYPERLINK("#"&amp;CELL("address"),Translations!$B$8),HYPERLINK("#'1. Group member'!"&amp;E48,Translations!$B$11))</f>
        <v>Emplacement de la première cellule vide.</v>
      </c>
    </row>
    <row r="49" spans="1:6" s="71" customFormat="1" ht="43.5" x14ac:dyDescent="0.2">
      <c r="A49" s="81"/>
      <c r="B49" s="84" t="s">
        <v>232</v>
      </c>
      <c r="C49" s="88" t="b">
        <f t="array" ref="C49">AND(IFERROR(GroupMember[29. Jour de l’inspection interne*]+1&gt;1,FALSE)*(GroupMember[29. Jour de l’inspection interne*]&lt;32)+ISBLANK(GroupMember[29. Jour de l’inspection interne*]))</f>
        <v>1</v>
      </c>
      <c r="D49" s="84" t="s">
        <v>244</v>
      </c>
      <c r="E49" s="88" t="str">
        <f t="array" ref="E49">IF(AND(IFERROR(GroupMember[29. Jour de l’inspection interne*]+1&gt;1,FALSE)*(GroupMember[29. Jour de l’inspection interne*]&lt;32)+ISBLANK(GroupMember[29. Jour de l’inspection interne*])),Translations!$B$20, "AC"&amp;MATCH(0,IFERROR(GroupMember[29. Jour de l’inspection interne*]+1&gt;1,FALSE)*(GroupMember[29. Jour de l’inspection interne*]&lt;32)+ISBLANK(GroupMember[29. Jour de l’inspection interne*]),0)+2)</f>
        <v>Toutes les valeurs sont correctes.</v>
      </c>
      <c r="F49" s="89" t="str">
        <f t="array" aca="1" ref="F49" ca="1">IF(E49=Translations!$B$20,HYPERLINK("#"&amp;CELL("address"),Translations!$B$8),HYPERLINK("#'1. Group member'!"&amp;E49,Translations!$B$21))</f>
        <v>Non applicable.</v>
      </c>
    </row>
    <row r="50" spans="1:6" x14ac:dyDescent="0.15">
      <c r="A50" s="19"/>
      <c r="B50" s="19"/>
      <c r="C50" s="43"/>
      <c r="D50" s="19"/>
      <c r="E50" s="39"/>
    </row>
    <row r="51" spans="1:6" ht="18" x14ac:dyDescent="0.2">
      <c r="A51" s="14" t="s">
        <v>9</v>
      </c>
      <c r="B51" s="19"/>
      <c r="C51" s="43"/>
      <c r="D51" s="19"/>
      <c r="E51" s="39"/>
    </row>
    <row r="52" spans="1:6" ht="27.75" x14ac:dyDescent="0.15">
      <c r="A52" s="16" t="s">
        <v>245</v>
      </c>
      <c r="B52" s="16" t="s">
        <v>192</v>
      </c>
      <c r="C52" s="42" t="s">
        <v>193</v>
      </c>
      <c r="D52" s="16" t="s">
        <v>194</v>
      </c>
      <c r="E52" s="38" t="s">
        <v>195</v>
      </c>
      <c r="F52" s="16" t="s">
        <v>196</v>
      </c>
    </row>
    <row r="53" spans="1:6" s="71" customFormat="1" ht="44.25" x14ac:dyDescent="0.2">
      <c r="A53" s="96" t="s">
        <v>246</v>
      </c>
      <c r="B53" s="82" t="s">
        <v>198</v>
      </c>
      <c r="C53" s="83">
        <f>SUMPRODUCT((CertifiedCrop[1. Identifiant interne d’exploitation agricole*]&lt;&gt;"")/COUNTIF(CertifiedCrop[1. Identifiant interne d’exploitation agricole*],CertifiedCrop[1. Identifiant interne d’exploitation agricole*]&amp;""))</f>
        <v>1079</v>
      </c>
      <c r="D53" s="84" t="s">
        <v>233</v>
      </c>
      <c r="E53" s="85"/>
      <c r="F53" s="86"/>
    </row>
    <row r="54" spans="1:6" s="71" customFormat="1" ht="57.75" x14ac:dyDescent="0.2">
      <c r="A54" s="96"/>
      <c r="B54" s="97" t="s">
        <v>255</v>
      </c>
      <c r="C54" s="98" t="b">
        <f>AND(CertifiedCrop[1. Identifiant interne de l’exploitation agricole présent sur la feuille 1. Membre du groupe])</f>
        <v>1</v>
      </c>
      <c r="D54" s="97" t="s">
        <v>265</v>
      </c>
      <c r="E54" s="99" t="str">
        <f>IF(ISNA(MATCH(FALSE,CertifiedCrop[1. Identifiant interne de l’exploitation agricole présent sur la feuille 1. Membre du groupe],0)),Translations!$B$22, "J"&amp;MATCH(FALSE,CertifiedCrop[1. Identifiant interne de l’exploitation agricole présent sur la feuille 1. Membre du groupe],0)+2)</f>
        <v>Chaque identifiant interne de membre du groupe est présent.</v>
      </c>
      <c r="F54" s="100" t="str">
        <f ca="1">IF(E54=Translations!$B$22,HYPERLINK("#"&amp;CELL("address"),Translations!$B$8),HYPERLINK("#'2. Certified crop'!"&amp;E54,Translations!$B$23))</f>
        <v>Non applicable.</v>
      </c>
    </row>
    <row r="55" spans="1:6" s="71" customFormat="1" ht="57.75" x14ac:dyDescent="0.2">
      <c r="A55" s="96"/>
      <c r="B55" s="97" t="s">
        <v>256</v>
      </c>
      <c r="C55" s="98" t="b">
        <f t="array" ref="C55">AND(GroupMember[1. Identifiant interne de membre du groupe présent sur la feuille 2. Produit agricole certifié])</f>
        <v>1</v>
      </c>
      <c r="D55" s="97" t="s">
        <v>266</v>
      </c>
      <c r="E55" s="99" t="str">
        <f t="array" ref="E55">IF(ISNA(MATCH(FALSE,GroupMember[1. Identifiant interne de membre du groupe présent sur la feuille 2. Produit agricole certifié],0)),Translations!$B$22, "J"&amp;MATCH(FALSE,GroupMember[1. Identifiant interne de membre du groupe présent sur la feuille 2. Produit agricole certifié],0)+2)</f>
        <v>Chaque identifiant interne de membre du groupe est présent.</v>
      </c>
      <c r="F55" s="100" t="str">
        <f ca="1">IF(E55=Translations!$B$22,HYPERLINK("#"&amp;CELL("address"),Translations!$B$8),HYPERLINK("#'2. Certified crop'!"&amp;E55,Translations!$B$23))</f>
        <v>Non applicable.</v>
      </c>
    </row>
    <row r="56" spans="1:6" s="71" customFormat="1" ht="72" x14ac:dyDescent="0.2">
      <c r="A56" s="96" t="s">
        <v>143</v>
      </c>
      <c r="B56" s="84" t="s">
        <v>257</v>
      </c>
      <c r="C56" s="88" t="b">
        <f t="array" ref="C56">AND(ISBLANK(CertifiedCrop[1. Identifiant interne d’exploitation agricole*])=ISBLANK(CertifiedCrop[2. Produit agricole certifié*]))</f>
        <v>1</v>
      </c>
      <c r="D56" s="84" t="s">
        <v>235</v>
      </c>
      <c r="E56" s="88" t="str">
        <f t="array" ref="E56">IF(ISNA(MATCH(FALSE,(ISBLANK(CertifiedCrop[1. Identifiant interne d’exploitation agricole*])=ISBLANK(CertifiedCrop[2. Produit agricole certifié*])),0)),Translations!$B$12, "C"&amp;MATCH(FALSE,(ISBLANK(CertifiedCrop[1. Identifiant interne d’exploitation agricole*])=ISBLANK(CertifiedCrop[2. Produit agricole certifié*])),0)+2)</f>
        <v>Il n’y a aucune cellule vide.</v>
      </c>
      <c r="F56" s="89" t="str">
        <f t="array" aca="1" ref="F56" ca="1">IF(E56=Translations!$B$12,HYPERLINK("#"&amp;CELL("address"),Translations!$B$8),HYPERLINK("#'2. Certified crop'!"&amp;E56,Translations!$B$11))</f>
        <v>Non applicable.</v>
      </c>
    </row>
    <row r="57" spans="1:6" s="71" customFormat="1" ht="72" x14ac:dyDescent="0.2">
      <c r="A57" s="96" t="s">
        <v>144</v>
      </c>
      <c r="B57" s="97" t="s">
        <v>258</v>
      </c>
      <c r="C57" s="98" t="b">
        <f t="array" ref="C57">AND(CertifiedCrop[2. Produit agricole certifié et 3. La combinaison de variétés est présente sur la liste des produits agricoles de la feuille.])</f>
        <v>0</v>
      </c>
      <c r="D57" s="82" t="s">
        <v>267</v>
      </c>
      <c r="E57" s="99" t="str">
        <f t="array" ref="E57">IF(ISNA(MATCH(FALSE,CertifiedCrop[2. Produit agricole certifié et 3. La combinaison de variétés est présente sur la liste des produits agricoles de la feuille.],0)),Translations!$B$24, "B"&amp;MATCH(FALSE,CertifiedCrop[2. Produit agricole certifié et 3. La combinaison de variétés est présente sur la liste des produits agricoles de la feuille.],0)+2)</f>
        <v>B3</v>
      </c>
      <c r="F57" s="100" t="str">
        <f ca="1">IF(E57=Translations!$B$24,HYPERLINK("#"&amp;CELL("address"),Translations!$B$8),HYPERLINK("#'2. Certified crop'!"&amp;E57,Translations!$B$25))</f>
        <v>Emplacement de la combinaison de produits agricoles et de variétés invalide.</v>
      </c>
    </row>
    <row r="58" spans="1:6" s="71" customFormat="1" ht="72" x14ac:dyDescent="0.2">
      <c r="A58" s="96" t="s">
        <v>145</v>
      </c>
      <c r="B58" s="84" t="s">
        <v>259</v>
      </c>
      <c r="C58" s="88" t="b">
        <f t="array" ref="C58">AND(ISBLANK(CertifiedCrop[1. Identifiant interne d’exploitation agricole*])=ISBLANK(CertifiedCrop[4. Superficie des produits agricoles certifiés * 
(ha)]))</f>
        <v>1</v>
      </c>
      <c r="D58" s="84" t="s">
        <v>235</v>
      </c>
      <c r="E58" s="88" t="str">
        <f t="array" ref="E58">IF(ISNA(MATCH(FALSE,(ISBLANK(CertifiedCrop[1. Identifiant interne d’exploitation agricole*])=ISBLANK(CertifiedCrop[4. Superficie des produits agricoles certifiés * 
(ha)])),0)),Translations!$B$12, "D"&amp;MATCH(FALSE,(ISBLANK(CertifiedCrop[1. Identifiant interne d’exploitation agricole*])=ISBLANK(CertifiedCrop[4. Superficie des produits agricoles certifiés * 
(ha)])),0)+2)</f>
        <v>Il n’y a aucune cellule vide.</v>
      </c>
      <c r="F58" s="89" t="str">
        <f t="array" aca="1" ref="F58" ca="1">IF(E58=Translations!$B$12,HYPERLINK("#"&amp;CELL("address"),Translations!$B$8),HYPERLINK("#'2. Certified crop'!"&amp;E58,Translations!$B$11))</f>
        <v>Non applicable.</v>
      </c>
    </row>
    <row r="59" spans="1:6" s="71" customFormat="1" ht="29.25" x14ac:dyDescent="0.2">
      <c r="A59" s="96"/>
      <c r="B59" s="84" t="s">
        <v>207</v>
      </c>
      <c r="C59" s="88" t="b">
        <f t="array" ref="C59">AND(ISNUMBER(CertifiedCrop[4. Superficie des produits agricoles certifiés * 
(ha)])+ISBLANK(CertifiedCrop[4. Superficie des produits agricoles certifiés * 
(ha)]))</f>
        <v>1</v>
      </c>
      <c r="D59" s="84" t="s">
        <v>236</v>
      </c>
      <c r="E59" s="88" t="str">
        <f t="array" ref="E59">IF(AND(ISNUMBER(CertifiedCrop[4. Superficie des produits agricoles certifiés * 
(ha)])+ISBLANK(CertifiedCrop[4. Superficie des produits agricoles certifiés * 
(ha)])),Translations!$B$13, "D"&amp;MATCH(0,(ISNUMBER(CertifiedCrop[4. Superficie des produits agricoles certifiés * 
(ha)])+ISBLANK(CertifiedCrop[4. Superficie des produits agricoles certifiés * 
(ha)])),0)+2)</f>
        <v>Toutes les cellules sont des nombres</v>
      </c>
      <c r="F59" s="89" t="str">
        <f ca="1">IF(E59=Translations!$B$13,HYPERLINK("#"&amp;CELL("address"),Translations!$B$8),HYPERLINK("#'2. Certified crop'!"&amp;E59,Translations!$B$11))</f>
        <v>Non applicable.</v>
      </c>
    </row>
    <row r="60" spans="1:6" s="71" customFormat="1" ht="72" x14ac:dyDescent="0.2">
      <c r="A60" s="96" t="s">
        <v>146</v>
      </c>
      <c r="B60" s="84" t="s">
        <v>260</v>
      </c>
      <c r="C60" s="88" t="b">
        <f t="array" ref="C60">AND(ISBLANK(CertifiedCrop[1. Identifiant interne d’exploitation agricole*])=ISBLANK(CertifiedCrop[5. Estimation totale de la récolte de l’année en cours* 
(en kg ou en tiges de fleurs)]))</f>
        <v>1</v>
      </c>
      <c r="D60" s="84" t="s">
        <v>235</v>
      </c>
      <c r="E60" s="88" t="str">
        <f t="array" ref="E60">IF(ISNA(MATCH(FALSE,(ISBLANK(CertifiedCrop[1. Identifiant interne d’exploitation agricole*])=ISBLANK(CertifiedCrop[5. Estimation totale de la récolte de l’année en cours* 
(en kg ou en tiges de fleurs)])),0)),Translations!$B$12, "D"&amp;MATCH(FALSE,(ISBLANK(CertifiedCrop[1. Identifiant interne d’exploitation agricole*])=ISBLANK(CertifiedCrop[5. Estimation totale de la récolte de l’année en cours* 
(en kg ou en tiges de fleurs)])),0)+2)</f>
        <v>Il n’y a aucune cellule vide.</v>
      </c>
      <c r="F60" s="89" t="str">
        <f t="array" aca="1" ref="F60" ca="1">IF(E60=Translations!$B$12,HYPERLINK("#"&amp;CELL("address"),Translations!$B$8),HYPERLINK("#'2. Certified crop'!"&amp;E60,Translations!$B$11))</f>
        <v>Non applicable.</v>
      </c>
    </row>
    <row r="61" spans="1:6" s="71" customFormat="1" ht="29.25" x14ac:dyDescent="0.2">
      <c r="A61" s="96"/>
      <c r="B61" s="84" t="s">
        <v>207</v>
      </c>
      <c r="C61" s="88" t="b">
        <f t="array" ref="C61">AND(ISNUMBER(CertifiedCrop[5. Estimation totale de la récolte de l’année en cours* 
(en kg ou en tiges de fleurs)])+ISBLANK(CertifiedCrop[5. Estimation totale de la récolte de l’année en cours* 
(en kg ou en tiges de fleurs)]))</f>
        <v>1</v>
      </c>
      <c r="D61" s="84" t="s">
        <v>236</v>
      </c>
      <c r="E61" s="88" t="str">
        <f t="array" ref="E61">IF(AND(ISNUMBER(CertifiedCrop[5. Estimation totale de la récolte de l’année en cours* 
(en kg ou en tiges de fleurs)])+ISBLANK(CertifiedCrop[5. Estimation totale de la récolte de l’année en cours* 
(en kg ou en tiges de fleurs)])),Translations!$B$13, "D"&amp;MATCH(0,(ISNUMBER(CertifiedCrop[5. Estimation totale de la récolte de l’année en cours* 
(en kg ou en tiges de fleurs)])+ISBLANK(CertifiedCrop[5. Estimation totale de la récolte de l’année en cours* 
(en kg ou en tiges de fleurs)])),0)+2)</f>
        <v>Toutes les cellules sont des nombres</v>
      </c>
      <c r="F61" s="89" t="str">
        <f t="array" aca="1" ref="F61" ca="1">IF(E61=Translations!$B$13,HYPERLINK("#"&amp;CELL("address"),Translations!$B$8),HYPERLINK("#'2. Certified crop'!"&amp;E61,Translations!$B$11))</f>
        <v>Non applicable.</v>
      </c>
    </row>
    <row r="62" spans="1:6" s="71" customFormat="1" ht="72" x14ac:dyDescent="0.2">
      <c r="A62" s="96" t="s">
        <v>147</v>
      </c>
      <c r="B62" s="84" t="s">
        <v>261</v>
      </c>
      <c r="C62" s="88" t="b">
        <f t="array" ref="C62">AND(ISBLANK(CertifiedCrop[1. Identifiant interne d’exploitation agricole*])=ISBLANK(CertifiedCrop[6. Récolte totale de l’année précédente* 
(en kg ou en tiges de fleurs)]))</f>
        <v>1</v>
      </c>
      <c r="D62" s="84" t="s">
        <v>235</v>
      </c>
      <c r="E62" s="88" t="str">
        <f t="array" ref="E62">IF(ISNA(MATCH(FALSE,(ISBLANK(CertifiedCrop[1. Identifiant interne d’exploitation agricole*])=ISBLANK(CertifiedCrop[6. Récolte totale de l’année précédente* 
(en kg ou en tiges de fleurs)])),0)),Translations!$B$12, "D"&amp;MATCH(FALSE,(ISBLANK(CertifiedCrop[1. Identifiant interne d’exploitation agricole*])=ISBLANK(CertifiedCrop[6. Récolte totale de l’année précédente* 
(en kg ou en tiges de fleurs)])),0)+2)</f>
        <v>Il n’y a aucune cellule vide.</v>
      </c>
      <c r="F62" s="89" t="str">
        <f t="array" aca="1" ref="F62" ca="1">IF(E62=Translations!$B$12,HYPERLINK("#"&amp;CELL("address"),Translations!$B$8),HYPERLINK("#'2. Certified crop'!"&amp;E62,Translations!$B$11))</f>
        <v>Non applicable.</v>
      </c>
    </row>
    <row r="63" spans="1:6" s="71" customFormat="1" ht="29.25" x14ac:dyDescent="0.2">
      <c r="A63" s="96"/>
      <c r="B63" s="84" t="s">
        <v>207</v>
      </c>
      <c r="C63" s="88" t="b">
        <f t="array" ref="C63">AND(ISNUMBER(CertifiedCrop[6. Récolte totale de l’année précédente* 
(en kg ou en tiges de fleurs)])+ISBLANK(CertifiedCrop[6. Récolte totale de l’année précédente* 
(en kg ou en tiges de fleurs)]))</f>
        <v>1</v>
      </c>
      <c r="D63" s="84" t="s">
        <v>236</v>
      </c>
      <c r="E63" s="88" t="str">
        <f t="array" ref="E63">IF(AND(ISNUMBER(CertifiedCrop[6. Récolte totale de l’année précédente* 
(en kg ou en tiges de fleurs)])+ISBLANK(CertifiedCrop[6. Récolte totale de l’année précédente* 
(en kg ou en tiges de fleurs)])),Translations!$B$13, "D"&amp;MATCH(0,(ISNUMBER(CertifiedCrop[6. Récolte totale de l’année précédente* 
(en kg ou en tiges de fleurs)])+ISBLANK(CertifiedCrop[6. Récolte totale de l’année précédente* 
(en kg ou en tiges de fleurs)])),0)+2)</f>
        <v>Toutes les cellules sont des nombres</v>
      </c>
      <c r="F63" s="89" t="str">
        <f ca="1">IF(E63=Translations!$B$13,HYPERLINK("#"&amp;CELL("address"),Translations!$B$8),HYPERLINK("#'2. Certified crop'!"&amp;E63,Translations!$B$11))</f>
        <v>Non applicable.</v>
      </c>
    </row>
    <row r="64" spans="1:6" s="71" customFormat="1" ht="72" x14ac:dyDescent="0.2">
      <c r="A64" s="96" t="s">
        <v>148</v>
      </c>
      <c r="B64" s="84" t="s">
        <v>262</v>
      </c>
      <c r="C64" s="88" t="b">
        <f t="array" ref="C64">AND(ISBLANK(CertifiedCrop[1. Identifiant interne d’exploitation agricole*])=ISBLANK(CertifiedCrop[7. Volume vendu/livré au groupe l’année précédente *
(en kg ou en tiges de fleurs)]))</f>
        <v>0</v>
      </c>
      <c r="D64" s="84" t="s">
        <v>235</v>
      </c>
      <c r="E64" s="88" t="str">
        <f t="array" ref="E64">IF(ISNA(MATCH(FALSE,(ISBLANK(CertifiedCrop[1. Identifiant interne d’exploitation agricole*])=ISBLANK(CertifiedCrop[7. Volume vendu/livré au groupe l’année précédente *
(en kg ou en tiges de fleurs)])),0)),Translations!$B$12, "D"&amp;MATCH(FALSE,(ISBLANK(CertifiedCrop[1. Identifiant interne d’exploitation agricole*])=ISBLANK(CertifiedCrop[7. Volume vendu/livré au groupe l’année précédente *
(en kg ou en tiges de fleurs)])),0)+2)</f>
        <v>D1001</v>
      </c>
      <c r="F64" s="89" t="str">
        <f t="array" aca="1" ref="F64" ca="1">IF(E64=Translations!$B$12,HYPERLINK("#"&amp;CELL("address"),Translations!$B$8),HYPERLINK("#'2. Certified crop'!"&amp;E64,Translations!$B$11))</f>
        <v>Emplacement de la première cellule vide.</v>
      </c>
    </row>
    <row r="65" spans="1:6" s="71" customFormat="1" ht="29.25" x14ac:dyDescent="0.2">
      <c r="A65" s="96"/>
      <c r="B65" s="84" t="s">
        <v>207</v>
      </c>
      <c r="C65" s="88" t="b">
        <f t="array" ref="C65">AND(ISNUMBER(CertifiedCrop[7. Volume vendu/livré au groupe l’année précédente *
(en kg ou en tiges de fleurs)])+ISBLANK(CertifiedCrop[7. Volume vendu/livré au groupe l’année précédente *
(en kg ou en tiges de fleurs)]))</f>
        <v>1</v>
      </c>
      <c r="D65" s="84" t="s">
        <v>236</v>
      </c>
      <c r="E65" s="88" t="str">
        <f t="array" ref="E65">IF(AND(ISNUMBER(CertifiedCrop[7. Volume vendu/livré au groupe l’année précédente *
(en kg ou en tiges de fleurs)])+ISBLANK(CertifiedCrop[7. Volume vendu/livré au groupe l’année précédente *
(en kg ou en tiges de fleurs)])),Translations!$B$13, "D"&amp;MATCH(0,(ISNUMBER(CertifiedCrop[7. Volume vendu/livré au groupe l’année précédente *
(en kg ou en tiges de fleurs)])+ISBLANK(CertifiedCrop[7. Volume vendu/livré au groupe l’année précédente *
(en kg ou en tiges de fleurs)])),0)+2)</f>
        <v>Toutes les cellules sont des nombres</v>
      </c>
      <c r="F65" s="89" t="str">
        <f t="array" aca="1" ref="F65" ca="1">IF(E65=Translations!$B$13,HYPERLINK("#"&amp;CELL("address"),Translations!$B$8),HYPERLINK("#'2. Certified crop'!"&amp;E65,Translations!$B$11))</f>
        <v>Non applicable.</v>
      </c>
    </row>
    <row r="66" spans="1:6" s="71" customFormat="1" ht="44.25" x14ac:dyDescent="0.2">
      <c r="A66" s="96" t="s">
        <v>149</v>
      </c>
      <c r="B66" s="84" t="s">
        <v>215</v>
      </c>
      <c r="C66" s="88" t="b">
        <f t="array" ref="C66">AND(ISBLANK(CertifiedCrop[1. Identifiant interne d’exploitation agricole*])=ISBLANK(CertifiedCrop[8. Volume vendu/livré au groupe les 2 années précédentes **
(en kg ou en tiges de fleurs)]))</f>
        <v>0</v>
      </c>
      <c r="D66" s="84" t="s">
        <v>235</v>
      </c>
      <c r="E66" s="88" t="str">
        <f t="array" ref="E66">IF(ISNA(MATCH(FALSE,(ISBLANK(CertifiedCrop[1. Identifiant interne d’exploitation agricole*])=ISBLANK(CertifiedCrop[8. Volume vendu/livré au groupe les 2 années précédentes **
(en kg ou en tiges de fleurs)])),0)),Translations!$B$12, "D"&amp;MATCH(FALSE,(ISBLANK(CertifiedCrop[1. Identifiant interne d’exploitation agricole*])=ISBLANK(CertifiedCrop[8. Volume vendu/livré au groupe les 2 années précédentes **
(en kg ou en tiges de fleurs)])),0)+2)</f>
        <v>D1001</v>
      </c>
      <c r="F66" s="89" t="str">
        <f t="array" aca="1" ref="F66" ca="1">IF(E66=Translations!$B$12,HYPERLINK("#"&amp;CELL("address"),Translations!$B$8),HYPERLINK("#'2. Certified crop'!"&amp;E66,Translations!$B$11))</f>
        <v>Emplacement de la première cellule vide.</v>
      </c>
    </row>
    <row r="67" spans="1:6" s="71" customFormat="1" ht="44.25" x14ac:dyDescent="0.2">
      <c r="A67" s="96" t="s">
        <v>150</v>
      </c>
      <c r="B67" s="84" t="s">
        <v>215</v>
      </c>
      <c r="C67" s="88" t="b">
        <f t="array" ref="C67">AND(ISBLANK(CertifiedCrop[1. Identifiant interne d’exploitation agricole*])=ISBLANK(CertifiedCrop[9. Volume vendu/livré au groupe les 3 années précédentes **
(en kg ou en tiges de fleurs)]))</f>
        <v>0</v>
      </c>
      <c r="D67" s="84" t="s">
        <v>235</v>
      </c>
      <c r="E67" s="88" t="str">
        <f t="array" ref="E67">IF(ISNA(MATCH(FALSE,(ISBLANK(CertifiedCrop[1. Identifiant interne d’exploitation agricole*])=ISBLANK(CertifiedCrop[9. Volume vendu/livré au groupe les 3 années précédentes **
(en kg ou en tiges de fleurs)])),0)),Translations!$B$12, "D"&amp;MATCH(FALSE,(ISBLANK(CertifiedCrop[1. Identifiant interne d’exploitation agricole*])=ISBLANK(CertifiedCrop[9. Volume vendu/livré au groupe les 3 années précédentes **
(en kg ou en tiges de fleurs)])),0)+2)</f>
        <v>D1001</v>
      </c>
      <c r="F67" s="89" t="str">
        <f t="array" aca="1" ref="F67" ca="1">IF(E67=Translations!$B$12,HYPERLINK("#"&amp;CELL("address"),Translations!$B$8),HYPERLINK("#'2. Certified crop'!"&amp;E67,Translations!$B$11))</f>
        <v>Emplacement de la première cellule vide.</v>
      </c>
    </row>
    <row r="68" spans="1:6" s="71" customFormat="1" ht="30" x14ac:dyDescent="0.2">
      <c r="A68" s="96" t="s">
        <v>247</v>
      </c>
      <c r="B68" s="97" t="s">
        <v>263</v>
      </c>
      <c r="C68" s="101">
        <f>COUNTA('2. Produit agricole certifié'!$E$3:$E$50)</f>
        <v>48</v>
      </c>
      <c r="D68" s="82" t="s">
        <v>268</v>
      </c>
      <c r="E68" s="102"/>
      <c r="F68" s="103"/>
    </row>
    <row r="69" spans="1:6" s="71" customFormat="1" ht="29.25" x14ac:dyDescent="0.2">
      <c r="A69" s="96" t="s">
        <v>248</v>
      </c>
      <c r="B69" s="97" t="s">
        <v>263</v>
      </c>
      <c r="C69" s="101">
        <f>SUM('2. Produit agricole certifié'!D:D)</f>
        <v>3040.5954000000002</v>
      </c>
      <c r="D69" s="82" t="s">
        <v>269</v>
      </c>
      <c r="E69" s="102"/>
      <c r="F69" s="103"/>
    </row>
    <row r="70" spans="1:6" s="71" customFormat="1" ht="43.5" x14ac:dyDescent="0.2">
      <c r="A70" s="96" t="s">
        <v>249</v>
      </c>
      <c r="B70" s="97" t="s">
        <v>263</v>
      </c>
      <c r="C70" s="101">
        <f>SUM('2. Produit agricole certifié'!E:E)</f>
        <v>1763881.3316800701</v>
      </c>
      <c r="D70" s="82" t="s">
        <v>270</v>
      </c>
      <c r="E70" s="102"/>
      <c r="F70" s="103"/>
    </row>
    <row r="71" spans="1:6" s="71" customFormat="1" ht="44.25" x14ac:dyDescent="0.2">
      <c r="A71" s="96" t="s">
        <v>250</v>
      </c>
      <c r="B71" s="97" t="s">
        <v>263</v>
      </c>
      <c r="C71" s="101">
        <f>SUM('2. Produit agricole certifié'!F:F)</f>
        <v>1693205.3696018066</v>
      </c>
      <c r="D71" s="82" t="s">
        <v>271</v>
      </c>
      <c r="E71" s="102"/>
      <c r="F71" s="103"/>
    </row>
    <row r="72" spans="1:6" s="71" customFormat="1" ht="44.25" x14ac:dyDescent="0.2">
      <c r="A72" s="96" t="s">
        <v>251</v>
      </c>
      <c r="B72" s="97" t="s">
        <v>263</v>
      </c>
      <c r="C72" s="101">
        <f>SUM('2. Produit agricole certifié'!G:G)</f>
        <v>936816</v>
      </c>
      <c r="D72" s="82" t="s">
        <v>272</v>
      </c>
      <c r="E72" s="102"/>
      <c r="F72" s="103"/>
    </row>
    <row r="73" spans="1:6" s="71" customFormat="1" ht="30" x14ac:dyDescent="0.2">
      <c r="A73" s="96" t="s">
        <v>252</v>
      </c>
      <c r="B73" s="97" t="s">
        <v>264</v>
      </c>
      <c r="C73" s="81">
        <f>COUNTIF('2. Produit agricole certifié'!L:L,"!")</f>
        <v>0</v>
      </c>
      <c r="D73" s="82" t="s">
        <v>273</v>
      </c>
      <c r="E73" s="102"/>
      <c r="F73" s="103"/>
    </row>
    <row r="74" spans="1:6" s="71" customFormat="1" ht="30" x14ac:dyDescent="0.2">
      <c r="A74" s="96" t="s">
        <v>253</v>
      </c>
      <c r="B74" s="97" t="s">
        <v>263</v>
      </c>
      <c r="C74" s="104">
        <f>AVERAGE('2. Produit agricole certifié'!O:O)</f>
        <v>581.41227256804655</v>
      </c>
      <c r="D74" s="82" t="s">
        <v>274</v>
      </c>
      <c r="E74" s="102"/>
      <c r="F74" s="103"/>
    </row>
    <row r="75" spans="1:6" s="71" customFormat="1" ht="44.25" x14ac:dyDescent="0.2">
      <c r="A75" s="96" t="s">
        <v>254</v>
      </c>
      <c r="B75" s="97" t="s">
        <v>263</v>
      </c>
      <c r="C75" s="104">
        <f>AVERAGE('2. Produit agricole certifié'!P:P)</f>
        <v>557.94589144335259</v>
      </c>
      <c r="D75" s="82" t="s">
        <v>275</v>
      </c>
      <c r="E75" s="102"/>
      <c r="F75" s="103"/>
    </row>
    <row r="76" spans="1:6" x14ac:dyDescent="0.15">
      <c r="A76" s="19"/>
      <c r="B76" s="19"/>
      <c r="C76" s="43"/>
      <c r="D76" s="19"/>
      <c r="F76" s="19"/>
    </row>
    <row r="77" spans="1:6" ht="15" x14ac:dyDescent="0.2">
      <c r="A77" s="13"/>
      <c r="B77" s="13"/>
      <c r="C77" s="44"/>
      <c r="D77" s="13"/>
      <c r="E77" s="40"/>
    </row>
    <row r="78" spans="1:6" ht="18" x14ac:dyDescent="0.2">
      <c r="A78" s="14" t="s">
        <v>10</v>
      </c>
      <c r="B78" s="19"/>
      <c r="C78" s="43"/>
      <c r="D78" s="19"/>
      <c r="E78" s="39"/>
    </row>
    <row r="79" spans="1:6" ht="27.75" x14ac:dyDescent="0.15">
      <c r="A79" s="16" t="s">
        <v>245</v>
      </c>
      <c r="B79" s="16" t="s">
        <v>192</v>
      </c>
      <c r="C79" s="42" t="s">
        <v>193</v>
      </c>
      <c r="D79" s="16" t="s">
        <v>194</v>
      </c>
      <c r="E79" s="38" t="s">
        <v>195</v>
      </c>
      <c r="F79" s="16" t="s">
        <v>196</v>
      </c>
    </row>
    <row r="80" spans="1:6" s="71" customFormat="1" ht="57.75" x14ac:dyDescent="0.2">
      <c r="A80" s="96" t="s">
        <v>246</v>
      </c>
      <c r="B80" s="97" t="s">
        <v>255</v>
      </c>
      <c r="C80" s="98" t="b">
        <f t="array" ref="C80">IFERROR(AND(FarmUnit[1. Identifiant interne de l’exploitation agricole présent sur la feuille 1. Membre du groupe]),TRUE)</f>
        <v>1</v>
      </c>
      <c r="D80" s="97" t="s">
        <v>286</v>
      </c>
      <c r="E80" s="99" t="str">
        <f t="array" ref="E80">IF(ISNA(MATCH(FALSE,FarmUnit[1. Identifiant interne de l’exploitation agricole présent sur la feuille 1. Membre du groupe],0)),Translations!$B$22, "J"&amp;MATCH(FALSE,FarmUnit[1. Identifiant interne de l’exploitation agricole présent sur la feuille 1. Membre du groupe],0)+2)</f>
        <v>Chaque identifiant interne de membre du groupe est présent.</v>
      </c>
      <c r="F80" s="100" t="str">
        <f t="array" aca="1" ref="F80" ca="1">IF(E80=Translations!$B$22,HYPERLINK("#"&amp;CELL("address"),Translations!$B$8),HYPERLINK("#'3. Farm unit'!"&amp;E80,Translations!$B$23))</f>
        <v>Non applicable.</v>
      </c>
    </row>
    <row r="81" spans="1:6" s="71" customFormat="1" ht="72" x14ac:dyDescent="0.2">
      <c r="A81" s="96" t="s">
        <v>162</v>
      </c>
      <c r="B81" s="84" t="s">
        <v>259</v>
      </c>
      <c r="C81" s="88" t="b">
        <f t="array" ref="C81">AND(ISBLANK(FarmUnit[1. Identifiant interne d’exploitation agricole*])=ISBLANK(FarmUnit[2. Identifiant d’unité agricole*]))</f>
        <v>1</v>
      </c>
      <c r="D81" s="84" t="s">
        <v>235</v>
      </c>
      <c r="E81" s="88" t="str">
        <f t="array" ref="E81">IF(ISNA(MATCH(FALSE,(ISBLANK(FarmUnit[1. Identifiant interne d’exploitation agricole*])=ISBLANK(FarmUnit[2. Identifiant d’unité agricole*])),0)),Translations!$B$12, "D"&amp;MATCH(FALSE,(ISBLANK(FarmUnit[1. Identifiant interne d’exploitation agricole*])=ISBLANK(FarmUnit[2. Identifiant d’unité agricole*])),0)+2)</f>
        <v>Il n’y a aucune cellule vide.</v>
      </c>
      <c r="F81" s="89" t="str">
        <f ca="1">IF(E81=Translations!$B$12,HYPERLINK("#"&amp;CELL("address"),Translations!$B$8),HYPERLINK("#'3. Farm unit'!"&amp;E81,Translations!$B$11))</f>
        <v>Non applicable.</v>
      </c>
    </row>
    <row r="82" spans="1:6" s="71" customFormat="1" ht="72" x14ac:dyDescent="0.2">
      <c r="A82" s="96" t="s">
        <v>163</v>
      </c>
      <c r="B82" s="84" t="s">
        <v>259</v>
      </c>
      <c r="C82" s="88" t="b">
        <f t="array" ref="C82">AND(ISBLANK(FarmUnit[1. Identifiant interne d’exploitation agricole*])=ISBLANK(FarmUnit[3. Superficie de l’unité agricole (ha)*]))</f>
        <v>1</v>
      </c>
      <c r="D82" s="84" t="s">
        <v>235</v>
      </c>
      <c r="E82" s="88" t="str">
        <f t="array" ref="E82">IF(ISNA(MATCH(FALSE,(ISBLANK(FarmUnit[1. Identifiant interne d’exploitation agricole*])=ISBLANK(FarmUnit[3. Superficie de l’unité agricole (ha)*])),0)),Translations!$B$12, "D"&amp;MATCH(FALSE,(ISBLANK(FarmUnit[1. Identifiant interne d’exploitation agricole*])=ISBLANK(FarmUnit[3. Superficie de l’unité agricole (ha)*])),0)+2)</f>
        <v>Il n’y a aucune cellule vide.</v>
      </c>
      <c r="F82" s="89" t="str">
        <f t="array" aca="1" ref="F82" ca="1">IF(E82=Translations!$B$12,HYPERLINK("#"&amp;CELL("address"),Translations!$B$8),HYPERLINK("#'3. Farm unit'!"&amp;E82,Translations!$B$11))</f>
        <v>Non applicable.</v>
      </c>
    </row>
    <row r="83" spans="1:6" s="71" customFormat="1" ht="29.25" x14ac:dyDescent="0.2">
      <c r="A83" s="96"/>
      <c r="B83" s="84" t="s">
        <v>207</v>
      </c>
      <c r="C83" s="88" t="b">
        <f t="array" ref="C83">AND(ISNUMBER(FarmUnit[3. Superficie de l’unité agricole (ha)*])+ISBLANK(FarmUnit[3. Superficie de l’unité agricole (ha)*]))</f>
        <v>1</v>
      </c>
      <c r="D83" s="84" t="s">
        <v>236</v>
      </c>
      <c r="E83" s="88" t="str">
        <f t="array" ref="E83">IF(AND(ISNUMBER(FarmUnit[3. Superficie de l’unité agricole (ha)*])+ISBLANK(FarmUnit[3. Superficie de l’unité agricole (ha)*])),Translations!$B$13, "D"&amp;MATCH(0,(ISNUMBER(FarmUnit[3. Superficie de l’unité agricole (ha)*])+ISBLANK(FarmUnit[3. Superficie de l’unité agricole (ha)*])),0)+2)</f>
        <v>Toutes les cellules sont des nombres</v>
      </c>
      <c r="F83" s="89" t="str">
        <f t="array" aca="1" ref="F83" ca="1">IF(E83=Translations!$B$13,HYPERLINK("#"&amp;CELL("address"),Translations!$B$8),HYPERLINK("#'3. Farm unit'!"&amp;E83,Translations!$B$11))</f>
        <v>Non applicable.</v>
      </c>
    </row>
    <row r="84" spans="1:6" s="71" customFormat="1" ht="43.5" x14ac:dyDescent="0.2">
      <c r="A84" s="96" t="s">
        <v>164</v>
      </c>
      <c r="B84" s="84" t="s">
        <v>215</v>
      </c>
      <c r="C84" s="88" t="b">
        <f t="array" ref="C84">AND(ISBLANK(FarmUnit[1. Identifiant interne d’exploitation agricole*])=ISBLANK(FarmUnit[4. Latitude (format DD)**]))</f>
        <v>1</v>
      </c>
      <c r="D84" s="84" t="s">
        <v>235</v>
      </c>
      <c r="E84" s="88" t="str">
        <f t="array" ref="E84">IF(ISNA(MATCH(FALSE,(ISBLANK(FarmUnit[1. Identifiant interne d’exploitation agricole*])=ISBLANK(FarmUnit[4. Latitude (format DD)**])),0)),Translations!$B$12, "D"&amp;MATCH(FALSE,(ISBLANK(FarmUnit[1. Identifiant interne d’exploitation agricole*])=ISBLANK(FarmUnit[4. Latitude (format DD)**])),0)+2)</f>
        <v>Il n’y a aucune cellule vide.</v>
      </c>
      <c r="F84" s="89" t="str">
        <f t="array" aca="1" ref="F84" ca="1">IF(E84=Translations!$B$12,HYPERLINK("#"&amp;CELL("address"),Translations!$B$8),HYPERLINK("#'3. Farm unit'!"&amp;E84,Translations!$B$11))</f>
        <v>Non applicable.</v>
      </c>
    </row>
    <row r="85" spans="1:6" s="71" customFormat="1" ht="43.5" x14ac:dyDescent="0.2">
      <c r="A85" s="96"/>
      <c r="B85" s="105" t="s">
        <v>281</v>
      </c>
      <c r="C85" s="106" t="b">
        <f t="array" ref="C85">AND(IF(ISNUMBER(FarmUnit[4. Latitude (format DD)**]),FALSE,TRUE)+IF(ISNUMBER(FarmUnit[4. Latitude (format DD)**]),IF(LEN(MOD(FarmUnit[4. Latitude (format DD)**],1))&gt;5,TRUE,FALSE),FALSE))</f>
        <v>0</v>
      </c>
      <c r="D85" s="97" t="s">
        <v>287</v>
      </c>
      <c r="E85" s="88" t="str">
        <f t="array" ref="E85">IF(AND(IF(ISNUMBER(FarmUnit[4. Latitude (format DD)**]),FALSE,TRUE)+IF(ISNUMBER(FarmUnit[4. Latitude (format DD)**]),IF(LEN(MOD(FarmUnit[4. Latitude (format DD)**],1))&gt;5,TRUE,FALSE),FALSE)),Translations!$B$26, "D"&amp;MATCH(0,(IF(ISNUMBER(FarmUnit[4. Latitude (format DD)**]),FALSE,TRUE)+IF(ISNUMBER(FarmUnit[4. Latitude (format DD)**]),IF(LEN(MOD(FarmUnit[4. Latitude (format DD)**],1))&gt;5,TRUE,FALSE),FALSE)),0)+2)</f>
        <v>D11</v>
      </c>
      <c r="F85" s="89" t="str">
        <f ca="1">IF(E85=Translations!$B$26,HYPERLINK("#"&amp;CELL("address"),Translations!$B$8),HYPERLINK("#'3. Farm unit'!"&amp;E85,Translations!$B$21))</f>
        <v>Emplacement de la valeur invalide.</v>
      </c>
    </row>
    <row r="86" spans="1:6" s="71" customFormat="1" ht="29.25" x14ac:dyDescent="0.2">
      <c r="A86" s="96"/>
      <c r="B86" s="105" t="s">
        <v>282</v>
      </c>
      <c r="C86" s="106" t="b">
        <f t="array" ref="C86">AND(IFERROR(FarmUnit[4. Latitude (format DD)**]&gt;-181,FALSE)*(FarmUnit[4. Latitude (format DD)**]&lt;181)+ISTEXT(FarmUnit[4. Latitude (format DD)**]))</f>
        <v>1</v>
      </c>
      <c r="D86" s="97" t="s">
        <v>288</v>
      </c>
      <c r="E86" s="88" t="str">
        <f t="array" ref="E86">IF(AND(IFERROR(FarmUnit[4. Latitude (format DD)**]&gt;-181,FALSE)*(FarmUnit[4. Latitude (format DD)**]&lt;181)+ISTEXT(FarmUnit[4. Latitude (format DD)**])),Translations!$B$20, "D"&amp;MATCH(0,IFERROR(FarmUnit[4. Latitude (format DD)**]&gt;-181,FALSE)*(FarmUnit[4. Latitude (format DD)**]&lt;181)+ISTEXT(FarmUnit[4. Latitude (format DD)**]),0)+2)</f>
        <v>Toutes les valeurs sont correctes.</v>
      </c>
      <c r="F86" s="89" t="str">
        <f t="array" aca="1" ref="F86" ca="1">IF(E86=Translations!$B$20,HYPERLINK("#"&amp;CELL("address"),Translations!$B$8),HYPERLINK("#'3. Farm unit'!"&amp;E86,Translations!$B$21))</f>
        <v>Non applicable.</v>
      </c>
    </row>
    <row r="87" spans="1:6" s="71" customFormat="1" ht="43.5" x14ac:dyDescent="0.2">
      <c r="A87" s="96"/>
      <c r="B87" s="105" t="s">
        <v>283</v>
      </c>
      <c r="C87" s="106" t="b">
        <f t="array" ref="C87">AND(IF(FarmUnit[S’agit-il de la plus grande unité agricole]="!",ISNUMBER(FarmUnit[4. Latitude (format DD)**]),TRUE))</f>
        <v>1</v>
      </c>
      <c r="D87" s="97" t="s">
        <v>289</v>
      </c>
      <c r="E87" s="88" t="str">
        <f t="array" ref="E87">IF(AND(IF(FarmUnit[S’agit-il de la plus grande unité agricole]="!",ISNUMBER(FarmUnit[4. Latitude (format DD)**]),TRUE)),Translations!$B$20, "D"&amp;MATCH(FALSE,IF(FarmUnit[S’agit-il de la plus grande unité agricole]="!",ISNUMBER(FarmUnit[4. Latitude (format DD)**]),TRUE),0)+2)</f>
        <v>Toutes les valeurs sont correctes.</v>
      </c>
      <c r="F87" s="89" t="str">
        <f t="array" aca="1" ref="F87" ca="1">IF(E87=Translations!$B$20,HYPERLINK("#"&amp;CELL("address"),Translations!$B$8),HYPERLINK("#'3. Farm unit'!"&amp;E87,Translations!$B$21))</f>
        <v>Non applicable.</v>
      </c>
    </row>
    <row r="88" spans="1:6" s="71" customFormat="1" ht="43.5" x14ac:dyDescent="0.2">
      <c r="A88" s="96" t="s">
        <v>165</v>
      </c>
      <c r="B88" s="84" t="s">
        <v>215</v>
      </c>
      <c r="C88" s="88" t="b">
        <f t="array" ref="C88">AND(ISBLANK(FarmUnit[1. Identifiant interne d’exploitation agricole*])=ISBLANK(FarmUnit[5. Longitude (format DD)**]))</f>
        <v>1</v>
      </c>
      <c r="D88" s="84" t="s">
        <v>235</v>
      </c>
      <c r="E88" s="88" t="str">
        <f t="array" ref="E88">IF(ISNA(MATCH(FALSE,(ISBLANK(FarmUnit[1. Identifiant interne d’exploitation agricole*])=ISBLANK(FarmUnit[5. Longitude (format DD)**])),0)),Translations!$B$12, "D"&amp;MATCH(FALSE,(ISBLANK(FarmUnit[1. Identifiant interne d’exploitation agricole*])=ISBLANK(FarmUnit[5. Longitude (format DD)**])),0)+2)</f>
        <v>Il n’y a aucune cellule vide.</v>
      </c>
      <c r="F88" s="89" t="str">
        <f t="array" aca="1" ref="F88" ca="1">IF(E88=Translations!$B$12,HYPERLINK("#"&amp;CELL("address"),Translations!$B$8),HYPERLINK("#'3. Farm unit'!"&amp;E88,Translations!$B$11))</f>
        <v>Non applicable.</v>
      </c>
    </row>
    <row r="89" spans="1:6" s="71" customFormat="1" ht="43.5" x14ac:dyDescent="0.2">
      <c r="A89" s="96"/>
      <c r="B89" s="105" t="s">
        <v>284</v>
      </c>
      <c r="C89" s="106" t="b">
        <f t="array" ref="C89">AND(IF(ISNUMBER(FarmUnit[5. Longitude (format DD)**]),FALSE,TRUE)+IF(ISNUMBER(FarmUnit[5. Longitude (format DD)**]),IF(LEN(MOD(FarmUnit[5. Longitude (format DD)**],1))&gt;5,TRUE,FALSE),FALSE))</f>
        <v>0</v>
      </c>
      <c r="D89" s="97" t="s">
        <v>287</v>
      </c>
      <c r="E89" s="88" t="str">
        <f t="array" ref="E89">IF(AND(IF(ISNUMBER(FarmUnit[5. Longitude (format DD)**]),FALSE,TRUE)+IF(ISNUMBER(FarmUnit[5. Longitude (format DD)**]),IF(LEN(MOD(FarmUnit[5. Longitude (format DD)**],1))&gt;5,TRUE,FALSE),FALSE)),Translations!$B$26, "D"&amp;MATCH(0,(IF(ISNUMBER(FarmUnit[5. Longitude (format DD)**]),FALSE,TRUE)+IF(ISNUMBER(FarmUnit[5. Longitude (format DD)**]),IF(LEN(MOD(FarmUnit[5. Longitude (format DD)**],1))&gt;5,TRUE,FALSE),FALSE)),0)+2)</f>
        <v>D124</v>
      </c>
      <c r="F89" s="89" t="str">
        <f ca="1">IF(E89=Translations!$B$26,HYPERLINK("#"&amp;CELL("address"),Translations!$B$8),HYPERLINK("#'3. Farm unit'!"&amp;E89,Translations!$B$21))</f>
        <v>Emplacement de la valeur invalide.</v>
      </c>
    </row>
    <row r="90" spans="1:6" s="71" customFormat="1" ht="29.25" x14ac:dyDescent="0.2">
      <c r="A90" s="96"/>
      <c r="B90" s="105" t="s">
        <v>285</v>
      </c>
      <c r="C90" s="106" t="b">
        <f t="array" ref="C90">AND(IFERROR(FarmUnit[5. Longitude (format DD)**]&gt;-91,FALSE)*(FarmUnit[5. Longitude (format DD)**]&lt;91)+ISTEXT(FarmUnit[5. Longitude (format DD)**]))</f>
        <v>1</v>
      </c>
      <c r="D90" s="97" t="s">
        <v>290</v>
      </c>
      <c r="E90" s="88" t="str">
        <f t="array" ref="E90">IF(AND(IFERROR(FarmUnit[5. Longitude (format DD)**]&gt;-91,FALSE)*(FarmUnit[5. Longitude (format DD)**]&lt;91)+ISTEXT(FarmUnit[5. Longitude (format DD)**])),Translations!$B$20, "EB"&amp;MATCH(0,IFERROR(FarmUnit[5. Longitude (format DD)**]&gt;-91,FALSE)*(FarmUnit[5. Longitude (format DD)**]&lt;91)+ISTEXT(FarmUnit[5. Longitude (format DD)**]),0)+2)</f>
        <v>Toutes les valeurs sont correctes.</v>
      </c>
      <c r="F90" s="89" t="str">
        <f t="array" aca="1" ref="F90" ca="1">IF(E90=Translations!$B$20,HYPERLINK("#"&amp;CELL("address"),Translations!$B$8),HYPERLINK("#'3. Farm unit'!"&amp;E90,Translations!$B$21))</f>
        <v>Non applicable.</v>
      </c>
    </row>
    <row r="91" spans="1:6" s="71" customFormat="1" ht="43.5" x14ac:dyDescent="0.2">
      <c r="A91" s="96"/>
      <c r="B91" s="105" t="s">
        <v>283</v>
      </c>
      <c r="C91" s="106" t="b">
        <f t="array" ref="C91">AND(IF(FarmUnit[S’agit-il de la plus grande unité agricole]="!",ISNUMBER(FarmUnit[5. Longitude (format DD)**]),TRUE))</f>
        <v>1</v>
      </c>
      <c r="D91" s="97" t="s">
        <v>291</v>
      </c>
      <c r="E91" s="88" t="str">
        <f t="array" ref="E91">IF(AND(IF(FarmUnit[S’agit-il de la plus grande unité agricole]="!",ISNUMBER(FarmUnit[5. Longitude (format DD)**]),TRUE)),Translations!$B$20, "D"&amp;MATCH(FALSE,IF(FarmUnit[S’agit-il de la plus grande unité agricole]="!",ISNUMBER(FarmUnit[5. Longitude (format DD)**]),TRUE),0)+2)</f>
        <v>Toutes les valeurs sont correctes.</v>
      </c>
      <c r="F91" s="89" t="str">
        <f t="array" aca="1" ref="F91" ca="1">IF(E91=Translations!$B$20,HYPERLINK("#"&amp;CELL("address"),Translations!$B$8),HYPERLINK("#'3. Farm unit'!"&amp;E91,Translations!$B$21))</f>
        <v>Non applicable.</v>
      </c>
    </row>
    <row r="92" spans="1:6" s="71" customFormat="1" ht="30" x14ac:dyDescent="0.2">
      <c r="A92" s="96" t="s">
        <v>276</v>
      </c>
      <c r="B92" s="97" t="s">
        <v>263</v>
      </c>
      <c r="C92" s="107">
        <f>COUNTA('3. Unité agricole'!$C$3:$C$50)</f>
        <v>48</v>
      </c>
      <c r="D92" s="82" t="s">
        <v>292</v>
      </c>
      <c r="E92" s="108"/>
      <c r="F92" s="109"/>
    </row>
    <row r="93" spans="1:6" s="71" customFormat="1" ht="57.75" x14ac:dyDescent="0.2">
      <c r="A93" s="96" t="s">
        <v>277</v>
      </c>
      <c r="B93" s="97" t="s">
        <v>263</v>
      </c>
      <c r="C93" s="107">
        <f t="array" ref="C93">SUM(IF('3. Unité agricole'!$A$3:$A$1081&lt;&gt;"",1/COUNTIF('3. Unité agricole'!$A$3:$A$1081,'3. Unité agricole'!$A$3:$A$1081),"not working"))</f>
        <v>1079</v>
      </c>
      <c r="D93" s="82" t="s">
        <v>293</v>
      </c>
      <c r="E93" s="108"/>
      <c r="F93" s="109"/>
    </row>
    <row r="94" spans="1:6" s="71" customFormat="1" ht="29.25" x14ac:dyDescent="0.2">
      <c r="A94" s="96" t="s">
        <v>278</v>
      </c>
      <c r="B94" s="97" t="s">
        <v>263</v>
      </c>
      <c r="C94" s="107">
        <f>SUM('3. Unité agricole'!C:C)</f>
        <v>2896.3340000000003</v>
      </c>
      <c r="D94" s="97" t="s">
        <v>294</v>
      </c>
      <c r="E94" s="102"/>
      <c r="F94" s="109"/>
    </row>
    <row r="95" spans="1:6" s="71" customFormat="1" ht="57.75" x14ac:dyDescent="0.2">
      <c r="A95" s="96" t="s">
        <v>279</v>
      </c>
      <c r="B95" s="97" t="s">
        <v>263</v>
      </c>
      <c r="C95" s="107">
        <f>COUNTIF('3. Unité agricole'!I:I,"!")</f>
        <v>1079</v>
      </c>
      <c r="D95" s="97" t="s">
        <v>295</v>
      </c>
      <c r="E95" s="102"/>
      <c r="F95" s="109"/>
    </row>
    <row r="96" spans="1:6" s="71" customFormat="1" ht="43.5" x14ac:dyDescent="0.2">
      <c r="A96" s="96" t="s">
        <v>280</v>
      </c>
      <c r="B96" s="97" t="s">
        <v>263</v>
      </c>
      <c r="C96" s="107">
        <f>MIN(COUNTA('3. Unité agricole'!$D$3:$D$50),COUNTA('3. Unité agricole'!$E$3:$E$50))</f>
        <v>48</v>
      </c>
      <c r="D96" s="97" t="s">
        <v>296</v>
      </c>
      <c r="E96" s="102"/>
      <c r="F96" s="109"/>
    </row>
    <row r="97" s="10" customFormat="1" x14ac:dyDescent="0.15"/>
    <row r="98" s="10" customFormat="1" x14ac:dyDescent="0.15"/>
    <row r="99" s="10" customFormat="1" x14ac:dyDescent="0.15"/>
    <row r="100" s="10" customFormat="1" x14ac:dyDescent="0.15"/>
    <row r="101" s="10" customFormat="1" x14ac:dyDescent="0.15"/>
    <row r="102" s="10" customFormat="1" x14ac:dyDescent="0.15"/>
    <row r="103" s="10" customFormat="1" x14ac:dyDescent="0.15"/>
    <row r="104" s="10" customFormat="1" x14ac:dyDescent="0.15"/>
  </sheetData>
  <sheetProtection algorithmName="SHA-512" hashValue="gmHXxYp45zUD6x9pqs2iL2ye3u3tSX3wULk+pg+Dyw6VivevoHP/URjgCXyDrw5U5rvWx4/otwZhoNlKxz7ubQ==" saltValue="4fRmpnZ3hoFicLmkSo0Djg==" spinCount="100000" sheet="1" objects="1" scenarios="1" pivotTables="0"/>
  <mergeCells count="1">
    <mergeCell ref="A4:E4"/>
  </mergeCells>
  <conditionalFormatting sqref="C97:C108 C8:C51 C53:C78 C80:C90">
    <cfRule type="containsText" dxfId="19" priority="50" operator="containsText" text="TRUE">
      <formula>NOT(ISERROR(SEARCH("TRUE",C8)))</formula>
    </cfRule>
    <cfRule type="containsText" dxfId="18" priority="51" operator="containsText" text="FALSE">
      <formula>NOT(ISERROR(SEARCH("FALSE",C8)))</formula>
    </cfRule>
  </conditionalFormatting>
  <conditionalFormatting sqref="C73">
    <cfRule type="cellIs" dxfId="17" priority="13" operator="greaterThan">
      <formula>0</formula>
    </cfRule>
  </conditionalFormatting>
  <conditionalFormatting sqref="C91">
    <cfRule type="containsText" dxfId="16" priority="11" operator="containsText" text="TRUE">
      <formula>NOT(ISERROR(SEARCH("TRUE",C91)))</formula>
    </cfRule>
    <cfRule type="containsText" dxfId="15" priority="12" operator="containsText" text="FALSE">
      <formula>NOT(ISERROR(SEARCH("FALSE",C91)))</formula>
    </cfRule>
  </conditionalFormatting>
  <conditionalFormatting sqref="C7">
    <cfRule type="containsText" dxfId="14" priority="9" operator="containsText" text="TRUE">
      <formula>NOT(ISERROR(SEARCH("TRUE",C7)))</formula>
    </cfRule>
    <cfRule type="containsText" dxfId="13" priority="10" operator="containsText" text="FALSE">
      <formula>NOT(ISERROR(SEARCH("FALSE",C7)))</formula>
    </cfRule>
  </conditionalFormatting>
  <conditionalFormatting sqref="C52">
    <cfRule type="containsText" dxfId="12" priority="7" operator="containsText" text="TRUE">
      <formula>NOT(ISERROR(SEARCH("TRUE",C52)))</formula>
    </cfRule>
    <cfRule type="containsText" dxfId="11" priority="8" operator="containsText" text="FALSE">
      <formula>NOT(ISERROR(SEARCH("FALSE",C52)))</formula>
    </cfRule>
  </conditionalFormatting>
  <conditionalFormatting sqref="C79">
    <cfRule type="containsText" dxfId="10" priority="5" operator="containsText" text="TRUE">
      <formula>NOT(ISERROR(SEARCH("TRUE",C79)))</formula>
    </cfRule>
    <cfRule type="containsText" dxfId="9" priority="6" operator="containsText" text="FALSE">
      <formula>NOT(ISERROR(SEARCH("FALSE",C79)))</formula>
    </cfRule>
  </conditionalFormatting>
  <conditionalFormatting sqref="D87">
    <cfRule type="containsText" dxfId="8" priority="3" operator="containsText" text="TRUE">
      <formula>NOT(ISERROR(SEARCH("TRUE",D87)))</formula>
    </cfRule>
    <cfRule type="containsText" dxfId="7" priority="4" operator="containsText" text="FALSE">
      <formula>NOT(ISERROR(SEARCH("FALSE",D87)))</formula>
    </cfRule>
  </conditionalFormatting>
  <conditionalFormatting sqref="D91">
    <cfRule type="containsText" dxfId="6" priority="1" operator="containsText" text="TRUE">
      <formula>NOT(ISERROR(SEARCH("TRUE",D91)))</formula>
    </cfRule>
    <cfRule type="containsText" dxfId="5" priority="2" operator="containsText" text="FALSE">
      <formula>NOT(ISERROR(SEARCH("FALSE",D91)))</formula>
    </cfRule>
  </conditionalFormatting>
  <dataValidations count="5">
    <dataValidation allowBlank="1" showInputMessage="1" showErrorMessage="1" promptTitle="Attention" prompt="IIt is obligatory to provide one GPS point for the largest farm unit of each group member!_x000a_Please use a number format, 4 or more decimals. _x000a_XX.XXXX or XX,XXXX_x000a_If you use the wrong format, the columns on the right will be marked in red." sqref="A84:A87" xr:uid="{00000000-0002-0000-0400-000000000000}"/>
    <dataValidation allowBlank="1" showInputMessage="1" showErrorMessage="1" promptTitle="Mandatory value" prompt="Please indicate here the farm unit ID that you use in your internal management system, e.g. when collecting geolocation data." sqref="A81" xr:uid="{00000000-0002-0000-0400-000001000000}"/>
    <dataValidation allowBlank="1" showInputMessage="1" showErrorMessage="1" promptTitle="Mandatory Information" prompt="The area of the specific farm unit. _x000a_The sum of all Farm Units of a group member should not be larger than the Total Farm Area in tab 1. Group Member. _x000a__x000a_Use format cell as &quot;number&quot;" sqref="A82:A83" xr:uid="{00000000-0002-0000-0400-000002000000}"/>
    <dataValidation allowBlank="1" showInputMessage="1" showErrorMessage="1" promptTitle="Mandatory value" prompt="Please make sure to use the same ID presented on tab 1. Group member, column 1._x000a_If a member has more than one farm unit of cert- prod repeat the ID as many lines as there are farm units. Please check the requirements on geodata for your upcoming audit." sqref="A80" xr:uid="{00000000-0002-0000-0400-000003000000}"/>
    <dataValidation allowBlank="1" showInputMessage="1" showErrorMessage="1" promptTitle="Attention" prompt="It is obligatory to provide one GPS point for the largest farm unit of each group member!_x000a_Please use a number format, 4 or more decimals. _x000a_XX.XXXX or XX,XXXX_x000a_If you use the wrong format, the columns on the right will be marked in red." sqref="A88:A90" xr:uid="{00000000-0002-0000-0400-000004000000}"/>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2:C29"/>
  <sheetViews>
    <sheetView showGridLines="0" zoomScaleNormal="100" workbookViewId="0">
      <selection activeCell="C14" sqref="C14"/>
    </sheetView>
  </sheetViews>
  <sheetFormatPr defaultColWidth="8.7421875" defaultRowHeight="13.5" x14ac:dyDescent="0.15"/>
  <cols>
    <col min="1" max="1" width="58.65234375" style="10" customWidth="1"/>
    <col min="2" max="2" width="45.33203125" style="10" customWidth="1"/>
    <col min="3" max="5" width="50.71484375" style="10" bestFit="1" customWidth="1"/>
    <col min="6" max="6" width="14.52734375" style="10" customWidth="1"/>
    <col min="7" max="7" width="2.6875" style="10" customWidth="1"/>
    <col min="8" max="18" width="50.71484375" style="10" bestFit="1" customWidth="1"/>
    <col min="19" max="19" width="36.3203125" style="10" bestFit="1" customWidth="1"/>
    <col min="20" max="20" width="55.2890625" style="10" bestFit="1" customWidth="1"/>
    <col min="21" max="28" width="69.546875" style="10" bestFit="1" customWidth="1"/>
    <col min="29" max="29" width="32.015625" style="10" bestFit="1" customWidth="1"/>
    <col min="30" max="30" width="74.25390625" style="10" bestFit="1" customWidth="1"/>
    <col min="31" max="16384" width="8.7421875" style="10"/>
  </cols>
  <sheetData>
    <row r="2" spans="1:3" ht="20.25" thickBot="1" x14ac:dyDescent="0.3">
      <c r="A2" s="12" t="s">
        <v>11</v>
      </c>
    </row>
    <row r="3" spans="1:3" ht="14.25" thickTop="1" x14ac:dyDescent="0.15">
      <c r="A3" s="10" t="s">
        <v>12</v>
      </c>
      <c r="C3" s="11"/>
    </row>
    <row r="4" spans="1:3" x14ac:dyDescent="0.15">
      <c r="A4" s="10" t="s">
        <v>13</v>
      </c>
    </row>
    <row r="5" spans="1:3" ht="15" x14ac:dyDescent="0.2">
      <c r="A5" s="10" t="s">
        <v>14</v>
      </c>
      <c r="C5" s="34"/>
    </row>
    <row r="6" spans="1:3" ht="18" x14ac:dyDescent="0.2">
      <c r="A6" s="14" t="s">
        <v>15</v>
      </c>
      <c r="B6" s="119" t="s">
        <v>16</v>
      </c>
    </row>
    <row r="7" spans="1:3" ht="14.25" x14ac:dyDescent="0.15">
      <c r="A7" s="16" t="s">
        <v>17</v>
      </c>
      <c r="B7" s="16" t="s">
        <v>18</v>
      </c>
    </row>
    <row r="8" spans="1:3" ht="14.25" x14ac:dyDescent="0.15">
      <c r="A8" s="15" t="s">
        <v>19</v>
      </c>
      <c r="B8" s="15" t="s">
        <v>172</v>
      </c>
    </row>
    <row r="9" spans="1:3" ht="14.25" x14ac:dyDescent="0.15">
      <c r="A9" s="15" t="s">
        <v>20</v>
      </c>
      <c r="B9" s="15" t="s">
        <v>173</v>
      </c>
    </row>
    <row r="10" spans="1:3" ht="27.6" customHeight="1" x14ac:dyDescent="0.15">
      <c r="A10" s="15" t="s">
        <v>21</v>
      </c>
      <c r="B10" s="15" t="s">
        <v>174</v>
      </c>
    </row>
    <row r="11" spans="1:3" ht="25.15" customHeight="1" x14ac:dyDescent="0.15">
      <c r="A11" s="15" t="s">
        <v>22</v>
      </c>
      <c r="B11" s="17" t="s">
        <v>175</v>
      </c>
    </row>
    <row r="12" spans="1:3" ht="14.25" x14ac:dyDescent="0.15">
      <c r="A12" s="17" t="s">
        <v>23</v>
      </c>
      <c r="B12" s="17" t="s">
        <v>176</v>
      </c>
    </row>
    <row r="13" spans="1:3" ht="28.15" customHeight="1" x14ac:dyDescent="0.15">
      <c r="A13" s="15" t="s">
        <v>24</v>
      </c>
      <c r="B13" s="15" t="s">
        <v>177</v>
      </c>
    </row>
    <row r="14" spans="1:3" ht="31.9" customHeight="1" x14ac:dyDescent="0.15">
      <c r="A14" s="15" t="s">
        <v>25</v>
      </c>
      <c r="B14" s="15" t="s">
        <v>178</v>
      </c>
    </row>
    <row r="15" spans="1:3" ht="40.5" x14ac:dyDescent="0.15">
      <c r="A15" s="18" t="s">
        <v>26</v>
      </c>
      <c r="B15" s="18" t="s">
        <v>179</v>
      </c>
    </row>
    <row r="16" spans="1:3" ht="14.25" x14ac:dyDescent="0.15">
      <c r="A16" s="18" t="s">
        <v>27</v>
      </c>
      <c r="B16" s="18" t="s">
        <v>180</v>
      </c>
    </row>
    <row r="17" spans="1:2" ht="14.25" x14ac:dyDescent="0.15">
      <c r="A17" s="18" t="s">
        <v>28</v>
      </c>
      <c r="B17" s="18" t="s">
        <v>181</v>
      </c>
    </row>
    <row r="18" spans="1:2" ht="14.25" x14ac:dyDescent="0.15">
      <c r="A18" s="18" t="s">
        <v>29</v>
      </c>
      <c r="B18" s="18" t="s">
        <v>182</v>
      </c>
    </row>
    <row r="19" spans="1:2" ht="14.25" x14ac:dyDescent="0.15">
      <c r="A19" s="18" t="s">
        <v>30</v>
      </c>
      <c r="B19" s="18" t="s">
        <v>183</v>
      </c>
    </row>
    <row r="20" spans="1:2" ht="14.25" x14ac:dyDescent="0.15">
      <c r="A20" s="18" t="s">
        <v>31</v>
      </c>
      <c r="B20" s="18" t="s">
        <v>184</v>
      </c>
    </row>
    <row r="21" spans="1:2" ht="14.25" x14ac:dyDescent="0.15">
      <c r="A21" s="18" t="s">
        <v>32</v>
      </c>
      <c r="B21" s="18" t="s">
        <v>185</v>
      </c>
    </row>
    <row r="22" spans="1:2" ht="27.75" x14ac:dyDescent="0.15">
      <c r="A22" s="18" t="s">
        <v>33</v>
      </c>
      <c r="B22" s="18" t="s">
        <v>186</v>
      </c>
    </row>
    <row r="23" spans="1:2" ht="27.75" x14ac:dyDescent="0.15">
      <c r="A23" s="18" t="s">
        <v>34</v>
      </c>
      <c r="B23" s="18" t="s">
        <v>187</v>
      </c>
    </row>
    <row r="24" spans="1:2" ht="27.75" x14ac:dyDescent="0.15">
      <c r="A24" s="18" t="s">
        <v>35</v>
      </c>
      <c r="B24" s="18" t="s">
        <v>188</v>
      </c>
    </row>
    <row r="25" spans="1:2" ht="27.75" x14ac:dyDescent="0.15">
      <c r="A25" s="18" t="s">
        <v>36</v>
      </c>
      <c r="B25" s="18" t="s">
        <v>189</v>
      </c>
    </row>
    <row r="26" spans="1:2" ht="27.75" x14ac:dyDescent="0.15">
      <c r="A26" s="18" t="s">
        <v>37</v>
      </c>
      <c r="B26" s="18" t="s">
        <v>190</v>
      </c>
    </row>
    <row r="27" spans="1:2" ht="14.25" x14ac:dyDescent="0.15">
      <c r="A27" s="18"/>
      <c r="B27" s="18"/>
    </row>
    <row r="28" spans="1:2" ht="14.25" x14ac:dyDescent="0.15">
      <c r="A28" s="18"/>
      <c r="B28" s="18"/>
    </row>
    <row r="29" spans="1:2" ht="14.25" x14ac:dyDescent="0.15">
      <c r="A29" s="18"/>
      <c r="B29" s="18"/>
    </row>
  </sheetData>
  <dataValidations count="1">
    <dataValidation allowBlank="1" showInputMessage="1" showErrorMessage="1" promptTitle="If the formula does not work" prompt="Please click on this cell and press Ctrl+Shift+Enter" sqref="B35" xr:uid="{00000000-0002-0000-0500-000000000000}"/>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4BA29"/>
  </sheetPr>
  <dimension ref="A1:D372"/>
  <sheetViews>
    <sheetView showGridLines="0" workbookViewId="0">
      <selection activeCell="G17" sqref="F17:G17"/>
    </sheetView>
  </sheetViews>
  <sheetFormatPr defaultColWidth="9.14453125" defaultRowHeight="15" x14ac:dyDescent="0.2"/>
  <cols>
    <col min="1" max="1" width="27.44140625" bestFit="1" customWidth="1"/>
    <col min="2" max="2" width="17.75390625" bestFit="1" customWidth="1"/>
    <col min="3" max="3" width="36.58984375" customWidth="1"/>
    <col min="4" max="4" width="13.71875" customWidth="1"/>
  </cols>
  <sheetData>
    <row r="1" spans="1:4" ht="27.75" x14ac:dyDescent="0.2">
      <c r="A1" s="21" t="s">
        <v>332</v>
      </c>
      <c r="B1" s="21" t="s">
        <v>333</v>
      </c>
      <c r="C1" s="22" t="s">
        <v>334</v>
      </c>
      <c r="D1" s="23" t="s">
        <v>335</v>
      </c>
    </row>
    <row r="2" spans="1:4" x14ac:dyDescent="0.2">
      <c r="A2" s="136" t="s">
        <v>38</v>
      </c>
      <c r="B2" s="137"/>
      <c r="C2" s="137" t="s">
        <v>39</v>
      </c>
      <c r="D2" s="138" t="s">
        <v>336</v>
      </c>
    </row>
    <row r="3" spans="1:4" x14ac:dyDescent="0.2">
      <c r="A3" s="139" t="s">
        <v>337</v>
      </c>
      <c r="B3" s="137"/>
      <c r="C3" s="137" t="s">
        <v>39</v>
      </c>
      <c r="D3" s="138" t="s">
        <v>338</v>
      </c>
    </row>
    <row r="4" spans="1:4" x14ac:dyDescent="0.2">
      <c r="A4" s="137" t="s">
        <v>339</v>
      </c>
      <c r="B4" s="137"/>
      <c r="C4" s="137" t="s">
        <v>40</v>
      </c>
      <c r="D4" s="138" t="s">
        <v>338</v>
      </c>
    </row>
    <row r="5" spans="1:4" x14ac:dyDescent="0.2">
      <c r="A5" s="137" t="s">
        <v>41</v>
      </c>
      <c r="B5" s="137"/>
      <c r="C5" s="137" t="s">
        <v>40</v>
      </c>
      <c r="D5" s="138" t="s">
        <v>338</v>
      </c>
    </row>
    <row r="6" spans="1:4" x14ac:dyDescent="0.2">
      <c r="A6" s="137" t="s">
        <v>340</v>
      </c>
      <c r="B6" s="137"/>
      <c r="C6" s="137" t="s">
        <v>39</v>
      </c>
      <c r="D6" s="138" t="s">
        <v>341</v>
      </c>
    </row>
    <row r="7" spans="1:4" x14ac:dyDescent="0.2">
      <c r="A7" s="136" t="s">
        <v>342</v>
      </c>
      <c r="B7" s="137"/>
      <c r="C7" s="137" t="s">
        <v>40</v>
      </c>
      <c r="D7" s="138" t="s">
        <v>338</v>
      </c>
    </row>
    <row r="8" spans="1:4" x14ac:dyDescent="0.2">
      <c r="A8" s="137" t="s">
        <v>343</v>
      </c>
      <c r="B8" s="137"/>
      <c r="C8" s="137" t="s">
        <v>39</v>
      </c>
      <c r="D8" s="138" t="s">
        <v>344</v>
      </c>
    </row>
    <row r="9" spans="1:4" x14ac:dyDescent="0.2">
      <c r="A9" s="137" t="s">
        <v>42</v>
      </c>
      <c r="B9" s="137"/>
      <c r="C9" s="137" t="s">
        <v>40</v>
      </c>
      <c r="D9" s="138" t="s">
        <v>338</v>
      </c>
    </row>
    <row r="10" spans="1:4" x14ac:dyDescent="0.2">
      <c r="A10" s="137" t="s">
        <v>345</v>
      </c>
      <c r="B10" s="137"/>
      <c r="C10" s="137" t="s">
        <v>40</v>
      </c>
      <c r="D10" s="138" t="s">
        <v>338</v>
      </c>
    </row>
    <row r="11" spans="1:4" x14ac:dyDescent="0.2">
      <c r="A11" s="137" t="s">
        <v>346</v>
      </c>
      <c r="B11" s="137"/>
      <c r="C11" s="137" t="s">
        <v>40</v>
      </c>
      <c r="D11" s="138" t="s">
        <v>338</v>
      </c>
    </row>
    <row r="12" spans="1:4" x14ac:dyDescent="0.2">
      <c r="A12" s="137" t="s">
        <v>347</v>
      </c>
      <c r="B12" s="137"/>
      <c r="C12" s="137" t="s">
        <v>40</v>
      </c>
      <c r="D12" s="138" t="s">
        <v>336</v>
      </c>
    </row>
    <row r="13" spans="1:4" x14ac:dyDescent="0.2">
      <c r="A13" s="136" t="s">
        <v>348</v>
      </c>
      <c r="B13" s="137"/>
      <c r="C13" s="137" t="s">
        <v>39</v>
      </c>
      <c r="D13" s="138" t="s">
        <v>336</v>
      </c>
    </row>
    <row r="14" spans="1:4" x14ac:dyDescent="0.2">
      <c r="A14" s="137" t="s">
        <v>349</v>
      </c>
      <c r="B14" s="137"/>
      <c r="C14" s="137" t="s">
        <v>40</v>
      </c>
      <c r="D14" s="138" t="s">
        <v>336</v>
      </c>
    </row>
    <row r="15" spans="1:4" x14ac:dyDescent="0.2">
      <c r="A15" s="137" t="s">
        <v>350</v>
      </c>
      <c r="B15" s="137"/>
      <c r="C15" s="137" t="s">
        <v>40</v>
      </c>
      <c r="D15" s="138" t="s">
        <v>336</v>
      </c>
    </row>
    <row r="16" spans="1:4" x14ac:dyDescent="0.2">
      <c r="A16" s="137" t="s">
        <v>351</v>
      </c>
      <c r="B16" s="137"/>
      <c r="C16" s="137" t="s">
        <v>39</v>
      </c>
      <c r="D16" s="138" t="s">
        <v>336</v>
      </c>
    </row>
    <row r="17" spans="1:4" x14ac:dyDescent="0.2">
      <c r="A17" s="137" t="s">
        <v>352</v>
      </c>
      <c r="B17" s="137"/>
      <c r="C17" s="137" t="s">
        <v>40</v>
      </c>
      <c r="D17" s="138" t="s">
        <v>336</v>
      </c>
    </row>
    <row r="18" spans="1:4" x14ac:dyDescent="0.2">
      <c r="A18" s="137" t="s">
        <v>43</v>
      </c>
      <c r="B18" s="137"/>
      <c r="C18" s="137" t="s">
        <v>40</v>
      </c>
      <c r="D18" s="138" t="s">
        <v>338</v>
      </c>
    </row>
    <row r="19" spans="1:4" x14ac:dyDescent="0.2">
      <c r="A19" s="137" t="s">
        <v>44</v>
      </c>
      <c r="B19" s="137"/>
      <c r="C19" s="137" t="s">
        <v>39</v>
      </c>
      <c r="D19" s="138" t="s">
        <v>341</v>
      </c>
    </row>
    <row r="20" spans="1:4" x14ac:dyDescent="0.2">
      <c r="A20" s="137" t="s">
        <v>353</v>
      </c>
      <c r="B20" s="137"/>
      <c r="C20" s="137" t="s">
        <v>39</v>
      </c>
      <c r="D20" s="138" t="s">
        <v>341</v>
      </c>
    </row>
    <row r="21" spans="1:4" x14ac:dyDescent="0.2">
      <c r="A21" s="137" t="s">
        <v>354</v>
      </c>
      <c r="B21" s="137"/>
      <c r="C21" s="137" t="s">
        <v>39</v>
      </c>
      <c r="D21" s="138" t="s">
        <v>341</v>
      </c>
    </row>
    <row r="22" spans="1:4" x14ac:dyDescent="0.2">
      <c r="A22" s="137" t="s">
        <v>45</v>
      </c>
      <c r="B22" s="137"/>
      <c r="C22" s="137" t="s">
        <v>40</v>
      </c>
      <c r="D22" s="138" t="s">
        <v>338</v>
      </c>
    </row>
    <row r="23" spans="1:4" x14ac:dyDescent="0.2">
      <c r="A23" s="137" t="s">
        <v>355</v>
      </c>
      <c r="B23" s="137"/>
      <c r="C23" s="137" t="s">
        <v>40</v>
      </c>
      <c r="D23" s="138" t="s">
        <v>338</v>
      </c>
    </row>
    <row r="24" spans="1:4" x14ac:dyDescent="0.2">
      <c r="A24" s="137" t="s">
        <v>46</v>
      </c>
      <c r="B24" s="137"/>
      <c r="C24" s="137" t="s">
        <v>40</v>
      </c>
      <c r="D24" s="138" t="s">
        <v>338</v>
      </c>
    </row>
    <row r="25" spans="1:4" x14ac:dyDescent="0.2">
      <c r="A25" s="137" t="s">
        <v>356</v>
      </c>
      <c r="B25" s="137"/>
      <c r="C25" s="137" t="s">
        <v>39</v>
      </c>
      <c r="D25" s="138" t="s">
        <v>341</v>
      </c>
    </row>
    <row r="26" spans="1:4" x14ac:dyDescent="0.2">
      <c r="A26" s="139" t="s">
        <v>357</v>
      </c>
      <c r="B26" s="137"/>
      <c r="C26" s="137" t="s">
        <v>39</v>
      </c>
      <c r="D26" s="138" t="s">
        <v>336</v>
      </c>
    </row>
    <row r="27" spans="1:4" x14ac:dyDescent="0.2">
      <c r="A27" s="137" t="s">
        <v>358</v>
      </c>
      <c r="B27" s="137"/>
      <c r="C27" s="137" t="s">
        <v>40</v>
      </c>
      <c r="D27" s="138" t="s">
        <v>338</v>
      </c>
    </row>
    <row r="28" spans="1:4" x14ac:dyDescent="0.2">
      <c r="A28" s="137" t="s">
        <v>359</v>
      </c>
      <c r="B28" s="140" t="s">
        <v>360</v>
      </c>
      <c r="C28" s="140" t="s">
        <v>39</v>
      </c>
      <c r="D28" s="138" t="s">
        <v>336</v>
      </c>
    </row>
    <row r="29" spans="1:4" x14ac:dyDescent="0.2">
      <c r="A29" s="137" t="s">
        <v>359</v>
      </c>
      <c r="B29" s="140" t="s">
        <v>361</v>
      </c>
      <c r="C29" s="140" t="s">
        <v>39</v>
      </c>
      <c r="D29" s="138" t="s">
        <v>336</v>
      </c>
    </row>
    <row r="30" spans="1:4" x14ac:dyDescent="0.2">
      <c r="A30" s="137" t="s">
        <v>359</v>
      </c>
      <c r="B30" s="140" t="s">
        <v>47</v>
      </c>
      <c r="C30" s="140" t="s">
        <v>39</v>
      </c>
      <c r="D30" s="138" t="s">
        <v>336</v>
      </c>
    </row>
    <row r="31" spans="1:4" x14ac:dyDescent="0.2">
      <c r="A31" s="137" t="s">
        <v>359</v>
      </c>
      <c r="B31" s="140" t="s">
        <v>362</v>
      </c>
      <c r="C31" s="140" t="s">
        <v>39</v>
      </c>
      <c r="D31" s="138" t="s">
        <v>336</v>
      </c>
    </row>
    <row r="32" spans="1:4" x14ac:dyDescent="0.2">
      <c r="A32" s="136" t="s">
        <v>48</v>
      </c>
      <c r="B32" s="137"/>
      <c r="C32" s="140" t="s">
        <v>39</v>
      </c>
      <c r="D32" s="138" t="s">
        <v>336</v>
      </c>
    </row>
    <row r="33" spans="1:4" x14ac:dyDescent="0.2">
      <c r="A33" s="137" t="s">
        <v>363</v>
      </c>
      <c r="B33" s="137"/>
      <c r="C33" s="137" t="s">
        <v>39</v>
      </c>
      <c r="D33" s="138" t="s">
        <v>336</v>
      </c>
    </row>
    <row r="34" spans="1:4" x14ac:dyDescent="0.2">
      <c r="A34" s="137" t="s">
        <v>364</v>
      </c>
      <c r="B34" s="137"/>
      <c r="C34" s="137" t="s">
        <v>40</v>
      </c>
      <c r="D34" s="138" t="s">
        <v>338</v>
      </c>
    </row>
    <row r="35" spans="1:4" x14ac:dyDescent="0.2">
      <c r="A35" s="137" t="s">
        <v>365</v>
      </c>
      <c r="B35" s="137"/>
      <c r="C35" s="137" t="s">
        <v>40</v>
      </c>
      <c r="D35" s="138" t="s">
        <v>338</v>
      </c>
    </row>
    <row r="36" spans="1:4" x14ac:dyDescent="0.2">
      <c r="A36" s="137" t="s">
        <v>366</v>
      </c>
      <c r="B36" s="137"/>
      <c r="C36" s="137" t="s">
        <v>39</v>
      </c>
      <c r="D36" s="138" t="s">
        <v>341</v>
      </c>
    </row>
    <row r="37" spans="1:4" x14ac:dyDescent="0.2">
      <c r="A37" s="137" t="s">
        <v>367</v>
      </c>
      <c r="B37" s="137"/>
      <c r="C37" s="137" t="s">
        <v>39</v>
      </c>
      <c r="D37" s="138" t="s">
        <v>341</v>
      </c>
    </row>
    <row r="38" spans="1:4" x14ac:dyDescent="0.2">
      <c r="A38" s="137" t="s">
        <v>368</v>
      </c>
      <c r="B38" s="137"/>
      <c r="C38" s="137" t="s">
        <v>39</v>
      </c>
      <c r="D38" s="138" t="s">
        <v>341</v>
      </c>
    </row>
    <row r="39" spans="1:4" x14ac:dyDescent="0.2">
      <c r="A39" s="137" t="s">
        <v>369</v>
      </c>
      <c r="B39" s="137"/>
      <c r="C39" s="137" t="s">
        <v>40</v>
      </c>
      <c r="D39" s="138" t="s">
        <v>338</v>
      </c>
    </row>
    <row r="40" spans="1:4" x14ac:dyDescent="0.2">
      <c r="A40" s="137" t="s">
        <v>370</v>
      </c>
      <c r="B40" s="137"/>
      <c r="C40" s="137" t="s">
        <v>40</v>
      </c>
      <c r="D40" s="138" t="s">
        <v>338</v>
      </c>
    </row>
    <row r="41" spans="1:4" x14ac:dyDescent="0.2">
      <c r="A41" s="137" t="s">
        <v>371</v>
      </c>
      <c r="B41" s="137"/>
      <c r="C41" s="137" t="s">
        <v>39</v>
      </c>
      <c r="D41" s="138" t="s">
        <v>336</v>
      </c>
    </row>
    <row r="42" spans="1:4" x14ac:dyDescent="0.2">
      <c r="A42" s="136" t="s">
        <v>372</v>
      </c>
      <c r="B42" s="137"/>
      <c r="C42" s="137" t="s">
        <v>39</v>
      </c>
      <c r="D42" s="138" t="s">
        <v>341</v>
      </c>
    </row>
    <row r="43" spans="1:4" x14ac:dyDescent="0.2">
      <c r="A43" s="139" t="s">
        <v>373</v>
      </c>
      <c r="B43" s="141"/>
      <c r="C43" s="142" t="s">
        <v>39</v>
      </c>
      <c r="D43" s="138" t="s">
        <v>336</v>
      </c>
    </row>
    <row r="44" spans="1:4" x14ac:dyDescent="0.2">
      <c r="A44" s="139" t="s">
        <v>374</v>
      </c>
      <c r="B44" s="137"/>
      <c r="C44" s="137" t="s">
        <v>40</v>
      </c>
      <c r="D44" s="138" t="s">
        <v>338</v>
      </c>
    </row>
    <row r="45" spans="1:4" x14ac:dyDescent="0.2">
      <c r="A45" s="137" t="s">
        <v>375</v>
      </c>
      <c r="B45" s="140"/>
      <c r="C45" s="137" t="s">
        <v>376</v>
      </c>
      <c r="D45" s="138" t="s">
        <v>338</v>
      </c>
    </row>
    <row r="46" spans="1:4" x14ac:dyDescent="0.2">
      <c r="A46" s="137" t="s">
        <v>377</v>
      </c>
      <c r="B46" s="137"/>
      <c r="C46" s="137" t="s">
        <v>40</v>
      </c>
      <c r="D46" s="138" t="s">
        <v>338</v>
      </c>
    </row>
    <row r="47" spans="1:4" x14ac:dyDescent="0.2">
      <c r="A47" s="137" t="s">
        <v>377</v>
      </c>
      <c r="B47" s="141"/>
      <c r="C47" s="142" t="s">
        <v>39</v>
      </c>
      <c r="D47" s="138" t="s">
        <v>336</v>
      </c>
    </row>
    <row r="48" spans="1:4" x14ac:dyDescent="0.2">
      <c r="A48" s="137" t="s">
        <v>378</v>
      </c>
      <c r="B48" s="141"/>
      <c r="C48" s="142" t="s">
        <v>40</v>
      </c>
      <c r="D48" s="138" t="s">
        <v>336</v>
      </c>
    </row>
    <row r="49" spans="1:4" x14ac:dyDescent="0.2">
      <c r="A49" s="137" t="s">
        <v>379</v>
      </c>
      <c r="B49" s="137"/>
      <c r="C49" s="137" t="s">
        <v>40</v>
      </c>
      <c r="D49" s="138" t="s">
        <v>338</v>
      </c>
    </row>
    <row r="50" spans="1:4" x14ac:dyDescent="0.2">
      <c r="A50" s="137" t="s">
        <v>371</v>
      </c>
      <c r="B50" s="137"/>
      <c r="C50" s="137" t="s">
        <v>39</v>
      </c>
      <c r="D50" s="138" t="s">
        <v>336</v>
      </c>
    </row>
    <row r="51" spans="1:4" x14ac:dyDescent="0.2">
      <c r="A51" s="137" t="s">
        <v>380</v>
      </c>
      <c r="B51" s="137"/>
      <c r="C51" s="137" t="s">
        <v>40</v>
      </c>
      <c r="D51" s="138" t="s">
        <v>336</v>
      </c>
    </row>
    <row r="52" spans="1:4" x14ac:dyDescent="0.2">
      <c r="A52" s="137" t="s">
        <v>49</v>
      </c>
      <c r="B52" s="137"/>
      <c r="C52" s="137" t="s">
        <v>40</v>
      </c>
      <c r="D52" s="138" t="s">
        <v>338</v>
      </c>
    </row>
    <row r="53" spans="1:4" x14ac:dyDescent="0.2">
      <c r="A53" s="137" t="s">
        <v>50</v>
      </c>
      <c r="B53" s="137"/>
      <c r="C53" s="137" t="s">
        <v>40</v>
      </c>
      <c r="D53" s="138" t="s">
        <v>338</v>
      </c>
    </row>
    <row r="54" spans="1:4" x14ac:dyDescent="0.2">
      <c r="A54" s="137" t="s">
        <v>381</v>
      </c>
      <c r="B54" s="137"/>
      <c r="C54" s="137" t="s">
        <v>40</v>
      </c>
      <c r="D54" s="138" t="s">
        <v>338</v>
      </c>
    </row>
    <row r="55" spans="1:4" x14ac:dyDescent="0.2">
      <c r="A55" s="137" t="s">
        <v>382</v>
      </c>
      <c r="B55" s="137"/>
      <c r="C55" s="137" t="s">
        <v>39</v>
      </c>
      <c r="D55" s="138" t="s">
        <v>336</v>
      </c>
    </row>
    <row r="56" spans="1:4" x14ac:dyDescent="0.2">
      <c r="A56" s="137" t="s">
        <v>383</v>
      </c>
      <c r="B56" s="137"/>
      <c r="C56" s="137" t="s">
        <v>40</v>
      </c>
      <c r="D56" s="138" t="s">
        <v>338</v>
      </c>
    </row>
    <row r="57" spans="1:4" x14ac:dyDescent="0.2">
      <c r="A57" s="137" t="s">
        <v>384</v>
      </c>
      <c r="B57" s="137"/>
      <c r="C57" s="137" t="s">
        <v>39</v>
      </c>
      <c r="D57" s="138" t="s">
        <v>341</v>
      </c>
    </row>
    <row r="58" spans="1:4" x14ac:dyDescent="0.2">
      <c r="A58" s="137" t="s">
        <v>385</v>
      </c>
      <c r="B58" s="137"/>
      <c r="C58" s="137" t="s">
        <v>39</v>
      </c>
      <c r="D58" s="138" t="s">
        <v>341</v>
      </c>
    </row>
    <row r="59" spans="1:4" x14ac:dyDescent="0.2">
      <c r="A59" s="137" t="s">
        <v>386</v>
      </c>
      <c r="B59" s="137"/>
      <c r="C59" s="137" t="s">
        <v>40</v>
      </c>
      <c r="D59" s="138" t="s">
        <v>338</v>
      </c>
    </row>
    <row r="60" spans="1:4" x14ac:dyDescent="0.2">
      <c r="A60" s="137" t="s">
        <v>387</v>
      </c>
      <c r="B60" s="137"/>
      <c r="C60" s="137" t="s">
        <v>39</v>
      </c>
      <c r="D60" s="138" t="s">
        <v>341</v>
      </c>
    </row>
    <row r="61" spans="1:4" x14ac:dyDescent="0.2">
      <c r="A61" s="137" t="s">
        <v>388</v>
      </c>
      <c r="B61" s="137"/>
      <c r="C61" s="137" t="s">
        <v>39</v>
      </c>
      <c r="D61" s="138" t="s">
        <v>341</v>
      </c>
    </row>
    <row r="62" spans="1:4" x14ac:dyDescent="0.2">
      <c r="A62" s="137" t="s">
        <v>389</v>
      </c>
      <c r="B62" s="137"/>
      <c r="C62" s="137" t="s">
        <v>39</v>
      </c>
      <c r="D62" s="138" t="s">
        <v>341</v>
      </c>
    </row>
    <row r="63" spans="1:4" x14ac:dyDescent="0.2">
      <c r="A63" s="137" t="s">
        <v>390</v>
      </c>
      <c r="B63" s="137"/>
      <c r="C63" s="137" t="s">
        <v>40</v>
      </c>
      <c r="D63" s="138" t="s">
        <v>338</v>
      </c>
    </row>
    <row r="64" spans="1:4" x14ac:dyDescent="0.2">
      <c r="A64" s="137" t="s">
        <v>391</v>
      </c>
      <c r="B64" s="137"/>
      <c r="C64" s="137" t="s">
        <v>40</v>
      </c>
      <c r="D64" s="138" t="s">
        <v>338</v>
      </c>
    </row>
    <row r="65" spans="1:4" x14ac:dyDescent="0.2">
      <c r="A65" s="137" t="s">
        <v>392</v>
      </c>
      <c r="B65" s="137"/>
      <c r="C65" s="137" t="s">
        <v>40</v>
      </c>
      <c r="D65" s="138" t="s">
        <v>338</v>
      </c>
    </row>
    <row r="66" spans="1:4" x14ac:dyDescent="0.2">
      <c r="A66" s="137" t="s">
        <v>393</v>
      </c>
      <c r="B66" s="137"/>
      <c r="C66" s="137" t="s">
        <v>40</v>
      </c>
      <c r="D66" s="138" t="s">
        <v>338</v>
      </c>
    </row>
    <row r="67" spans="1:4" x14ac:dyDescent="0.2">
      <c r="A67" s="137" t="s">
        <v>394</v>
      </c>
      <c r="B67" s="137"/>
      <c r="C67" s="137" t="s">
        <v>40</v>
      </c>
      <c r="D67" s="138" t="s">
        <v>338</v>
      </c>
    </row>
    <row r="68" spans="1:4" x14ac:dyDescent="0.2">
      <c r="A68" s="137" t="s">
        <v>395</v>
      </c>
      <c r="B68" s="137"/>
      <c r="C68" s="137" t="s">
        <v>39</v>
      </c>
      <c r="D68" s="138" t="s">
        <v>341</v>
      </c>
    </row>
    <row r="69" spans="1:4" x14ac:dyDescent="0.2">
      <c r="A69" s="137" t="s">
        <v>396</v>
      </c>
      <c r="B69" s="137"/>
      <c r="C69" s="137" t="s">
        <v>39</v>
      </c>
      <c r="D69" s="138" t="s">
        <v>344</v>
      </c>
    </row>
    <row r="70" spans="1:4" x14ac:dyDescent="0.2">
      <c r="A70" s="136" t="s">
        <v>397</v>
      </c>
      <c r="B70" s="137"/>
      <c r="C70" s="137" t="s">
        <v>39</v>
      </c>
      <c r="D70" s="138" t="s">
        <v>341</v>
      </c>
    </row>
    <row r="71" spans="1:4" x14ac:dyDescent="0.2">
      <c r="A71" s="137" t="s">
        <v>51</v>
      </c>
      <c r="B71" s="137"/>
      <c r="C71" s="137" t="s">
        <v>40</v>
      </c>
      <c r="D71" s="138" t="s">
        <v>338</v>
      </c>
    </row>
    <row r="72" spans="1:4" x14ac:dyDescent="0.2">
      <c r="A72" s="137" t="s">
        <v>398</v>
      </c>
      <c r="B72" s="137"/>
      <c r="C72" s="137" t="s">
        <v>40</v>
      </c>
      <c r="D72" s="138" t="s">
        <v>338</v>
      </c>
    </row>
    <row r="73" spans="1:4" x14ac:dyDescent="0.2">
      <c r="A73" s="137" t="s">
        <v>399</v>
      </c>
      <c r="B73" s="137"/>
      <c r="C73" s="137" t="s">
        <v>39</v>
      </c>
      <c r="D73" s="138" t="s">
        <v>341</v>
      </c>
    </row>
    <row r="74" spans="1:4" x14ac:dyDescent="0.2">
      <c r="A74" s="137" t="s">
        <v>400</v>
      </c>
      <c r="B74" s="137"/>
      <c r="C74" s="137" t="s">
        <v>40</v>
      </c>
      <c r="D74" s="138" t="s">
        <v>338</v>
      </c>
    </row>
    <row r="75" spans="1:4" x14ac:dyDescent="0.2">
      <c r="A75" s="137" t="s">
        <v>401</v>
      </c>
      <c r="B75" s="137"/>
      <c r="C75" s="137" t="s">
        <v>39</v>
      </c>
      <c r="D75" s="138" t="s">
        <v>341</v>
      </c>
    </row>
    <row r="76" spans="1:4" x14ac:dyDescent="0.2">
      <c r="A76" s="137" t="s">
        <v>52</v>
      </c>
      <c r="B76" s="137"/>
      <c r="C76" s="137" t="s">
        <v>40</v>
      </c>
      <c r="D76" s="138" t="s">
        <v>338</v>
      </c>
    </row>
    <row r="77" spans="1:4" x14ac:dyDescent="0.2">
      <c r="A77" s="137" t="s">
        <v>402</v>
      </c>
      <c r="B77" s="137"/>
      <c r="C77" s="137" t="s">
        <v>40</v>
      </c>
      <c r="D77" s="138" t="s">
        <v>338</v>
      </c>
    </row>
    <row r="78" spans="1:4" x14ac:dyDescent="0.2">
      <c r="A78" s="137" t="s">
        <v>403</v>
      </c>
      <c r="B78" s="137"/>
      <c r="C78" s="137" t="s">
        <v>39</v>
      </c>
      <c r="D78" s="138" t="s">
        <v>341</v>
      </c>
    </row>
    <row r="79" spans="1:4" x14ac:dyDescent="0.2">
      <c r="A79" s="137" t="s">
        <v>53</v>
      </c>
      <c r="B79" s="137"/>
      <c r="C79" s="137" t="s">
        <v>39</v>
      </c>
      <c r="D79" s="138" t="s">
        <v>341</v>
      </c>
    </row>
    <row r="80" spans="1:4" x14ac:dyDescent="0.2">
      <c r="A80" s="137" t="s">
        <v>404</v>
      </c>
      <c r="B80" s="137"/>
      <c r="C80" s="137" t="s">
        <v>40</v>
      </c>
      <c r="D80" s="138" t="s">
        <v>338</v>
      </c>
    </row>
    <row r="81" spans="1:4" x14ac:dyDescent="0.2">
      <c r="A81" s="137" t="s">
        <v>405</v>
      </c>
      <c r="B81" s="137"/>
      <c r="C81" s="137" t="s">
        <v>40</v>
      </c>
      <c r="D81" s="138" t="s">
        <v>336</v>
      </c>
    </row>
    <row r="82" spans="1:4" x14ac:dyDescent="0.2">
      <c r="A82" s="137" t="s">
        <v>406</v>
      </c>
      <c r="B82" s="137"/>
      <c r="C82" s="137" t="s">
        <v>39</v>
      </c>
      <c r="D82" s="138" t="s">
        <v>336</v>
      </c>
    </row>
    <row r="83" spans="1:4" x14ac:dyDescent="0.2">
      <c r="A83" s="137" t="s">
        <v>407</v>
      </c>
      <c r="B83" s="137"/>
      <c r="C83" s="137" t="s">
        <v>40</v>
      </c>
      <c r="D83" s="138" t="s">
        <v>336</v>
      </c>
    </row>
    <row r="84" spans="1:4" x14ac:dyDescent="0.2">
      <c r="A84" s="137" t="s">
        <v>408</v>
      </c>
      <c r="B84" s="137"/>
      <c r="C84" s="137" t="s">
        <v>40</v>
      </c>
      <c r="D84" s="138" t="s">
        <v>338</v>
      </c>
    </row>
    <row r="85" spans="1:4" x14ac:dyDescent="0.2">
      <c r="A85" s="137" t="s">
        <v>409</v>
      </c>
      <c r="B85" s="137"/>
      <c r="C85" s="137" t="s">
        <v>40</v>
      </c>
      <c r="D85" s="138" t="s">
        <v>338</v>
      </c>
    </row>
    <row r="86" spans="1:4" x14ac:dyDescent="0.2">
      <c r="A86" s="137" t="s">
        <v>410</v>
      </c>
      <c r="B86" s="137"/>
      <c r="C86" s="137" t="s">
        <v>39</v>
      </c>
      <c r="D86" s="138" t="s">
        <v>341</v>
      </c>
    </row>
    <row r="87" spans="1:4" x14ac:dyDescent="0.2">
      <c r="A87" s="136" t="s">
        <v>411</v>
      </c>
      <c r="B87" s="137"/>
      <c r="C87" s="137" t="s">
        <v>376</v>
      </c>
      <c r="D87" s="138" t="s">
        <v>338</v>
      </c>
    </row>
    <row r="88" spans="1:4" x14ac:dyDescent="0.2">
      <c r="A88" s="136" t="s">
        <v>412</v>
      </c>
      <c r="B88" s="140" t="s">
        <v>413</v>
      </c>
      <c r="C88" s="137" t="s">
        <v>376</v>
      </c>
      <c r="D88" s="138" t="s">
        <v>338</v>
      </c>
    </row>
    <row r="89" spans="1:4" x14ac:dyDescent="0.2">
      <c r="A89" s="136" t="s">
        <v>412</v>
      </c>
      <c r="B89" s="140" t="s">
        <v>414</v>
      </c>
      <c r="C89" s="137" t="s">
        <v>376</v>
      </c>
      <c r="D89" s="138" t="s">
        <v>338</v>
      </c>
    </row>
    <row r="90" spans="1:4" x14ac:dyDescent="0.2">
      <c r="A90" s="136" t="s">
        <v>412</v>
      </c>
      <c r="B90" s="140" t="s">
        <v>415</v>
      </c>
      <c r="C90" s="137" t="s">
        <v>376</v>
      </c>
      <c r="D90" s="138" t="s">
        <v>338</v>
      </c>
    </row>
    <row r="91" spans="1:4" x14ac:dyDescent="0.2">
      <c r="A91" s="136" t="s">
        <v>412</v>
      </c>
      <c r="B91" s="140" t="s">
        <v>416</v>
      </c>
      <c r="C91" s="137" t="s">
        <v>376</v>
      </c>
      <c r="D91" s="138" t="s">
        <v>338</v>
      </c>
    </row>
    <row r="92" spans="1:4" x14ac:dyDescent="0.2">
      <c r="A92" s="137" t="s">
        <v>417</v>
      </c>
      <c r="B92" s="137"/>
      <c r="C92" s="137" t="s">
        <v>40</v>
      </c>
      <c r="D92" s="138" t="s">
        <v>338</v>
      </c>
    </row>
    <row r="93" spans="1:4" x14ac:dyDescent="0.2">
      <c r="A93" s="137" t="s">
        <v>418</v>
      </c>
      <c r="B93" s="137"/>
      <c r="C93" s="137" t="s">
        <v>40</v>
      </c>
      <c r="D93" s="138" t="s">
        <v>338</v>
      </c>
    </row>
    <row r="94" spans="1:4" x14ac:dyDescent="0.2">
      <c r="A94" s="137" t="s">
        <v>419</v>
      </c>
      <c r="B94" s="137"/>
      <c r="C94" s="137" t="s">
        <v>40</v>
      </c>
      <c r="D94" s="138" t="s">
        <v>338</v>
      </c>
    </row>
    <row r="95" spans="1:4" x14ac:dyDescent="0.2">
      <c r="A95" s="137" t="s">
        <v>420</v>
      </c>
      <c r="B95" s="137"/>
      <c r="C95" s="137" t="s">
        <v>40</v>
      </c>
      <c r="D95" s="138" t="s">
        <v>338</v>
      </c>
    </row>
    <row r="96" spans="1:4" x14ac:dyDescent="0.2">
      <c r="A96" s="137" t="s">
        <v>421</v>
      </c>
      <c r="B96" s="137"/>
      <c r="C96" s="137" t="s">
        <v>39</v>
      </c>
      <c r="D96" s="138" t="s">
        <v>336</v>
      </c>
    </row>
    <row r="97" spans="1:4" x14ac:dyDescent="0.2">
      <c r="A97" s="137" t="s">
        <v>422</v>
      </c>
      <c r="B97" s="137"/>
      <c r="C97" s="137" t="s">
        <v>40</v>
      </c>
      <c r="D97" s="138" t="s">
        <v>338</v>
      </c>
    </row>
    <row r="98" spans="1:4" x14ac:dyDescent="0.2">
      <c r="A98" s="137" t="s">
        <v>423</v>
      </c>
      <c r="B98" s="137"/>
      <c r="C98" s="137" t="s">
        <v>39</v>
      </c>
      <c r="D98" s="138" t="s">
        <v>336</v>
      </c>
    </row>
    <row r="99" spans="1:4" x14ac:dyDescent="0.2">
      <c r="A99" s="137" t="s">
        <v>424</v>
      </c>
      <c r="B99" s="137"/>
      <c r="C99" s="137" t="s">
        <v>39</v>
      </c>
      <c r="D99" s="138" t="s">
        <v>336</v>
      </c>
    </row>
    <row r="100" spans="1:4" x14ac:dyDescent="0.2">
      <c r="A100" s="137" t="s">
        <v>425</v>
      </c>
      <c r="B100" s="137"/>
      <c r="C100" s="137" t="s">
        <v>39</v>
      </c>
      <c r="D100" s="138" t="s">
        <v>336</v>
      </c>
    </row>
    <row r="101" spans="1:4" x14ac:dyDescent="0.2">
      <c r="A101" s="137" t="s">
        <v>426</v>
      </c>
      <c r="B101" s="137"/>
      <c r="C101" s="137" t="s">
        <v>39</v>
      </c>
      <c r="D101" s="138" t="s">
        <v>336</v>
      </c>
    </row>
    <row r="102" spans="1:4" x14ac:dyDescent="0.2">
      <c r="A102" s="137" t="s">
        <v>427</v>
      </c>
      <c r="B102" s="137"/>
      <c r="C102" s="137" t="s">
        <v>40</v>
      </c>
      <c r="D102" s="138" t="s">
        <v>338</v>
      </c>
    </row>
    <row r="103" spans="1:4" x14ac:dyDescent="0.2">
      <c r="A103" s="137" t="s">
        <v>428</v>
      </c>
      <c r="B103" s="137"/>
      <c r="C103" s="137" t="s">
        <v>39</v>
      </c>
      <c r="D103" s="138" t="s">
        <v>428</v>
      </c>
    </row>
    <row r="104" spans="1:4" x14ac:dyDescent="0.2">
      <c r="A104" s="137" t="s">
        <v>429</v>
      </c>
      <c r="B104" s="137"/>
      <c r="C104" s="137" t="s">
        <v>39</v>
      </c>
      <c r="D104" s="138" t="s">
        <v>336</v>
      </c>
    </row>
    <row r="105" spans="1:4" x14ac:dyDescent="0.2">
      <c r="A105" s="137" t="s">
        <v>430</v>
      </c>
      <c r="B105" s="137" t="s">
        <v>55</v>
      </c>
      <c r="C105" s="137" t="s">
        <v>39</v>
      </c>
      <c r="D105" s="138" t="s">
        <v>430</v>
      </c>
    </row>
    <row r="106" spans="1:4" x14ac:dyDescent="0.2">
      <c r="A106" s="137" t="s">
        <v>430</v>
      </c>
      <c r="B106" s="137" t="s">
        <v>56</v>
      </c>
      <c r="C106" s="137" t="s">
        <v>39</v>
      </c>
      <c r="D106" s="138" t="s">
        <v>430</v>
      </c>
    </row>
    <row r="107" spans="1:4" x14ac:dyDescent="0.2">
      <c r="A107" s="137" t="s">
        <v>431</v>
      </c>
      <c r="B107" s="137"/>
      <c r="C107" s="137" t="s">
        <v>40</v>
      </c>
      <c r="D107" s="138" t="s">
        <v>338</v>
      </c>
    </row>
    <row r="108" spans="1:4" x14ac:dyDescent="0.2">
      <c r="A108" s="137" t="s">
        <v>432</v>
      </c>
      <c r="B108" s="137"/>
      <c r="C108" s="137" t="s">
        <v>40</v>
      </c>
      <c r="D108" s="138" t="s">
        <v>338</v>
      </c>
    </row>
    <row r="109" spans="1:4" x14ac:dyDescent="0.2">
      <c r="A109" s="137" t="s">
        <v>433</v>
      </c>
      <c r="B109" s="137"/>
      <c r="C109" s="137" t="s">
        <v>40</v>
      </c>
      <c r="D109" s="138" t="s">
        <v>338</v>
      </c>
    </row>
    <row r="110" spans="1:4" x14ac:dyDescent="0.2">
      <c r="A110" s="137" t="s">
        <v>57</v>
      </c>
      <c r="B110" s="137"/>
      <c r="C110" s="137" t="s">
        <v>39</v>
      </c>
      <c r="D110" s="138" t="s">
        <v>336</v>
      </c>
    </row>
    <row r="111" spans="1:4" x14ac:dyDescent="0.2">
      <c r="A111" s="137" t="s">
        <v>419</v>
      </c>
      <c r="B111" s="137"/>
      <c r="C111" s="137" t="s">
        <v>40</v>
      </c>
      <c r="D111" s="138" t="s">
        <v>338</v>
      </c>
    </row>
    <row r="112" spans="1:4" x14ac:dyDescent="0.2">
      <c r="A112" s="137" t="s">
        <v>434</v>
      </c>
      <c r="B112" s="137"/>
      <c r="C112" s="137" t="s">
        <v>39</v>
      </c>
      <c r="D112" s="138" t="s">
        <v>341</v>
      </c>
    </row>
    <row r="113" spans="1:4" x14ac:dyDescent="0.2">
      <c r="A113" s="137" t="s">
        <v>435</v>
      </c>
      <c r="B113" s="137"/>
      <c r="C113" s="137" t="s">
        <v>40</v>
      </c>
      <c r="D113" s="138" t="s">
        <v>338</v>
      </c>
    </row>
    <row r="114" spans="1:4" x14ac:dyDescent="0.2">
      <c r="A114" s="137" t="s">
        <v>436</v>
      </c>
      <c r="B114" s="137"/>
      <c r="C114" s="137" t="s">
        <v>40</v>
      </c>
      <c r="D114" s="138" t="s">
        <v>338</v>
      </c>
    </row>
    <row r="115" spans="1:4" x14ac:dyDescent="0.2">
      <c r="A115" s="137" t="s">
        <v>437</v>
      </c>
      <c r="B115" s="137"/>
      <c r="C115" s="137" t="s">
        <v>40</v>
      </c>
      <c r="D115" s="138" t="s">
        <v>338</v>
      </c>
    </row>
    <row r="116" spans="1:4" x14ac:dyDescent="0.2">
      <c r="A116" s="137" t="s">
        <v>438</v>
      </c>
      <c r="B116" s="137"/>
      <c r="C116" s="137" t="s">
        <v>40</v>
      </c>
      <c r="D116" s="138" t="s">
        <v>336</v>
      </c>
    </row>
    <row r="117" spans="1:4" x14ac:dyDescent="0.2">
      <c r="A117" s="137" t="s">
        <v>439</v>
      </c>
      <c r="B117" s="137"/>
      <c r="C117" s="137" t="s">
        <v>39</v>
      </c>
      <c r="D117" s="138" t="s">
        <v>336</v>
      </c>
    </row>
    <row r="118" spans="1:4" x14ac:dyDescent="0.2">
      <c r="A118" s="137" t="s">
        <v>440</v>
      </c>
      <c r="B118" s="137"/>
      <c r="C118" s="137" t="s">
        <v>40</v>
      </c>
      <c r="D118" s="138" t="s">
        <v>336</v>
      </c>
    </row>
    <row r="119" spans="1:4" x14ac:dyDescent="0.2">
      <c r="A119" s="137" t="s">
        <v>441</v>
      </c>
      <c r="B119" s="137"/>
      <c r="C119" s="137" t="s">
        <v>39</v>
      </c>
      <c r="D119" s="138" t="s">
        <v>336</v>
      </c>
    </row>
    <row r="120" spans="1:4" x14ac:dyDescent="0.2">
      <c r="A120" s="137" t="s">
        <v>442</v>
      </c>
      <c r="B120" s="137"/>
      <c r="C120" s="137" t="s">
        <v>40</v>
      </c>
      <c r="D120" s="138" t="s">
        <v>336</v>
      </c>
    </row>
    <row r="121" spans="1:4" x14ac:dyDescent="0.2">
      <c r="A121" s="137" t="s">
        <v>443</v>
      </c>
      <c r="B121" s="137"/>
      <c r="C121" s="137" t="s">
        <v>40</v>
      </c>
      <c r="D121" s="138" t="s">
        <v>338</v>
      </c>
    </row>
    <row r="122" spans="1:4" x14ac:dyDescent="0.2">
      <c r="A122" s="137" t="s">
        <v>444</v>
      </c>
      <c r="B122" s="137"/>
      <c r="C122" s="137" t="s">
        <v>39</v>
      </c>
      <c r="D122" s="138" t="s">
        <v>341</v>
      </c>
    </row>
    <row r="123" spans="1:4" x14ac:dyDescent="0.2">
      <c r="A123" s="137" t="s">
        <v>58</v>
      </c>
      <c r="B123" s="137"/>
      <c r="C123" s="137" t="s">
        <v>40</v>
      </c>
      <c r="D123" s="138" t="s">
        <v>338</v>
      </c>
    </row>
    <row r="124" spans="1:4" x14ac:dyDescent="0.2">
      <c r="A124" s="137" t="s">
        <v>59</v>
      </c>
      <c r="B124" s="137"/>
      <c r="C124" s="137" t="s">
        <v>39</v>
      </c>
      <c r="D124" s="138" t="s">
        <v>336</v>
      </c>
    </row>
    <row r="125" spans="1:4" x14ac:dyDescent="0.2">
      <c r="A125" s="139" t="s">
        <v>445</v>
      </c>
      <c r="B125" s="137"/>
      <c r="C125" s="137" t="s">
        <v>39</v>
      </c>
      <c r="D125" s="138" t="s">
        <v>336</v>
      </c>
    </row>
    <row r="126" spans="1:4" x14ac:dyDescent="0.2">
      <c r="A126" s="137" t="s">
        <v>60</v>
      </c>
      <c r="B126" s="137"/>
      <c r="C126" s="137" t="s">
        <v>40</v>
      </c>
      <c r="D126" s="138" t="s">
        <v>338</v>
      </c>
    </row>
    <row r="127" spans="1:4" x14ac:dyDescent="0.2">
      <c r="A127" s="137" t="s">
        <v>446</v>
      </c>
      <c r="B127" s="137"/>
      <c r="C127" s="137" t="s">
        <v>40</v>
      </c>
      <c r="D127" s="138" t="s">
        <v>338</v>
      </c>
    </row>
    <row r="128" spans="1:4" x14ac:dyDescent="0.2">
      <c r="A128" s="137" t="s">
        <v>447</v>
      </c>
      <c r="B128" s="137"/>
      <c r="C128" s="137" t="s">
        <v>40</v>
      </c>
      <c r="D128" s="138" t="s">
        <v>338</v>
      </c>
    </row>
    <row r="129" spans="1:4" x14ac:dyDescent="0.2">
      <c r="A129" s="137" t="s">
        <v>448</v>
      </c>
      <c r="B129" s="137"/>
      <c r="C129" s="137" t="s">
        <v>40</v>
      </c>
      <c r="D129" s="138" t="s">
        <v>338</v>
      </c>
    </row>
    <row r="130" spans="1:4" x14ac:dyDescent="0.2">
      <c r="A130" s="137" t="s">
        <v>449</v>
      </c>
      <c r="B130" s="137"/>
      <c r="C130" s="137" t="s">
        <v>40</v>
      </c>
      <c r="D130" s="138" t="s">
        <v>338</v>
      </c>
    </row>
    <row r="131" spans="1:4" x14ac:dyDescent="0.2">
      <c r="A131" s="137" t="s">
        <v>450</v>
      </c>
      <c r="B131" s="137"/>
      <c r="C131" s="137" t="s">
        <v>40</v>
      </c>
      <c r="D131" s="138" t="s">
        <v>338</v>
      </c>
    </row>
    <row r="132" spans="1:4" x14ac:dyDescent="0.2">
      <c r="A132" s="139" t="s">
        <v>451</v>
      </c>
      <c r="B132" s="137"/>
      <c r="C132" s="137" t="s">
        <v>40</v>
      </c>
      <c r="D132" s="138" t="s">
        <v>336</v>
      </c>
    </row>
    <row r="133" spans="1:4" x14ac:dyDescent="0.2">
      <c r="A133" s="139" t="s">
        <v>452</v>
      </c>
      <c r="B133" s="137"/>
      <c r="C133" s="137" t="s">
        <v>39</v>
      </c>
      <c r="D133" s="138" t="s">
        <v>336</v>
      </c>
    </row>
    <row r="134" spans="1:4" x14ac:dyDescent="0.2">
      <c r="A134" s="139" t="s">
        <v>453</v>
      </c>
      <c r="B134" s="137"/>
      <c r="C134" s="137" t="s">
        <v>40</v>
      </c>
      <c r="D134" s="138" t="s">
        <v>336</v>
      </c>
    </row>
    <row r="135" spans="1:4" x14ac:dyDescent="0.2">
      <c r="A135" s="137" t="s">
        <v>454</v>
      </c>
      <c r="B135" s="137"/>
      <c r="C135" s="137" t="s">
        <v>40</v>
      </c>
      <c r="D135" s="138" t="s">
        <v>338</v>
      </c>
    </row>
    <row r="136" spans="1:4" x14ac:dyDescent="0.2">
      <c r="A136" s="139" t="s">
        <v>455</v>
      </c>
      <c r="B136" s="137"/>
      <c r="C136" s="137" t="s">
        <v>40</v>
      </c>
      <c r="D136" s="138" t="s">
        <v>336</v>
      </c>
    </row>
    <row r="137" spans="1:4" x14ac:dyDescent="0.2">
      <c r="A137" s="137" t="s">
        <v>433</v>
      </c>
      <c r="B137" s="137"/>
      <c r="C137" s="137" t="s">
        <v>40</v>
      </c>
      <c r="D137" s="138" t="s">
        <v>338</v>
      </c>
    </row>
    <row r="138" spans="1:4" x14ac:dyDescent="0.2">
      <c r="A138" s="137" t="s">
        <v>456</v>
      </c>
      <c r="B138" s="137"/>
      <c r="C138" s="137" t="s">
        <v>39</v>
      </c>
      <c r="D138" s="138" t="s">
        <v>341</v>
      </c>
    </row>
    <row r="139" spans="1:4" x14ac:dyDescent="0.2">
      <c r="A139" s="137" t="s">
        <v>457</v>
      </c>
      <c r="B139" s="137"/>
      <c r="C139" s="137" t="s">
        <v>40</v>
      </c>
      <c r="D139" s="138" t="s">
        <v>338</v>
      </c>
    </row>
    <row r="140" spans="1:4" x14ac:dyDescent="0.2">
      <c r="A140" s="137" t="s">
        <v>458</v>
      </c>
      <c r="B140" s="137"/>
      <c r="C140" s="137" t="s">
        <v>40</v>
      </c>
      <c r="D140" s="138" t="s">
        <v>338</v>
      </c>
    </row>
    <row r="141" spans="1:4" x14ac:dyDescent="0.2">
      <c r="A141" s="137" t="s">
        <v>61</v>
      </c>
      <c r="B141" s="137"/>
      <c r="C141" s="137" t="s">
        <v>39</v>
      </c>
      <c r="D141" s="138" t="s">
        <v>341</v>
      </c>
    </row>
    <row r="142" spans="1:4" x14ac:dyDescent="0.2">
      <c r="A142" s="137" t="s">
        <v>62</v>
      </c>
      <c r="B142" s="137"/>
      <c r="C142" s="137" t="s">
        <v>40</v>
      </c>
      <c r="D142" s="138" t="s">
        <v>338</v>
      </c>
    </row>
    <row r="143" spans="1:4" x14ac:dyDescent="0.2">
      <c r="A143" s="137" t="s">
        <v>63</v>
      </c>
      <c r="B143" s="137"/>
      <c r="C143" s="137" t="s">
        <v>40</v>
      </c>
      <c r="D143" s="138" t="s">
        <v>338</v>
      </c>
    </row>
    <row r="144" spans="1:4" x14ac:dyDescent="0.2">
      <c r="A144" s="137" t="s">
        <v>459</v>
      </c>
      <c r="B144" s="137"/>
      <c r="C144" s="137" t="s">
        <v>40</v>
      </c>
      <c r="D144" s="138" t="s">
        <v>338</v>
      </c>
    </row>
    <row r="145" spans="1:4" x14ac:dyDescent="0.2">
      <c r="A145" s="137" t="s">
        <v>460</v>
      </c>
      <c r="B145" s="137"/>
      <c r="C145" s="137" t="s">
        <v>40</v>
      </c>
      <c r="D145" s="138" t="s">
        <v>461</v>
      </c>
    </row>
    <row r="146" spans="1:4" x14ac:dyDescent="0.2">
      <c r="A146" s="137" t="s">
        <v>462</v>
      </c>
      <c r="B146" s="137"/>
      <c r="C146" s="137" t="s">
        <v>39</v>
      </c>
      <c r="D146" s="138" t="s">
        <v>463</v>
      </c>
    </row>
    <row r="147" spans="1:4" x14ac:dyDescent="0.2">
      <c r="A147" s="137" t="s">
        <v>464</v>
      </c>
      <c r="B147" s="137"/>
      <c r="C147" s="137" t="s">
        <v>40</v>
      </c>
      <c r="D147" s="138" t="s">
        <v>338</v>
      </c>
    </row>
    <row r="148" spans="1:4" x14ac:dyDescent="0.2">
      <c r="A148" s="139" t="s">
        <v>465</v>
      </c>
      <c r="B148" s="137"/>
      <c r="C148" s="137" t="s">
        <v>39</v>
      </c>
      <c r="D148" s="138" t="s">
        <v>336</v>
      </c>
    </row>
    <row r="149" spans="1:4" x14ac:dyDescent="0.2">
      <c r="A149" s="137" t="s">
        <v>466</v>
      </c>
      <c r="B149" s="137"/>
      <c r="C149" s="137" t="s">
        <v>40</v>
      </c>
      <c r="D149" s="138" t="s">
        <v>338</v>
      </c>
    </row>
    <row r="150" spans="1:4" x14ac:dyDescent="0.2">
      <c r="A150" s="137" t="s">
        <v>467</v>
      </c>
      <c r="B150" s="137"/>
      <c r="C150" s="137" t="s">
        <v>40</v>
      </c>
      <c r="D150" s="138" t="s">
        <v>338</v>
      </c>
    </row>
    <row r="151" spans="1:4" x14ac:dyDescent="0.2">
      <c r="A151" s="137" t="s">
        <v>468</v>
      </c>
      <c r="B151" s="137"/>
      <c r="C151" s="137" t="s">
        <v>39</v>
      </c>
      <c r="D151" s="138" t="s">
        <v>341</v>
      </c>
    </row>
    <row r="152" spans="1:4" x14ac:dyDescent="0.2">
      <c r="A152" s="137" t="s">
        <v>469</v>
      </c>
      <c r="B152" s="137"/>
      <c r="C152" s="137" t="s">
        <v>40</v>
      </c>
      <c r="D152" s="138" t="s">
        <v>338</v>
      </c>
    </row>
    <row r="153" spans="1:4" x14ac:dyDescent="0.2">
      <c r="A153" s="137" t="s">
        <v>64</v>
      </c>
      <c r="B153" s="137"/>
      <c r="C153" s="137" t="s">
        <v>40</v>
      </c>
      <c r="D153" s="138" t="s">
        <v>338</v>
      </c>
    </row>
    <row r="154" spans="1:4" x14ac:dyDescent="0.2">
      <c r="A154" s="137" t="s">
        <v>65</v>
      </c>
      <c r="B154" s="137"/>
      <c r="C154" s="137" t="s">
        <v>40</v>
      </c>
      <c r="D154" s="138" t="s">
        <v>338</v>
      </c>
    </row>
    <row r="155" spans="1:4" x14ac:dyDescent="0.2">
      <c r="A155" s="137" t="s">
        <v>470</v>
      </c>
      <c r="B155" s="137"/>
      <c r="C155" s="137" t="s">
        <v>40</v>
      </c>
      <c r="D155" s="138" t="s">
        <v>338</v>
      </c>
    </row>
    <row r="156" spans="1:4" x14ac:dyDescent="0.2">
      <c r="A156" s="139" t="s">
        <v>471</v>
      </c>
      <c r="B156" s="137"/>
      <c r="C156" s="137" t="s">
        <v>39</v>
      </c>
      <c r="D156" s="138" t="s">
        <v>336</v>
      </c>
    </row>
    <row r="157" spans="1:4" x14ac:dyDescent="0.2">
      <c r="A157" s="139" t="s">
        <v>472</v>
      </c>
      <c r="B157" s="137"/>
      <c r="C157" s="137" t="s">
        <v>40</v>
      </c>
      <c r="D157" s="138" t="s">
        <v>336</v>
      </c>
    </row>
    <row r="158" spans="1:4" x14ac:dyDescent="0.2">
      <c r="A158" s="137" t="s">
        <v>473</v>
      </c>
      <c r="B158" s="137"/>
      <c r="C158" s="137" t="s">
        <v>40</v>
      </c>
      <c r="D158" s="138" t="s">
        <v>338</v>
      </c>
    </row>
    <row r="159" spans="1:4" x14ac:dyDescent="0.2">
      <c r="A159" s="139" t="s">
        <v>474</v>
      </c>
      <c r="B159" s="141"/>
      <c r="C159" s="142" t="s">
        <v>40</v>
      </c>
      <c r="D159" s="138" t="s">
        <v>336</v>
      </c>
    </row>
    <row r="160" spans="1:4" x14ac:dyDescent="0.2">
      <c r="A160" s="139" t="s">
        <v>475</v>
      </c>
      <c r="B160" s="137"/>
      <c r="C160" s="137" t="s">
        <v>39</v>
      </c>
      <c r="D160" s="138" t="s">
        <v>336</v>
      </c>
    </row>
    <row r="161" spans="1:4" x14ac:dyDescent="0.2">
      <c r="A161" s="139" t="s">
        <v>476</v>
      </c>
      <c r="B161" s="137"/>
      <c r="C161" s="137" t="s">
        <v>39</v>
      </c>
      <c r="D161" s="138" t="s">
        <v>336</v>
      </c>
    </row>
    <row r="162" spans="1:4" x14ac:dyDescent="0.2">
      <c r="A162" s="139" t="s">
        <v>477</v>
      </c>
      <c r="B162" s="137"/>
      <c r="C162" s="137" t="s">
        <v>39</v>
      </c>
      <c r="D162" s="138" t="s">
        <v>336</v>
      </c>
    </row>
    <row r="163" spans="1:4" x14ac:dyDescent="0.2">
      <c r="A163" s="139" t="s">
        <v>478</v>
      </c>
      <c r="B163" s="137"/>
      <c r="C163" s="137" t="s">
        <v>39</v>
      </c>
      <c r="D163" s="138" t="s">
        <v>336</v>
      </c>
    </row>
    <row r="164" spans="1:4" x14ac:dyDescent="0.2">
      <c r="A164" s="137" t="s">
        <v>479</v>
      </c>
      <c r="B164" s="137"/>
      <c r="C164" s="137" t="s">
        <v>39</v>
      </c>
      <c r="D164" s="138" t="s">
        <v>341</v>
      </c>
    </row>
    <row r="165" spans="1:4" x14ac:dyDescent="0.2">
      <c r="A165" s="137" t="s">
        <v>66</v>
      </c>
      <c r="B165" s="137"/>
      <c r="C165" s="137" t="s">
        <v>40</v>
      </c>
      <c r="D165" s="138" t="s">
        <v>338</v>
      </c>
    </row>
    <row r="166" spans="1:4" x14ac:dyDescent="0.2">
      <c r="A166" s="139" t="s">
        <v>480</v>
      </c>
      <c r="B166" s="137"/>
      <c r="C166" s="137" t="s">
        <v>39</v>
      </c>
      <c r="D166" s="138" t="s">
        <v>336</v>
      </c>
    </row>
    <row r="167" spans="1:4" x14ac:dyDescent="0.2">
      <c r="A167" s="137" t="s">
        <v>481</v>
      </c>
      <c r="B167" s="137"/>
      <c r="C167" s="137" t="s">
        <v>40</v>
      </c>
      <c r="D167" s="138" t="s">
        <v>336</v>
      </c>
    </row>
    <row r="168" spans="1:4" x14ac:dyDescent="0.2">
      <c r="A168" s="137" t="s">
        <v>358</v>
      </c>
      <c r="B168" s="137"/>
      <c r="C168" s="137" t="s">
        <v>40</v>
      </c>
      <c r="D168" s="138" t="s">
        <v>338</v>
      </c>
    </row>
    <row r="169" spans="1:4" x14ac:dyDescent="0.2">
      <c r="A169" s="137" t="s">
        <v>482</v>
      </c>
      <c r="B169" s="137"/>
      <c r="C169" s="137" t="s">
        <v>39</v>
      </c>
      <c r="D169" s="138" t="s">
        <v>344</v>
      </c>
    </row>
    <row r="170" spans="1:4" x14ac:dyDescent="0.2">
      <c r="A170" s="137" t="s">
        <v>483</v>
      </c>
      <c r="B170" s="137"/>
      <c r="C170" s="137" t="s">
        <v>39</v>
      </c>
      <c r="D170" s="138" t="s">
        <v>341</v>
      </c>
    </row>
    <row r="171" spans="1:4" x14ac:dyDescent="0.2">
      <c r="A171" s="137" t="s">
        <v>484</v>
      </c>
      <c r="B171" s="137"/>
      <c r="C171" s="137" t="s">
        <v>40</v>
      </c>
      <c r="D171" s="138" t="s">
        <v>338</v>
      </c>
    </row>
    <row r="172" spans="1:4" x14ac:dyDescent="0.2">
      <c r="A172" s="137" t="s">
        <v>67</v>
      </c>
      <c r="B172" s="137"/>
      <c r="C172" s="137" t="s">
        <v>40</v>
      </c>
      <c r="D172" s="138" t="s">
        <v>338</v>
      </c>
    </row>
    <row r="173" spans="1:4" x14ac:dyDescent="0.2">
      <c r="A173" s="137" t="s">
        <v>485</v>
      </c>
      <c r="B173" s="137"/>
      <c r="C173" s="137" t="s">
        <v>40</v>
      </c>
      <c r="D173" s="138" t="s">
        <v>338</v>
      </c>
    </row>
    <row r="174" spans="1:4" x14ac:dyDescent="0.2">
      <c r="A174" s="137" t="s">
        <v>68</v>
      </c>
      <c r="B174" s="137"/>
      <c r="C174" s="137" t="s">
        <v>40</v>
      </c>
      <c r="D174" s="138" t="s">
        <v>338</v>
      </c>
    </row>
    <row r="175" spans="1:4" x14ac:dyDescent="0.2">
      <c r="A175" s="137" t="s">
        <v>69</v>
      </c>
      <c r="B175" s="137"/>
      <c r="C175" s="137" t="s">
        <v>40</v>
      </c>
      <c r="D175" s="138" t="s">
        <v>338</v>
      </c>
    </row>
    <row r="176" spans="1:4" x14ac:dyDescent="0.2">
      <c r="A176" s="137" t="s">
        <v>486</v>
      </c>
      <c r="B176" s="137"/>
      <c r="C176" s="137" t="s">
        <v>40</v>
      </c>
      <c r="D176" s="138" t="s">
        <v>338</v>
      </c>
    </row>
    <row r="177" spans="1:4" x14ac:dyDescent="0.2">
      <c r="A177" s="137" t="s">
        <v>487</v>
      </c>
      <c r="B177" s="137"/>
      <c r="C177" s="137" t="s">
        <v>40</v>
      </c>
      <c r="D177" s="138" t="s">
        <v>338</v>
      </c>
    </row>
    <row r="178" spans="1:4" x14ac:dyDescent="0.2">
      <c r="A178" s="137" t="s">
        <v>488</v>
      </c>
      <c r="B178" s="137"/>
      <c r="C178" s="137" t="s">
        <v>40</v>
      </c>
      <c r="D178" s="138" t="s">
        <v>338</v>
      </c>
    </row>
    <row r="179" spans="1:4" x14ac:dyDescent="0.2">
      <c r="A179" s="137" t="s">
        <v>489</v>
      </c>
      <c r="B179" s="137"/>
      <c r="C179" s="137" t="s">
        <v>40</v>
      </c>
      <c r="D179" s="138" t="s">
        <v>338</v>
      </c>
    </row>
    <row r="180" spans="1:4" x14ac:dyDescent="0.2">
      <c r="A180" s="137" t="s">
        <v>490</v>
      </c>
      <c r="B180" s="137"/>
      <c r="C180" s="137" t="s">
        <v>39</v>
      </c>
      <c r="D180" s="138" t="s">
        <v>336</v>
      </c>
    </row>
    <row r="181" spans="1:4" x14ac:dyDescent="0.2">
      <c r="A181" s="137" t="s">
        <v>491</v>
      </c>
      <c r="B181" s="137"/>
      <c r="C181" s="137" t="s">
        <v>39</v>
      </c>
      <c r="D181" s="138" t="s">
        <v>336</v>
      </c>
    </row>
    <row r="182" spans="1:4" x14ac:dyDescent="0.2">
      <c r="A182" s="137" t="s">
        <v>492</v>
      </c>
      <c r="B182" s="137"/>
      <c r="C182" s="137" t="s">
        <v>40</v>
      </c>
      <c r="D182" s="138" t="s">
        <v>338</v>
      </c>
    </row>
    <row r="183" spans="1:4" x14ac:dyDescent="0.2">
      <c r="A183" s="137" t="s">
        <v>493</v>
      </c>
      <c r="B183" s="137"/>
      <c r="C183" s="137" t="s">
        <v>39</v>
      </c>
      <c r="D183" s="138" t="s">
        <v>336</v>
      </c>
    </row>
    <row r="184" spans="1:4" x14ac:dyDescent="0.2">
      <c r="A184" s="137" t="s">
        <v>494</v>
      </c>
      <c r="B184" s="137"/>
      <c r="C184" s="137" t="s">
        <v>40</v>
      </c>
      <c r="D184" s="138" t="s">
        <v>338</v>
      </c>
    </row>
    <row r="185" spans="1:4" x14ac:dyDescent="0.2">
      <c r="A185" s="137" t="s">
        <v>495</v>
      </c>
      <c r="B185" s="137"/>
      <c r="C185" s="137" t="s">
        <v>39</v>
      </c>
      <c r="D185" s="138" t="s">
        <v>341</v>
      </c>
    </row>
    <row r="186" spans="1:4" x14ac:dyDescent="0.2">
      <c r="A186" s="137" t="s">
        <v>70</v>
      </c>
      <c r="B186" s="137"/>
      <c r="C186" s="137" t="s">
        <v>39</v>
      </c>
      <c r="D186" s="138" t="s">
        <v>336</v>
      </c>
    </row>
    <row r="187" spans="1:4" x14ac:dyDescent="0.2">
      <c r="A187" s="137" t="s">
        <v>496</v>
      </c>
      <c r="B187" s="137"/>
      <c r="C187" s="137" t="s">
        <v>40</v>
      </c>
      <c r="D187" s="138" t="s">
        <v>338</v>
      </c>
    </row>
    <row r="188" spans="1:4" x14ac:dyDescent="0.2">
      <c r="A188" s="137" t="s">
        <v>71</v>
      </c>
      <c r="B188" s="137"/>
      <c r="C188" s="137" t="s">
        <v>40</v>
      </c>
      <c r="D188" s="138" t="s">
        <v>338</v>
      </c>
    </row>
    <row r="189" spans="1:4" x14ac:dyDescent="0.2">
      <c r="A189" s="137" t="s">
        <v>365</v>
      </c>
      <c r="B189" s="137"/>
      <c r="C189" s="137" t="s">
        <v>40</v>
      </c>
      <c r="D189" s="138" t="s">
        <v>338</v>
      </c>
    </row>
    <row r="190" spans="1:4" x14ac:dyDescent="0.2">
      <c r="A190" s="137" t="s">
        <v>497</v>
      </c>
      <c r="B190" s="137"/>
      <c r="C190" s="137" t="s">
        <v>40</v>
      </c>
      <c r="D190" s="138" t="s">
        <v>338</v>
      </c>
    </row>
    <row r="191" spans="1:4" x14ac:dyDescent="0.2">
      <c r="A191" s="137" t="s">
        <v>498</v>
      </c>
      <c r="B191" s="137"/>
      <c r="C191" s="137" t="s">
        <v>39</v>
      </c>
      <c r="D191" s="138" t="s">
        <v>463</v>
      </c>
    </row>
    <row r="192" spans="1:4" x14ac:dyDescent="0.2">
      <c r="A192" s="137" t="s">
        <v>499</v>
      </c>
      <c r="B192" s="137"/>
      <c r="C192" s="137" t="s">
        <v>39</v>
      </c>
      <c r="D192" s="138" t="s">
        <v>341</v>
      </c>
    </row>
    <row r="193" spans="1:4" x14ac:dyDescent="0.2">
      <c r="A193" s="137" t="s">
        <v>500</v>
      </c>
      <c r="B193" s="137"/>
      <c r="C193" s="137" t="s">
        <v>40</v>
      </c>
      <c r="D193" s="138" t="s">
        <v>338</v>
      </c>
    </row>
    <row r="194" spans="1:4" x14ac:dyDescent="0.2">
      <c r="A194" s="137" t="s">
        <v>501</v>
      </c>
      <c r="B194" s="137"/>
      <c r="C194" s="137" t="s">
        <v>40</v>
      </c>
      <c r="D194" s="138" t="s">
        <v>336</v>
      </c>
    </row>
    <row r="195" spans="1:4" x14ac:dyDescent="0.2">
      <c r="A195" s="137" t="s">
        <v>54</v>
      </c>
      <c r="B195" s="137"/>
      <c r="C195" s="137" t="s">
        <v>39</v>
      </c>
      <c r="D195" s="138" t="s">
        <v>336</v>
      </c>
    </row>
    <row r="196" spans="1:4" x14ac:dyDescent="0.2">
      <c r="A196" s="137" t="s">
        <v>502</v>
      </c>
      <c r="B196" s="137"/>
      <c r="C196" s="137" t="s">
        <v>40</v>
      </c>
      <c r="D196" s="138" t="s">
        <v>336</v>
      </c>
    </row>
    <row r="197" spans="1:4" x14ac:dyDescent="0.2">
      <c r="A197" s="137" t="s">
        <v>503</v>
      </c>
      <c r="B197" s="137"/>
      <c r="C197" s="137" t="s">
        <v>40</v>
      </c>
      <c r="D197" s="138" t="s">
        <v>338</v>
      </c>
    </row>
    <row r="198" spans="1:4" x14ac:dyDescent="0.2">
      <c r="A198" s="137" t="s">
        <v>504</v>
      </c>
      <c r="B198" s="137"/>
      <c r="C198" s="137" t="s">
        <v>40</v>
      </c>
      <c r="D198" s="138" t="s">
        <v>338</v>
      </c>
    </row>
    <row r="199" spans="1:4" x14ac:dyDescent="0.2">
      <c r="A199" s="137" t="s">
        <v>422</v>
      </c>
      <c r="B199" s="137"/>
      <c r="C199" s="137" t="s">
        <v>40</v>
      </c>
      <c r="D199" s="138" t="s">
        <v>338</v>
      </c>
    </row>
    <row r="200" spans="1:4" x14ac:dyDescent="0.2">
      <c r="A200" s="137" t="s">
        <v>505</v>
      </c>
      <c r="B200" s="137"/>
      <c r="C200" s="137" t="s">
        <v>39</v>
      </c>
      <c r="D200" s="138" t="s">
        <v>341</v>
      </c>
    </row>
    <row r="201" spans="1:4" x14ac:dyDescent="0.2">
      <c r="A201" s="137" t="s">
        <v>506</v>
      </c>
      <c r="B201" s="137"/>
      <c r="C201" s="137" t="s">
        <v>40</v>
      </c>
      <c r="D201" s="138" t="s">
        <v>338</v>
      </c>
    </row>
    <row r="202" spans="1:4" x14ac:dyDescent="0.2">
      <c r="A202" s="137" t="s">
        <v>507</v>
      </c>
      <c r="B202" s="137"/>
      <c r="C202" s="137" t="s">
        <v>40</v>
      </c>
      <c r="D202" s="138" t="s">
        <v>336</v>
      </c>
    </row>
    <row r="203" spans="1:4" x14ac:dyDescent="0.2">
      <c r="A203" s="137" t="s">
        <v>508</v>
      </c>
      <c r="B203" s="137"/>
      <c r="C203" s="137" t="s">
        <v>39</v>
      </c>
      <c r="D203" s="138" t="s">
        <v>336</v>
      </c>
    </row>
    <row r="204" spans="1:4" x14ac:dyDescent="0.2">
      <c r="A204" s="137" t="s">
        <v>509</v>
      </c>
      <c r="B204" s="137"/>
      <c r="C204" s="137" t="s">
        <v>40</v>
      </c>
      <c r="D204" s="138" t="s">
        <v>336</v>
      </c>
    </row>
    <row r="205" spans="1:4" x14ac:dyDescent="0.2">
      <c r="A205" s="137" t="s">
        <v>510</v>
      </c>
      <c r="B205" s="137"/>
      <c r="C205" s="137" t="s">
        <v>40</v>
      </c>
      <c r="D205" s="138" t="s">
        <v>338</v>
      </c>
    </row>
    <row r="206" spans="1:4" x14ac:dyDescent="0.2">
      <c r="A206" s="137" t="s">
        <v>72</v>
      </c>
      <c r="B206" s="137"/>
      <c r="C206" s="137" t="s">
        <v>39</v>
      </c>
      <c r="D206" s="138" t="s">
        <v>336</v>
      </c>
    </row>
    <row r="207" spans="1:4" x14ac:dyDescent="0.2">
      <c r="A207" s="137" t="s">
        <v>73</v>
      </c>
      <c r="B207" s="137"/>
      <c r="C207" s="137" t="s">
        <v>40</v>
      </c>
      <c r="D207" s="138" t="s">
        <v>338</v>
      </c>
    </row>
    <row r="208" spans="1:4" x14ac:dyDescent="0.2">
      <c r="A208" s="137" t="s">
        <v>511</v>
      </c>
      <c r="B208" s="137"/>
      <c r="C208" s="137" t="s">
        <v>40</v>
      </c>
      <c r="D208" s="138" t="s">
        <v>338</v>
      </c>
    </row>
    <row r="209" spans="1:4" x14ac:dyDescent="0.2">
      <c r="A209" s="137" t="s">
        <v>512</v>
      </c>
      <c r="B209" s="137"/>
      <c r="C209" s="137" t="s">
        <v>40</v>
      </c>
      <c r="D209" s="138" t="s">
        <v>336</v>
      </c>
    </row>
    <row r="210" spans="1:4" x14ac:dyDescent="0.2">
      <c r="A210" s="137" t="s">
        <v>513</v>
      </c>
      <c r="B210" s="137"/>
      <c r="C210" s="137" t="s">
        <v>39</v>
      </c>
      <c r="D210" s="138" t="s">
        <v>336</v>
      </c>
    </row>
    <row r="211" spans="1:4" x14ac:dyDescent="0.2">
      <c r="A211" s="137" t="s">
        <v>514</v>
      </c>
      <c r="B211" s="137"/>
      <c r="C211" s="137" t="s">
        <v>40</v>
      </c>
      <c r="D211" s="138" t="s">
        <v>336</v>
      </c>
    </row>
    <row r="212" spans="1:4" x14ac:dyDescent="0.2">
      <c r="A212" s="137" t="s">
        <v>74</v>
      </c>
      <c r="B212" s="137"/>
      <c r="C212" s="137" t="s">
        <v>39</v>
      </c>
      <c r="D212" s="138" t="s">
        <v>344</v>
      </c>
    </row>
    <row r="213" spans="1:4" x14ac:dyDescent="0.2">
      <c r="A213" s="137" t="s">
        <v>515</v>
      </c>
      <c r="B213" s="137"/>
      <c r="C213" s="137" t="s">
        <v>40</v>
      </c>
      <c r="D213" s="138" t="s">
        <v>338</v>
      </c>
    </row>
    <row r="214" spans="1:4" x14ac:dyDescent="0.2">
      <c r="A214" s="137" t="s">
        <v>516</v>
      </c>
      <c r="B214" s="137"/>
      <c r="C214" s="137" t="s">
        <v>40</v>
      </c>
      <c r="D214" s="138" t="s">
        <v>338</v>
      </c>
    </row>
    <row r="215" spans="1:4" x14ac:dyDescent="0.2">
      <c r="A215" s="137" t="s">
        <v>517</v>
      </c>
      <c r="B215" s="137"/>
      <c r="C215" s="137" t="s">
        <v>40</v>
      </c>
      <c r="D215" s="138" t="s">
        <v>336</v>
      </c>
    </row>
    <row r="216" spans="1:4" x14ac:dyDescent="0.2">
      <c r="A216" s="137" t="s">
        <v>518</v>
      </c>
      <c r="B216" s="137"/>
      <c r="C216" s="137" t="s">
        <v>39</v>
      </c>
      <c r="D216" s="138" t="s">
        <v>336</v>
      </c>
    </row>
    <row r="217" spans="1:4" x14ac:dyDescent="0.2">
      <c r="A217" s="137" t="s">
        <v>519</v>
      </c>
      <c r="B217" s="137"/>
      <c r="C217" s="137" t="s">
        <v>40</v>
      </c>
      <c r="D217" s="138" t="s">
        <v>336</v>
      </c>
    </row>
    <row r="218" spans="1:4" x14ac:dyDescent="0.2">
      <c r="A218" s="137" t="s">
        <v>520</v>
      </c>
      <c r="B218" s="137"/>
      <c r="C218" s="137" t="s">
        <v>39</v>
      </c>
      <c r="D218" s="138" t="s">
        <v>336</v>
      </c>
    </row>
    <row r="219" spans="1:4" x14ac:dyDescent="0.2">
      <c r="A219" s="137" t="s">
        <v>521</v>
      </c>
      <c r="B219" s="137"/>
      <c r="C219" s="137" t="s">
        <v>40</v>
      </c>
      <c r="D219" s="138" t="s">
        <v>336</v>
      </c>
    </row>
    <row r="220" spans="1:4" x14ac:dyDescent="0.2">
      <c r="A220" s="137" t="s">
        <v>522</v>
      </c>
      <c r="B220" s="137"/>
      <c r="C220" s="137" t="s">
        <v>39</v>
      </c>
      <c r="D220" s="138" t="s">
        <v>336</v>
      </c>
    </row>
    <row r="221" spans="1:4" x14ac:dyDescent="0.2">
      <c r="A221" s="137" t="s">
        <v>397</v>
      </c>
      <c r="B221" s="137"/>
      <c r="C221" s="137" t="s">
        <v>39</v>
      </c>
      <c r="D221" s="138" t="s">
        <v>341</v>
      </c>
    </row>
    <row r="222" spans="1:4" x14ac:dyDescent="0.2">
      <c r="A222" s="137" t="s">
        <v>390</v>
      </c>
      <c r="B222" s="137"/>
      <c r="C222" s="137" t="s">
        <v>40</v>
      </c>
      <c r="D222" s="138" t="s">
        <v>338</v>
      </c>
    </row>
    <row r="223" spans="1:4" x14ac:dyDescent="0.2">
      <c r="A223" s="137" t="s">
        <v>523</v>
      </c>
      <c r="B223" s="137"/>
      <c r="C223" s="137" t="s">
        <v>40</v>
      </c>
      <c r="D223" s="138" t="s">
        <v>338</v>
      </c>
    </row>
    <row r="224" spans="1:4" x14ac:dyDescent="0.2">
      <c r="A224" s="137" t="s">
        <v>524</v>
      </c>
      <c r="B224" s="137"/>
      <c r="C224" s="137" t="s">
        <v>40</v>
      </c>
      <c r="D224" s="138" t="s">
        <v>338</v>
      </c>
    </row>
    <row r="225" spans="1:4" x14ac:dyDescent="0.2">
      <c r="A225" s="137" t="s">
        <v>525</v>
      </c>
      <c r="B225" s="137"/>
      <c r="C225" s="137" t="s">
        <v>40</v>
      </c>
      <c r="D225" s="138" t="s">
        <v>338</v>
      </c>
    </row>
    <row r="226" spans="1:4" x14ac:dyDescent="0.2">
      <c r="A226" s="137" t="s">
        <v>500</v>
      </c>
      <c r="B226" s="137"/>
      <c r="C226" s="137" t="s">
        <v>40</v>
      </c>
      <c r="D226" s="138" t="s">
        <v>338</v>
      </c>
    </row>
    <row r="227" spans="1:4" x14ac:dyDescent="0.2">
      <c r="A227" s="137" t="s">
        <v>526</v>
      </c>
      <c r="B227" s="137"/>
      <c r="C227" s="137" t="s">
        <v>40</v>
      </c>
      <c r="D227" s="138" t="s">
        <v>336</v>
      </c>
    </row>
    <row r="228" spans="1:4" x14ac:dyDescent="0.2">
      <c r="A228" s="137" t="s">
        <v>527</v>
      </c>
      <c r="B228" s="140" t="s">
        <v>528</v>
      </c>
      <c r="C228" s="140" t="s">
        <v>39</v>
      </c>
      <c r="D228" s="138" t="s">
        <v>336</v>
      </c>
    </row>
    <row r="229" spans="1:4" x14ac:dyDescent="0.2">
      <c r="A229" s="137" t="s">
        <v>527</v>
      </c>
      <c r="B229" s="140" t="s">
        <v>529</v>
      </c>
      <c r="C229" s="140" t="s">
        <v>39</v>
      </c>
      <c r="D229" s="138" t="s">
        <v>336</v>
      </c>
    </row>
    <row r="230" spans="1:4" x14ac:dyDescent="0.2">
      <c r="A230" s="137" t="s">
        <v>527</v>
      </c>
      <c r="B230" s="140" t="s">
        <v>527</v>
      </c>
      <c r="C230" s="140" t="s">
        <v>39</v>
      </c>
      <c r="D230" s="138" t="s">
        <v>336</v>
      </c>
    </row>
    <row r="231" spans="1:4" x14ac:dyDescent="0.2">
      <c r="A231" s="137" t="s">
        <v>530</v>
      </c>
      <c r="B231" s="137"/>
      <c r="C231" s="137" t="s">
        <v>40</v>
      </c>
      <c r="D231" s="138" t="s">
        <v>336</v>
      </c>
    </row>
    <row r="232" spans="1:4" x14ac:dyDescent="0.2">
      <c r="A232" s="137" t="s">
        <v>531</v>
      </c>
      <c r="B232" s="137"/>
      <c r="C232" s="137" t="s">
        <v>40</v>
      </c>
      <c r="D232" s="138" t="s">
        <v>338</v>
      </c>
    </row>
    <row r="233" spans="1:4" x14ac:dyDescent="0.2">
      <c r="A233" s="136" t="s">
        <v>75</v>
      </c>
      <c r="B233" s="137"/>
      <c r="C233" s="137" t="s">
        <v>39</v>
      </c>
      <c r="D233" s="138" t="s">
        <v>341</v>
      </c>
    </row>
    <row r="234" spans="1:4" x14ac:dyDescent="0.2">
      <c r="A234" s="137" t="s">
        <v>76</v>
      </c>
      <c r="B234" s="137"/>
      <c r="C234" s="137" t="s">
        <v>40</v>
      </c>
      <c r="D234" s="138" t="s">
        <v>338</v>
      </c>
    </row>
    <row r="235" spans="1:4" x14ac:dyDescent="0.2">
      <c r="A235" s="137" t="s">
        <v>377</v>
      </c>
      <c r="B235" s="137"/>
      <c r="C235" s="137" t="s">
        <v>39</v>
      </c>
      <c r="D235" s="138" t="s">
        <v>336</v>
      </c>
    </row>
    <row r="236" spans="1:4" x14ac:dyDescent="0.2">
      <c r="A236" s="137" t="s">
        <v>532</v>
      </c>
      <c r="B236" s="137"/>
      <c r="C236" s="137" t="s">
        <v>40</v>
      </c>
      <c r="D236" s="138" t="s">
        <v>338</v>
      </c>
    </row>
    <row r="237" spans="1:4" x14ac:dyDescent="0.2">
      <c r="A237" s="136" t="s">
        <v>533</v>
      </c>
      <c r="B237" s="137"/>
      <c r="C237" s="137" t="s">
        <v>39</v>
      </c>
      <c r="D237" s="138" t="s">
        <v>341</v>
      </c>
    </row>
    <row r="238" spans="1:4" x14ac:dyDescent="0.2">
      <c r="A238" s="137" t="s">
        <v>77</v>
      </c>
      <c r="B238" s="137"/>
      <c r="C238" s="137" t="s">
        <v>40</v>
      </c>
      <c r="D238" s="138" t="s">
        <v>338</v>
      </c>
    </row>
    <row r="239" spans="1:4" x14ac:dyDescent="0.2">
      <c r="A239" s="137" t="s">
        <v>78</v>
      </c>
      <c r="B239" s="137"/>
      <c r="C239" s="137" t="s">
        <v>39</v>
      </c>
      <c r="D239" s="138" t="s">
        <v>336</v>
      </c>
    </row>
    <row r="240" spans="1:4" x14ac:dyDescent="0.2">
      <c r="A240" s="138" t="s">
        <v>534</v>
      </c>
      <c r="B240" s="137"/>
      <c r="C240" s="137" t="s">
        <v>40</v>
      </c>
      <c r="D240" s="138" t="s">
        <v>338</v>
      </c>
    </row>
    <row r="241" spans="1:4" x14ac:dyDescent="0.2">
      <c r="A241" s="136" t="s">
        <v>535</v>
      </c>
      <c r="B241" s="137"/>
      <c r="C241" s="137" t="s">
        <v>40</v>
      </c>
      <c r="D241" s="138" t="s">
        <v>338</v>
      </c>
    </row>
    <row r="242" spans="1:4" x14ac:dyDescent="0.2">
      <c r="A242" s="137" t="s">
        <v>536</v>
      </c>
      <c r="B242" s="137"/>
      <c r="C242" s="137" t="s">
        <v>40</v>
      </c>
      <c r="D242" s="138" t="s">
        <v>338</v>
      </c>
    </row>
    <row r="243" spans="1:4" x14ac:dyDescent="0.2">
      <c r="A243" s="137" t="s">
        <v>537</v>
      </c>
      <c r="B243" s="137"/>
      <c r="C243" s="137" t="s">
        <v>40</v>
      </c>
      <c r="D243" s="138" t="s">
        <v>338</v>
      </c>
    </row>
    <row r="244" spans="1:4" x14ac:dyDescent="0.2">
      <c r="A244" s="137" t="s">
        <v>538</v>
      </c>
      <c r="B244" s="137"/>
      <c r="C244" s="137" t="s">
        <v>40</v>
      </c>
      <c r="D244" s="138" t="s">
        <v>338</v>
      </c>
    </row>
    <row r="245" spans="1:4" x14ac:dyDescent="0.2">
      <c r="A245" s="137" t="s">
        <v>539</v>
      </c>
      <c r="B245" s="137"/>
      <c r="C245" s="137" t="s">
        <v>40</v>
      </c>
      <c r="D245" s="138" t="s">
        <v>461</v>
      </c>
    </row>
    <row r="246" spans="1:4" x14ac:dyDescent="0.2">
      <c r="A246" s="137" t="s">
        <v>540</v>
      </c>
      <c r="B246" s="137"/>
      <c r="C246" s="137" t="s">
        <v>39</v>
      </c>
      <c r="D246" s="138" t="s">
        <v>540</v>
      </c>
    </row>
    <row r="247" spans="1:4" x14ac:dyDescent="0.2">
      <c r="A247" s="136" t="s">
        <v>79</v>
      </c>
      <c r="B247" s="137"/>
      <c r="C247" s="137" t="s">
        <v>39</v>
      </c>
      <c r="D247" s="138" t="s">
        <v>341</v>
      </c>
    </row>
    <row r="248" spans="1:4" x14ac:dyDescent="0.2">
      <c r="A248" s="137" t="s">
        <v>541</v>
      </c>
      <c r="B248" s="137"/>
      <c r="C248" s="137" t="s">
        <v>39</v>
      </c>
      <c r="D248" s="138" t="s">
        <v>341</v>
      </c>
    </row>
    <row r="249" spans="1:4" x14ac:dyDescent="0.2">
      <c r="A249" s="137" t="s">
        <v>542</v>
      </c>
      <c r="B249" s="137"/>
      <c r="C249" s="137" t="s">
        <v>40</v>
      </c>
      <c r="D249" s="138" t="s">
        <v>336</v>
      </c>
    </row>
    <row r="250" spans="1:4" x14ac:dyDescent="0.2">
      <c r="A250" s="137" t="s">
        <v>543</v>
      </c>
      <c r="B250" s="137"/>
      <c r="C250" s="137" t="s">
        <v>39</v>
      </c>
      <c r="D250" s="138" t="s">
        <v>336</v>
      </c>
    </row>
    <row r="251" spans="1:4" x14ac:dyDescent="0.2">
      <c r="A251" s="137" t="s">
        <v>544</v>
      </c>
      <c r="B251" s="137"/>
      <c r="C251" s="137" t="s">
        <v>40</v>
      </c>
      <c r="D251" s="138" t="s">
        <v>336</v>
      </c>
    </row>
    <row r="252" spans="1:4" x14ac:dyDescent="0.2">
      <c r="A252" s="137" t="s">
        <v>545</v>
      </c>
      <c r="B252" s="137"/>
      <c r="C252" s="137" t="s">
        <v>40</v>
      </c>
      <c r="D252" s="138" t="s">
        <v>338</v>
      </c>
    </row>
    <row r="253" spans="1:4" x14ac:dyDescent="0.2">
      <c r="A253" s="137" t="s">
        <v>546</v>
      </c>
      <c r="B253" s="140" t="s">
        <v>547</v>
      </c>
      <c r="C253" s="140" t="s">
        <v>39</v>
      </c>
      <c r="D253" s="138" t="s">
        <v>336</v>
      </c>
    </row>
    <row r="254" spans="1:4" x14ac:dyDescent="0.2">
      <c r="A254" s="137" t="s">
        <v>548</v>
      </c>
      <c r="B254" s="137" t="s">
        <v>547</v>
      </c>
      <c r="C254" s="137" t="s">
        <v>39</v>
      </c>
      <c r="D254" s="138" t="s">
        <v>336</v>
      </c>
    </row>
    <row r="255" spans="1:4" x14ac:dyDescent="0.2">
      <c r="A255" s="137" t="s">
        <v>549</v>
      </c>
      <c r="B255" s="137" t="s">
        <v>547</v>
      </c>
      <c r="C255" s="137" t="s">
        <v>39</v>
      </c>
      <c r="D255" s="138" t="s">
        <v>341</v>
      </c>
    </row>
    <row r="256" spans="1:4" x14ac:dyDescent="0.2">
      <c r="A256" s="143" t="s">
        <v>550</v>
      </c>
      <c r="B256" s="137" t="s">
        <v>547</v>
      </c>
      <c r="C256" s="137" t="s">
        <v>39</v>
      </c>
      <c r="D256" s="138" t="s">
        <v>338</v>
      </c>
    </row>
    <row r="257" spans="1:4" x14ac:dyDescent="0.2">
      <c r="A257" s="143" t="s">
        <v>551</v>
      </c>
      <c r="B257" s="137" t="s">
        <v>547</v>
      </c>
      <c r="C257" s="137" t="s">
        <v>39</v>
      </c>
      <c r="D257" s="138"/>
    </row>
    <row r="258" spans="1:4" x14ac:dyDescent="0.2">
      <c r="A258" s="137" t="s">
        <v>552</v>
      </c>
      <c r="B258" s="137" t="s">
        <v>547</v>
      </c>
      <c r="C258" s="137" t="s">
        <v>39</v>
      </c>
      <c r="D258" s="138" t="s">
        <v>463</v>
      </c>
    </row>
    <row r="259" spans="1:4" x14ac:dyDescent="0.2">
      <c r="A259" s="137" t="s">
        <v>553</v>
      </c>
      <c r="B259" s="137"/>
      <c r="C259" s="137" t="s">
        <v>40</v>
      </c>
      <c r="D259" s="138" t="s">
        <v>338</v>
      </c>
    </row>
    <row r="260" spans="1:4" x14ac:dyDescent="0.2">
      <c r="A260" s="137" t="s">
        <v>554</v>
      </c>
      <c r="B260" s="137"/>
      <c r="C260" s="137" t="s">
        <v>39</v>
      </c>
      <c r="D260" s="138" t="s">
        <v>463</v>
      </c>
    </row>
    <row r="261" spans="1:4" x14ac:dyDescent="0.2">
      <c r="A261" s="137" t="s">
        <v>555</v>
      </c>
      <c r="B261" s="137"/>
      <c r="C261" s="137" t="s">
        <v>39</v>
      </c>
      <c r="D261" s="138" t="s">
        <v>336</v>
      </c>
    </row>
    <row r="262" spans="1:4" x14ac:dyDescent="0.2">
      <c r="A262" s="137" t="s">
        <v>80</v>
      </c>
      <c r="B262" s="137"/>
      <c r="C262" s="137" t="s">
        <v>40</v>
      </c>
      <c r="D262" s="138" t="s">
        <v>338</v>
      </c>
    </row>
    <row r="263" spans="1:4" x14ac:dyDescent="0.2">
      <c r="A263" s="137" t="s">
        <v>556</v>
      </c>
      <c r="B263" s="137"/>
      <c r="C263" s="137" t="s">
        <v>40</v>
      </c>
      <c r="D263" s="138" t="s">
        <v>338</v>
      </c>
    </row>
    <row r="264" spans="1:4" x14ac:dyDescent="0.2">
      <c r="A264" s="137" t="s">
        <v>557</v>
      </c>
      <c r="B264" s="137"/>
      <c r="C264" s="137" t="s">
        <v>39</v>
      </c>
      <c r="D264" s="138" t="s">
        <v>336</v>
      </c>
    </row>
    <row r="265" spans="1:4" x14ac:dyDescent="0.2">
      <c r="A265" s="137" t="s">
        <v>558</v>
      </c>
      <c r="B265" s="137"/>
      <c r="C265" s="137" t="s">
        <v>39</v>
      </c>
      <c r="D265" s="138" t="s">
        <v>336</v>
      </c>
    </row>
    <row r="266" spans="1:4" x14ac:dyDescent="0.2">
      <c r="A266" s="137" t="s">
        <v>559</v>
      </c>
      <c r="B266" s="137"/>
      <c r="C266" s="137" t="s">
        <v>39</v>
      </c>
      <c r="D266" s="138" t="s">
        <v>336</v>
      </c>
    </row>
    <row r="267" spans="1:4" x14ac:dyDescent="0.2">
      <c r="A267" s="137" t="s">
        <v>81</v>
      </c>
      <c r="B267" s="137"/>
      <c r="C267" s="137" t="s">
        <v>40</v>
      </c>
      <c r="D267" s="138" t="s">
        <v>338</v>
      </c>
    </row>
    <row r="268" spans="1:4" x14ac:dyDescent="0.2">
      <c r="A268" s="137" t="s">
        <v>82</v>
      </c>
      <c r="B268" s="137"/>
      <c r="C268" s="137" t="s">
        <v>39</v>
      </c>
      <c r="D268" s="138" t="s">
        <v>336</v>
      </c>
    </row>
    <row r="269" spans="1:4" x14ac:dyDescent="0.2">
      <c r="A269" s="137" t="s">
        <v>560</v>
      </c>
      <c r="B269" s="137"/>
      <c r="C269" s="137" t="s">
        <v>39</v>
      </c>
      <c r="D269" s="138" t="s">
        <v>341</v>
      </c>
    </row>
    <row r="270" spans="1:4" x14ac:dyDescent="0.2">
      <c r="A270" s="137" t="s">
        <v>561</v>
      </c>
      <c r="B270" s="137"/>
      <c r="C270" s="137" t="s">
        <v>39</v>
      </c>
      <c r="D270" s="138" t="s">
        <v>336</v>
      </c>
    </row>
    <row r="271" spans="1:4" x14ac:dyDescent="0.2">
      <c r="A271" s="137" t="s">
        <v>562</v>
      </c>
      <c r="B271" s="137"/>
      <c r="C271" s="137" t="s">
        <v>40</v>
      </c>
      <c r="D271" s="138" t="s">
        <v>336</v>
      </c>
    </row>
    <row r="272" spans="1:4" x14ac:dyDescent="0.2">
      <c r="A272" s="137" t="s">
        <v>563</v>
      </c>
      <c r="B272" s="137"/>
      <c r="C272" s="137" t="s">
        <v>40</v>
      </c>
      <c r="D272" s="138" t="s">
        <v>336</v>
      </c>
    </row>
    <row r="273" spans="1:4" x14ac:dyDescent="0.2">
      <c r="A273" s="137" t="s">
        <v>564</v>
      </c>
      <c r="B273" s="137"/>
      <c r="C273" s="137" t="s">
        <v>39</v>
      </c>
      <c r="D273" s="138" t="s">
        <v>344</v>
      </c>
    </row>
    <row r="274" spans="1:4" x14ac:dyDescent="0.2">
      <c r="A274" s="137" t="s">
        <v>565</v>
      </c>
      <c r="B274" s="137"/>
      <c r="C274" s="137" t="s">
        <v>40</v>
      </c>
      <c r="D274" s="138" t="s">
        <v>336</v>
      </c>
    </row>
    <row r="275" spans="1:4" x14ac:dyDescent="0.2">
      <c r="A275" s="137" t="s">
        <v>566</v>
      </c>
      <c r="B275" s="136"/>
      <c r="C275" s="136" t="s">
        <v>39</v>
      </c>
      <c r="D275" s="138" t="s">
        <v>336</v>
      </c>
    </row>
    <row r="276" spans="1:4" x14ac:dyDescent="0.2">
      <c r="A276" s="137" t="s">
        <v>567</v>
      </c>
      <c r="B276" s="137"/>
      <c r="C276" s="137" t="s">
        <v>40</v>
      </c>
      <c r="D276" s="138" t="s">
        <v>336</v>
      </c>
    </row>
    <row r="277" spans="1:4" x14ac:dyDescent="0.2">
      <c r="A277" s="137" t="s">
        <v>568</v>
      </c>
      <c r="B277" s="137"/>
      <c r="C277" s="137" t="s">
        <v>39</v>
      </c>
      <c r="D277" s="138" t="s">
        <v>344</v>
      </c>
    </row>
    <row r="278" spans="1:4" x14ac:dyDescent="0.2">
      <c r="A278" s="137" t="s">
        <v>569</v>
      </c>
      <c r="B278" s="137"/>
      <c r="C278" s="137" t="s">
        <v>40</v>
      </c>
      <c r="D278" s="138" t="s">
        <v>338</v>
      </c>
    </row>
    <row r="279" spans="1:4" x14ac:dyDescent="0.2">
      <c r="A279" s="137" t="s">
        <v>443</v>
      </c>
      <c r="B279" s="137"/>
      <c r="C279" s="137" t="s">
        <v>40</v>
      </c>
      <c r="D279" s="138" t="s">
        <v>338</v>
      </c>
    </row>
    <row r="280" spans="1:4" x14ac:dyDescent="0.2">
      <c r="A280" s="137" t="s">
        <v>570</v>
      </c>
      <c r="B280" s="137"/>
      <c r="C280" s="137" t="s">
        <v>39</v>
      </c>
      <c r="D280" s="138" t="s">
        <v>336</v>
      </c>
    </row>
    <row r="281" spans="1:4" x14ac:dyDescent="0.2">
      <c r="A281" s="137" t="s">
        <v>571</v>
      </c>
      <c r="B281" s="137"/>
      <c r="C281" s="137" t="s">
        <v>40</v>
      </c>
      <c r="D281" s="138" t="s">
        <v>338</v>
      </c>
    </row>
    <row r="282" spans="1:4" x14ac:dyDescent="0.2">
      <c r="A282" s="137" t="s">
        <v>572</v>
      </c>
      <c r="B282" s="137"/>
      <c r="C282" s="137" t="s">
        <v>39</v>
      </c>
      <c r="D282" s="138" t="s">
        <v>336</v>
      </c>
    </row>
    <row r="283" spans="1:4" x14ac:dyDescent="0.2">
      <c r="A283" s="137" t="s">
        <v>573</v>
      </c>
      <c r="B283" s="137"/>
      <c r="C283" s="137" t="s">
        <v>40</v>
      </c>
      <c r="D283" s="138" t="s">
        <v>336</v>
      </c>
    </row>
    <row r="284" spans="1:4" x14ac:dyDescent="0.2">
      <c r="A284" s="137" t="s">
        <v>574</v>
      </c>
      <c r="B284" s="137"/>
      <c r="C284" s="137" t="s">
        <v>39</v>
      </c>
      <c r="D284" s="138" t="s">
        <v>344</v>
      </c>
    </row>
    <row r="285" spans="1:4" x14ac:dyDescent="0.2">
      <c r="A285" s="137" t="s">
        <v>575</v>
      </c>
      <c r="B285" s="137"/>
      <c r="C285" s="137" t="s">
        <v>39</v>
      </c>
      <c r="D285" s="138" t="s">
        <v>336</v>
      </c>
    </row>
    <row r="286" spans="1:4" x14ac:dyDescent="0.2">
      <c r="A286" s="137" t="s">
        <v>83</v>
      </c>
      <c r="B286" s="137"/>
      <c r="C286" s="137" t="s">
        <v>39</v>
      </c>
      <c r="D286" s="138" t="s">
        <v>336</v>
      </c>
    </row>
    <row r="287" spans="1:4" x14ac:dyDescent="0.2">
      <c r="A287" s="137" t="s">
        <v>576</v>
      </c>
      <c r="B287" s="137"/>
      <c r="C287" s="137" t="s">
        <v>40</v>
      </c>
      <c r="D287" s="138" t="s">
        <v>336</v>
      </c>
    </row>
    <row r="288" spans="1:4" x14ac:dyDescent="0.2">
      <c r="A288" s="137" t="s">
        <v>577</v>
      </c>
      <c r="B288" s="137"/>
      <c r="C288" s="137" t="s">
        <v>39</v>
      </c>
      <c r="D288" s="138" t="s">
        <v>336</v>
      </c>
    </row>
    <row r="289" spans="1:4" x14ac:dyDescent="0.2">
      <c r="A289" s="137" t="s">
        <v>578</v>
      </c>
      <c r="B289" s="137"/>
      <c r="C289" s="137" t="s">
        <v>40</v>
      </c>
      <c r="D289" s="138" t="s">
        <v>336</v>
      </c>
    </row>
    <row r="290" spans="1:4" x14ac:dyDescent="0.2">
      <c r="A290" s="137" t="s">
        <v>579</v>
      </c>
      <c r="B290" s="137"/>
      <c r="C290" s="137" t="s">
        <v>39</v>
      </c>
      <c r="D290" s="138" t="s">
        <v>336</v>
      </c>
    </row>
    <row r="291" spans="1:4" x14ac:dyDescent="0.2">
      <c r="A291" s="137" t="s">
        <v>580</v>
      </c>
      <c r="B291" s="137"/>
      <c r="C291" s="137" t="s">
        <v>40</v>
      </c>
      <c r="D291" s="138" t="s">
        <v>336</v>
      </c>
    </row>
    <row r="292" spans="1:4" x14ac:dyDescent="0.2">
      <c r="A292" s="137" t="s">
        <v>581</v>
      </c>
      <c r="B292" s="137"/>
      <c r="C292" s="137" t="s">
        <v>40</v>
      </c>
      <c r="D292" s="138" t="s">
        <v>338</v>
      </c>
    </row>
    <row r="293" spans="1:4" x14ac:dyDescent="0.2">
      <c r="A293" s="137" t="s">
        <v>582</v>
      </c>
      <c r="B293" s="137"/>
      <c r="C293" s="137" t="s">
        <v>39</v>
      </c>
      <c r="D293" s="138" t="s">
        <v>341</v>
      </c>
    </row>
    <row r="294" spans="1:4" x14ac:dyDescent="0.2">
      <c r="A294" s="137" t="s">
        <v>437</v>
      </c>
      <c r="B294" s="137"/>
      <c r="C294" s="137" t="s">
        <v>40</v>
      </c>
      <c r="D294" s="138" t="s">
        <v>338</v>
      </c>
    </row>
    <row r="295" spans="1:4" x14ac:dyDescent="0.2">
      <c r="A295" s="137" t="s">
        <v>84</v>
      </c>
      <c r="B295" s="137"/>
      <c r="C295" s="137" t="s">
        <v>39</v>
      </c>
      <c r="D295" s="138" t="s">
        <v>463</v>
      </c>
    </row>
    <row r="296" spans="1:4" x14ac:dyDescent="0.2">
      <c r="A296" s="137" t="s">
        <v>583</v>
      </c>
      <c r="B296" s="137"/>
      <c r="C296" s="137" t="s">
        <v>39</v>
      </c>
      <c r="D296" s="138" t="s">
        <v>341</v>
      </c>
    </row>
    <row r="297" spans="1:4" x14ac:dyDescent="0.2">
      <c r="A297" s="137" t="s">
        <v>85</v>
      </c>
      <c r="B297" s="137"/>
      <c r="C297" s="137" t="s">
        <v>39</v>
      </c>
      <c r="D297" s="138" t="s">
        <v>341</v>
      </c>
    </row>
    <row r="298" spans="1:4" x14ac:dyDescent="0.2">
      <c r="A298" s="137" t="s">
        <v>584</v>
      </c>
      <c r="B298" s="137"/>
      <c r="C298" s="137" t="s">
        <v>39</v>
      </c>
      <c r="D298" s="138" t="s">
        <v>341</v>
      </c>
    </row>
    <row r="299" spans="1:4" x14ac:dyDescent="0.2">
      <c r="A299" s="137" t="s">
        <v>585</v>
      </c>
      <c r="B299" s="137"/>
      <c r="C299" s="137" t="s">
        <v>39</v>
      </c>
      <c r="D299" s="138" t="s">
        <v>336</v>
      </c>
    </row>
    <row r="300" spans="1:4" x14ac:dyDescent="0.2">
      <c r="A300" s="137" t="s">
        <v>586</v>
      </c>
      <c r="B300" s="137"/>
      <c r="C300" s="137" t="s">
        <v>39</v>
      </c>
      <c r="D300" s="138" t="s">
        <v>336</v>
      </c>
    </row>
    <row r="301" spans="1:4" x14ac:dyDescent="0.2">
      <c r="A301" s="137" t="s">
        <v>587</v>
      </c>
      <c r="B301" s="137"/>
      <c r="C301" s="137" t="s">
        <v>40</v>
      </c>
      <c r="D301" s="138" t="s">
        <v>336</v>
      </c>
    </row>
    <row r="302" spans="1:4" x14ac:dyDescent="0.2">
      <c r="A302" s="139" t="s">
        <v>588</v>
      </c>
      <c r="B302" s="141"/>
      <c r="C302" s="142" t="s">
        <v>39</v>
      </c>
      <c r="D302" s="138" t="s">
        <v>336</v>
      </c>
    </row>
    <row r="303" spans="1:4" x14ac:dyDescent="0.2">
      <c r="A303" s="139" t="s">
        <v>589</v>
      </c>
      <c r="B303" s="137"/>
      <c r="C303" s="137" t="s">
        <v>40</v>
      </c>
      <c r="D303" s="138" t="s">
        <v>338</v>
      </c>
    </row>
    <row r="304" spans="1:4" x14ac:dyDescent="0.2">
      <c r="A304" s="137" t="s">
        <v>590</v>
      </c>
      <c r="B304" s="137"/>
      <c r="C304" s="137" t="s">
        <v>40</v>
      </c>
      <c r="D304" s="138" t="s">
        <v>338</v>
      </c>
    </row>
    <row r="305" spans="1:4" x14ac:dyDescent="0.2">
      <c r="A305" s="137" t="s">
        <v>83</v>
      </c>
      <c r="B305" s="137"/>
      <c r="C305" s="137" t="s">
        <v>40</v>
      </c>
      <c r="D305" s="138" t="s">
        <v>338</v>
      </c>
    </row>
    <row r="306" spans="1:4" x14ac:dyDescent="0.2">
      <c r="A306" s="137" t="s">
        <v>86</v>
      </c>
      <c r="B306" s="137"/>
      <c r="C306" s="137" t="s">
        <v>40</v>
      </c>
      <c r="D306" s="138" t="s">
        <v>338</v>
      </c>
    </row>
    <row r="307" spans="1:4" x14ac:dyDescent="0.2">
      <c r="A307" s="137" t="s">
        <v>87</v>
      </c>
      <c r="B307" s="137"/>
      <c r="C307" s="137" t="s">
        <v>39</v>
      </c>
      <c r="D307" s="138" t="s">
        <v>463</v>
      </c>
    </row>
    <row r="308" spans="1:4" x14ac:dyDescent="0.2">
      <c r="A308" s="137" t="s">
        <v>591</v>
      </c>
      <c r="B308" s="137"/>
      <c r="C308" s="137" t="s">
        <v>40</v>
      </c>
      <c r="D308" s="138" t="s">
        <v>338</v>
      </c>
    </row>
    <row r="309" spans="1:4" x14ac:dyDescent="0.2">
      <c r="A309" s="137" t="s">
        <v>592</v>
      </c>
      <c r="B309" s="137"/>
      <c r="C309" s="137" t="s">
        <v>40</v>
      </c>
      <c r="D309" s="138" t="s">
        <v>338</v>
      </c>
    </row>
    <row r="310" spans="1:4" x14ac:dyDescent="0.2">
      <c r="A310" s="136" t="s">
        <v>354</v>
      </c>
      <c r="B310" s="137"/>
      <c r="C310" s="137" t="s">
        <v>39</v>
      </c>
      <c r="D310" s="138" t="s">
        <v>341</v>
      </c>
    </row>
    <row r="311" spans="1:4" x14ac:dyDescent="0.2">
      <c r="A311" s="137" t="s">
        <v>593</v>
      </c>
      <c r="B311" s="137"/>
      <c r="C311" s="137" t="s">
        <v>40</v>
      </c>
      <c r="D311" s="138" t="s">
        <v>338</v>
      </c>
    </row>
    <row r="312" spans="1:4" x14ac:dyDescent="0.2">
      <c r="A312" s="137" t="s">
        <v>594</v>
      </c>
      <c r="B312" s="137"/>
      <c r="C312" s="137" t="s">
        <v>40</v>
      </c>
      <c r="D312" s="138" t="s">
        <v>338</v>
      </c>
    </row>
    <row r="313" spans="1:4" x14ac:dyDescent="0.2">
      <c r="A313" s="137" t="s">
        <v>595</v>
      </c>
      <c r="B313" s="137"/>
      <c r="C313" s="137" t="s">
        <v>40</v>
      </c>
      <c r="D313" s="138" t="s">
        <v>338</v>
      </c>
    </row>
    <row r="314" spans="1:4" x14ac:dyDescent="0.2">
      <c r="A314" s="137" t="s">
        <v>596</v>
      </c>
      <c r="B314" s="137"/>
      <c r="C314" s="137" t="s">
        <v>40</v>
      </c>
      <c r="D314" s="138" t="s">
        <v>338</v>
      </c>
    </row>
    <row r="315" spans="1:4" x14ac:dyDescent="0.2">
      <c r="A315" s="137" t="s">
        <v>597</v>
      </c>
      <c r="B315" s="137"/>
      <c r="C315" s="137" t="s">
        <v>40</v>
      </c>
      <c r="D315" s="138" t="s">
        <v>338</v>
      </c>
    </row>
    <row r="316" spans="1:4" x14ac:dyDescent="0.2">
      <c r="A316" s="136" t="s">
        <v>598</v>
      </c>
      <c r="B316" s="137"/>
      <c r="C316" s="137" t="s">
        <v>39</v>
      </c>
      <c r="D316" s="138" t="s">
        <v>336</v>
      </c>
    </row>
    <row r="317" spans="1:4" x14ac:dyDescent="0.2">
      <c r="A317" s="137" t="s">
        <v>599</v>
      </c>
      <c r="B317" s="137"/>
      <c r="C317" s="137" t="s">
        <v>40</v>
      </c>
      <c r="D317" s="138" t="s">
        <v>338</v>
      </c>
    </row>
    <row r="318" spans="1:4" x14ac:dyDescent="0.2">
      <c r="A318" s="137" t="s">
        <v>88</v>
      </c>
      <c r="B318" s="137"/>
      <c r="C318" s="137" t="s">
        <v>40</v>
      </c>
      <c r="D318" s="138" t="s">
        <v>338</v>
      </c>
    </row>
    <row r="319" spans="1:4" x14ac:dyDescent="0.2">
      <c r="A319" s="137" t="s">
        <v>600</v>
      </c>
      <c r="B319" s="137"/>
      <c r="C319" s="137" t="s">
        <v>40</v>
      </c>
      <c r="D319" s="138" t="s">
        <v>338</v>
      </c>
    </row>
    <row r="320" spans="1:4" x14ac:dyDescent="0.2">
      <c r="A320" s="137" t="s">
        <v>601</v>
      </c>
      <c r="B320" s="137"/>
      <c r="C320" s="137" t="s">
        <v>40</v>
      </c>
      <c r="D320" s="138" t="s">
        <v>338</v>
      </c>
    </row>
    <row r="321" spans="1:4" x14ac:dyDescent="0.2">
      <c r="A321" s="137" t="s">
        <v>602</v>
      </c>
      <c r="B321" s="137"/>
      <c r="C321" s="137" t="s">
        <v>40</v>
      </c>
      <c r="D321" s="138" t="s">
        <v>338</v>
      </c>
    </row>
    <row r="322" spans="1:4" x14ac:dyDescent="0.2">
      <c r="A322" s="137" t="s">
        <v>603</v>
      </c>
      <c r="B322" s="137"/>
      <c r="C322" s="137" t="s">
        <v>39</v>
      </c>
      <c r="D322" s="138" t="s">
        <v>336</v>
      </c>
    </row>
    <row r="323" spans="1:4" x14ac:dyDescent="0.2">
      <c r="A323" s="137" t="s">
        <v>604</v>
      </c>
      <c r="B323" s="137"/>
      <c r="C323" s="137" t="s">
        <v>40</v>
      </c>
      <c r="D323" s="138" t="s">
        <v>338</v>
      </c>
    </row>
    <row r="324" spans="1:4" x14ac:dyDescent="0.2">
      <c r="A324" s="137" t="s">
        <v>605</v>
      </c>
      <c r="B324" s="137"/>
      <c r="C324" s="137" t="s">
        <v>40</v>
      </c>
      <c r="D324" s="138" t="s">
        <v>338</v>
      </c>
    </row>
    <row r="325" spans="1:4" x14ac:dyDescent="0.2">
      <c r="A325" s="137" t="s">
        <v>606</v>
      </c>
      <c r="B325" s="137"/>
      <c r="C325" s="137" t="s">
        <v>39</v>
      </c>
      <c r="D325" s="138" t="s">
        <v>341</v>
      </c>
    </row>
    <row r="326" spans="1:4" x14ac:dyDescent="0.2">
      <c r="A326" s="137" t="s">
        <v>607</v>
      </c>
      <c r="B326" s="137"/>
      <c r="C326" s="137" t="s">
        <v>39</v>
      </c>
      <c r="D326" s="138" t="s">
        <v>341</v>
      </c>
    </row>
    <row r="327" spans="1:4" x14ac:dyDescent="0.2">
      <c r="A327" s="137" t="s">
        <v>608</v>
      </c>
      <c r="B327" s="137"/>
      <c r="C327" s="137" t="s">
        <v>40</v>
      </c>
      <c r="D327" s="138" t="s">
        <v>338</v>
      </c>
    </row>
    <row r="328" spans="1:4" x14ac:dyDescent="0.2">
      <c r="A328" s="137" t="s">
        <v>609</v>
      </c>
      <c r="B328" s="137"/>
      <c r="C328" s="137" t="s">
        <v>40</v>
      </c>
      <c r="D328" s="138" t="s">
        <v>338</v>
      </c>
    </row>
    <row r="329" spans="1:4" x14ac:dyDescent="0.2">
      <c r="A329" s="137" t="s">
        <v>89</v>
      </c>
      <c r="B329" s="137"/>
      <c r="C329" s="137" t="s">
        <v>40</v>
      </c>
      <c r="D329" s="138" t="s">
        <v>338</v>
      </c>
    </row>
    <row r="330" spans="1:4" x14ac:dyDescent="0.2">
      <c r="A330" s="137" t="s">
        <v>610</v>
      </c>
      <c r="B330" s="137"/>
      <c r="C330" s="137" t="s">
        <v>40</v>
      </c>
      <c r="D330" s="138" t="s">
        <v>338</v>
      </c>
    </row>
    <row r="331" spans="1:4" x14ac:dyDescent="0.2">
      <c r="A331" s="137" t="s">
        <v>611</v>
      </c>
      <c r="B331" s="137"/>
      <c r="C331" s="137" t="s">
        <v>40</v>
      </c>
      <c r="D331" s="138" t="s">
        <v>338</v>
      </c>
    </row>
    <row r="332" spans="1:4" x14ac:dyDescent="0.2">
      <c r="A332" s="137" t="s">
        <v>612</v>
      </c>
      <c r="B332" s="137"/>
      <c r="C332" s="137" t="s">
        <v>40</v>
      </c>
      <c r="D332" s="138" t="s">
        <v>336</v>
      </c>
    </row>
    <row r="333" spans="1:4" x14ac:dyDescent="0.2">
      <c r="A333" s="137" t="s">
        <v>613</v>
      </c>
      <c r="B333" s="137"/>
      <c r="C333" s="137" t="s">
        <v>39</v>
      </c>
      <c r="D333" s="138" t="s">
        <v>336</v>
      </c>
    </row>
    <row r="334" spans="1:4" x14ac:dyDescent="0.2">
      <c r="A334" s="137" t="s">
        <v>614</v>
      </c>
      <c r="B334" s="137"/>
      <c r="C334" s="137" t="s">
        <v>40</v>
      </c>
      <c r="D334" s="138" t="s">
        <v>336</v>
      </c>
    </row>
    <row r="335" spans="1:4" x14ac:dyDescent="0.2">
      <c r="A335" s="137" t="s">
        <v>615</v>
      </c>
      <c r="B335" s="137"/>
      <c r="C335" s="137" t="s">
        <v>39</v>
      </c>
      <c r="D335" s="138" t="s">
        <v>463</v>
      </c>
    </row>
    <row r="336" spans="1:4" x14ac:dyDescent="0.2">
      <c r="A336" s="137" t="s">
        <v>616</v>
      </c>
      <c r="B336" s="136"/>
      <c r="C336" s="136" t="s">
        <v>39</v>
      </c>
      <c r="D336" s="138" t="s">
        <v>336</v>
      </c>
    </row>
    <row r="337" spans="1:4" x14ac:dyDescent="0.2">
      <c r="A337" s="137" t="s">
        <v>378</v>
      </c>
      <c r="B337" s="137"/>
      <c r="C337" s="137" t="s">
        <v>40</v>
      </c>
      <c r="D337" s="138" t="s">
        <v>336</v>
      </c>
    </row>
    <row r="338" spans="1:4" x14ac:dyDescent="0.2">
      <c r="A338" s="137" t="s">
        <v>617</v>
      </c>
      <c r="B338" s="137"/>
      <c r="C338" s="137" t="s">
        <v>40</v>
      </c>
      <c r="D338" s="138" t="s">
        <v>338</v>
      </c>
    </row>
    <row r="339" spans="1:4" x14ac:dyDescent="0.2">
      <c r="A339" s="139" t="s">
        <v>618</v>
      </c>
      <c r="B339" s="137"/>
      <c r="C339" s="137" t="s">
        <v>40</v>
      </c>
      <c r="D339" s="138" t="s">
        <v>336</v>
      </c>
    </row>
    <row r="340" spans="1:4" x14ac:dyDescent="0.2">
      <c r="A340" s="137" t="s">
        <v>619</v>
      </c>
      <c r="B340" s="137"/>
      <c r="C340" s="137" t="s">
        <v>39</v>
      </c>
      <c r="D340" s="138" t="s">
        <v>341</v>
      </c>
    </row>
    <row r="341" spans="1:4" x14ac:dyDescent="0.2">
      <c r="A341" s="137" t="s">
        <v>620</v>
      </c>
      <c r="B341" s="137"/>
      <c r="C341" s="137" t="s">
        <v>39</v>
      </c>
      <c r="D341" s="138" t="s">
        <v>341</v>
      </c>
    </row>
    <row r="342" spans="1:4" x14ac:dyDescent="0.2">
      <c r="A342" s="137" t="s">
        <v>621</v>
      </c>
      <c r="B342" s="137"/>
      <c r="C342" s="137" t="s">
        <v>40</v>
      </c>
      <c r="D342" s="138" t="s">
        <v>338</v>
      </c>
    </row>
    <row r="343" spans="1:4" x14ac:dyDescent="0.2">
      <c r="A343" s="137" t="s">
        <v>90</v>
      </c>
      <c r="B343" s="137"/>
      <c r="C343" s="137" t="s">
        <v>39</v>
      </c>
      <c r="D343" s="138" t="s">
        <v>336</v>
      </c>
    </row>
    <row r="344" spans="1:4" x14ac:dyDescent="0.2">
      <c r="A344" s="137" t="s">
        <v>91</v>
      </c>
      <c r="B344" s="137"/>
      <c r="C344" s="137" t="s">
        <v>39</v>
      </c>
      <c r="D344" s="138" t="s">
        <v>336</v>
      </c>
    </row>
    <row r="345" spans="1:4" x14ac:dyDescent="0.2">
      <c r="A345" s="137" t="s">
        <v>622</v>
      </c>
      <c r="B345" s="137"/>
      <c r="C345" s="137" t="s">
        <v>40</v>
      </c>
      <c r="D345" s="138" t="s">
        <v>336</v>
      </c>
    </row>
    <row r="346" spans="1:4" x14ac:dyDescent="0.2">
      <c r="A346" s="137" t="s">
        <v>623</v>
      </c>
      <c r="B346" s="137"/>
      <c r="C346" s="137" t="s">
        <v>40</v>
      </c>
      <c r="D346" s="138" t="s">
        <v>336</v>
      </c>
    </row>
    <row r="347" spans="1:4" x14ac:dyDescent="0.2">
      <c r="A347" s="137" t="s">
        <v>624</v>
      </c>
      <c r="B347" s="137"/>
      <c r="C347" s="137" t="s">
        <v>39</v>
      </c>
      <c r="D347" s="138" t="s">
        <v>341</v>
      </c>
    </row>
    <row r="348" spans="1:4" x14ac:dyDescent="0.2">
      <c r="A348" s="137" t="s">
        <v>625</v>
      </c>
      <c r="B348" s="137"/>
      <c r="C348" s="137" t="s">
        <v>40</v>
      </c>
      <c r="D348" s="138" t="s">
        <v>338</v>
      </c>
    </row>
    <row r="349" spans="1:4" x14ac:dyDescent="0.2">
      <c r="A349" s="137" t="s">
        <v>626</v>
      </c>
      <c r="B349" s="137"/>
      <c r="C349" s="137" t="s">
        <v>39</v>
      </c>
      <c r="D349" s="138" t="s">
        <v>627</v>
      </c>
    </row>
    <row r="350" spans="1:4" x14ac:dyDescent="0.2">
      <c r="A350" s="137" t="s">
        <v>92</v>
      </c>
      <c r="B350" s="137"/>
      <c r="C350" s="137" t="s">
        <v>40</v>
      </c>
      <c r="D350" s="138" t="s">
        <v>338</v>
      </c>
    </row>
    <row r="351" spans="1:4" x14ac:dyDescent="0.2">
      <c r="A351" s="137" t="s">
        <v>628</v>
      </c>
      <c r="B351" s="137"/>
      <c r="C351" s="137" t="s">
        <v>40</v>
      </c>
      <c r="D351" s="138" t="s">
        <v>338</v>
      </c>
    </row>
    <row r="352" spans="1:4" x14ac:dyDescent="0.2">
      <c r="A352" s="137" t="s">
        <v>629</v>
      </c>
      <c r="B352" s="137"/>
      <c r="C352" s="137" t="s">
        <v>39</v>
      </c>
      <c r="D352" s="138" t="s">
        <v>341</v>
      </c>
    </row>
    <row r="353" spans="1:4" x14ac:dyDescent="0.2">
      <c r="A353" s="137" t="s">
        <v>93</v>
      </c>
      <c r="B353" s="137"/>
      <c r="C353" s="137" t="s">
        <v>40</v>
      </c>
      <c r="D353" s="138" t="s">
        <v>338</v>
      </c>
    </row>
    <row r="354" spans="1:4" x14ac:dyDescent="0.2">
      <c r="A354" s="137" t="s">
        <v>60</v>
      </c>
      <c r="B354" s="137"/>
      <c r="C354" s="137" t="s">
        <v>40</v>
      </c>
      <c r="D354" s="138" t="s">
        <v>338</v>
      </c>
    </row>
    <row r="355" spans="1:4" x14ac:dyDescent="0.2">
      <c r="A355" s="137" t="s">
        <v>630</v>
      </c>
      <c r="B355" s="137"/>
      <c r="C355" s="137" t="s">
        <v>40</v>
      </c>
      <c r="D355" s="138" t="s">
        <v>338</v>
      </c>
    </row>
    <row r="356" spans="1:4" x14ac:dyDescent="0.2">
      <c r="A356" s="137" t="s">
        <v>631</v>
      </c>
      <c r="B356" s="137"/>
      <c r="C356" s="137" t="s">
        <v>40</v>
      </c>
      <c r="D356" s="138" t="s">
        <v>338</v>
      </c>
    </row>
    <row r="357" spans="1:4" x14ac:dyDescent="0.2">
      <c r="A357" s="137" t="s">
        <v>632</v>
      </c>
      <c r="B357" s="137"/>
      <c r="C357" s="137" t="s">
        <v>39</v>
      </c>
      <c r="D357" s="138" t="s">
        <v>463</v>
      </c>
    </row>
    <row r="358" spans="1:4" x14ac:dyDescent="0.2">
      <c r="A358" s="137" t="s">
        <v>94</v>
      </c>
      <c r="B358" s="137"/>
      <c r="C358" s="137" t="s">
        <v>39</v>
      </c>
      <c r="D358" s="138" t="s">
        <v>338</v>
      </c>
    </row>
    <row r="359" spans="1:4" x14ac:dyDescent="0.2">
      <c r="A359" s="137" t="s">
        <v>341</v>
      </c>
      <c r="B359" s="137"/>
      <c r="C359" s="137" t="s">
        <v>39</v>
      </c>
      <c r="D359" s="138" t="s">
        <v>341</v>
      </c>
    </row>
    <row r="360" spans="1:4" x14ac:dyDescent="0.2">
      <c r="A360" s="137" t="s">
        <v>633</v>
      </c>
      <c r="B360" s="137"/>
      <c r="C360" s="137" t="s">
        <v>39</v>
      </c>
      <c r="D360" s="138" t="s">
        <v>338</v>
      </c>
    </row>
    <row r="361" spans="1:4" x14ac:dyDescent="0.2">
      <c r="A361" s="137" t="s">
        <v>95</v>
      </c>
      <c r="B361" s="137"/>
      <c r="C361" s="137" t="s">
        <v>39</v>
      </c>
      <c r="D361" s="138" t="s">
        <v>338</v>
      </c>
    </row>
    <row r="362" spans="1:4" x14ac:dyDescent="0.2">
      <c r="A362" s="137" t="s">
        <v>634</v>
      </c>
      <c r="B362" s="137"/>
      <c r="C362" s="137" t="s">
        <v>39</v>
      </c>
      <c r="D362" s="138" t="s">
        <v>341</v>
      </c>
    </row>
    <row r="363" spans="1:4" x14ac:dyDescent="0.2">
      <c r="A363" s="137" t="s">
        <v>527</v>
      </c>
      <c r="B363" s="137"/>
      <c r="C363" s="137" t="s">
        <v>39</v>
      </c>
      <c r="D363" s="138" t="s">
        <v>336</v>
      </c>
    </row>
    <row r="364" spans="1:4" x14ac:dyDescent="0.2">
      <c r="A364" s="137" t="s">
        <v>635</v>
      </c>
      <c r="B364" s="140"/>
      <c r="C364" s="137" t="s">
        <v>376</v>
      </c>
      <c r="D364" s="138" t="s">
        <v>338</v>
      </c>
    </row>
    <row r="365" spans="1:4" x14ac:dyDescent="0.2">
      <c r="A365" s="137" t="s">
        <v>636</v>
      </c>
      <c r="B365" s="137"/>
      <c r="C365" s="137" t="s">
        <v>40</v>
      </c>
      <c r="D365" s="138" t="s">
        <v>336</v>
      </c>
    </row>
    <row r="366" spans="1:4" x14ac:dyDescent="0.2">
      <c r="A366" s="137" t="s">
        <v>637</v>
      </c>
      <c r="B366" s="136"/>
      <c r="C366" s="136" t="s">
        <v>39</v>
      </c>
      <c r="D366" s="138" t="s">
        <v>336</v>
      </c>
    </row>
    <row r="367" spans="1:4" x14ac:dyDescent="0.2">
      <c r="A367" s="137" t="s">
        <v>638</v>
      </c>
      <c r="B367" s="137"/>
      <c r="C367" s="137" t="s">
        <v>40</v>
      </c>
      <c r="D367" s="138" t="s">
        <v>336</v>
      </c>
    </row>
    <row r="368" spans="1:4" x14ac:dyDescent="0.2">
      <c r="A368" s="137" t="s">
        <v>639</v>
      </c>
      <c r="B368" s="137"/>
      <c r="C368" s="137" t="s">
        <v>39</v>
      </c>
      <c r="D368" s="138" t="s">
        <v>338</v>
      </c>
    </row>
    <row r="369" spans="1:4" x14ac:dyDescent="0.2">
      <c r="A369" s="137" t="s">
        <v>640</v>
      </c>
      <c r="B369" s="137"/>
      <c r="C369" s="137" t="s">
        <v>39</v>
      </c>
      <c r="D369" s="138" t="s">
        <v>338</v>
      </c>
    </row>
    <row r="370" spans="1:4" x14ac:dyDescent="0.2">
      <c r="A370" s="137" t="s">
        <v>96</v>
      </c>
      <c r="B370" s="137"/>
      <c r="C370" s="137" t="s">
        <v>39</v>
      </c>
      <c r="D370" s="138" t="s">
        <v>341</v>
      </c>
    </row>
    <row r="371" spans="1:4" x14ac:dyDescent="0.2">
      <c r="A371" s="137" t="s">
        <v>641</v>
      </c>
      <c r="B371" s="137"/>
      <c r="C371" s="137" t="s">
        <v>39</v>
      </c>
      <c r="D371" s="138" t="s">
        <v>338</v>
      </c>
    </row>
    <row r="372" spans="1:4" x14ac:dyDescent="0.2">
      <c r="A372" s="137" t="s">
        <v>642</v>
      </c>
      <c r="B372" s="137"/>
      <c r="C372" s="137" t="s">
        <v>39</v>
      </c>
      <c r="D372" s="138" t="s">
        <v>338</v>
      </c>
    </row>
  </sheetData>
  <sheetProtection algorithmName="SHA-512" hashValue="BzQgPGExeJB0CJOrxLTEjLaamJFIN+gKgEzAFqAha35IE/bzYzNnLJcCC60rER4AKm24v82+0V/+rWJ1CB5CvA==" saltValue="bVUV/Y5Ix0SeAGeU6PEEQw==" spinCount="100000" sheet="1" objects="1" scenarios="1" autoFilter="0" pivotTables="0"/>
  <dataValidations count="4">
    <dataValidation allowBlank="1" showInputMessage="1" showErrorMessage="1" promptTitle="Filter here" prompt="To make it easier to search for a crop, you can filter per category. Please do not insert the category in tab 2, just the crop name and, if available, the variety" sqref="D1" xr:uid="{00000000-0002-0000-0600-000000000000}"/>
    <dataValidation allowBlank="1" showInputMessage="1" showErrorMessage="1" promptTitle="Important" prompt="If you only have crops that have &quot;UEBT/RA&quot; category, you need to be certified by UEBT and this template does not apply to you. Please contact certification@uebt.org " sqref="C1" xr:uid="{00000000-0002-0000-0600-000001000000}"/>
    <dataValidation allowBlank="1" showInputMessage="1" showErrorMessage="1" promptTitle="Choose for 2. Certified Crop" prompt="Please check here the right spelling of the crop name to be inserted in tab 2. Certified Crop, column 2. Certified crop. You can search or filter per category or per crop." sqref="A1" xr:uid="{00000000-0002-0000-0600-000002000000}"/>
    <dataValidation allowBlank="1" showInputMessage="1" showErrorMessage="1" promptTitle="Important" prompt="Please only input a variety in tab 2. Certified Crop column 3. Variety if a variety is shown for this crop in this column here. No other varieties will be recognized by the RACP" sqref="B1" xr:uid="{00000000-0002-0000-0600-000003000000}"/>
  </dataValidations>
  <pageMargins left="0.7" right="0.7" top="0.75" bottom="0.75" header="0.3" footer="0.3"/>
  <pageSetup paperSize="9"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4BA29"/>
  </sheetPr>
  <dimension ref="A1:U24"/>
  <sheetViews>
    <sheetView showGridLines="0" zoomScale="90" zoomScaleNormal="90" workbookViewId="0">
      <selection activeCell="D15" sqref="D15"/>
    </sheetView>
  </sheetViews>
  <sheetFormatPr defaultColWidth="9.14453125" defaultRowHeight="15" x14ac:dyDescent="0.2"/>
  <cols>
    <col min="1" max="1" width="3.765625" customWidth="1"/>
    <col min="2" max="2" width="32.41796875" customWidth="1"/>
    <col min="3" max="3" width="45.6015625" customWidth="1"/>
    <col min="4" max="4" width="55.421875" customWidth="1"/>
  </cols>
  <sheetData>
    <row r="1" spans="1:21" ht="20.25" thickBot="1" x14ac:dyDescent="0.3">
      <c r="A1" s="12" t="s">
        <v>643</v>
      </c>
      <c r="B1" s="12"/>
      <c r="C1" s="12"/>
      <c r="D1" s="12"/>
    </row>
    <row r="2" spans="1:21" ht="15.75" thickTop="1" x14ac:dyDescent="0.2"/>
    <row r="3" spans="1:21" x14ac:dyDescent="0.2">
      <c r="B3" s="10" t="s">
        <v>644</v>
      </c>
      <c r="C3" s="10"/>
      <c r="D3" s="10"/>
      <c r="E3" s="10"/>
      <c r="F3" s="10"/>
      <c r="G3" s="10"/>
      <c r="H3" s="10"/>
      <c r="I3" s="10"/>
      <c r="J3" s="10"/>
      <c r="K3" s="10"/>
      <c r="L3" s="110"/>
      <c r="M3" s="110"/>
      <c r="N3" s="110"/>
      <c r="O3" s="110"/>
      <c r="P3" s="110"/>
      <c r="Q3" s="110"/>
      <c r="R3" s="110"/>
      <c r="S3" s="110"/>
      <c r="T3" s="10"/>
      <c r="U3" s="10"/>
    </row>
    <row r="4" spans="1:21" x14ac:dyDescent="0.2">
      <c r="B4" s="10" t="s">
        <v>645</v>
      </c>
      <c r="C4" s="10"/>
      <c r="D4" s="10"/>
      <c r="E4" s="10"/>
      <c r="F4" s="10"/>
      <c r="G4" s="10"/>
      <c r="H4" s="10"/>
      <c r="I4" s="10"/>
      <c r="J4" s="10"/>
      <c r="K4" s="10"/>
      <c r="L4" s="110"/>
      <c r="M4" s="110"/>
      <c r="N4" s="110"/>
      <c r="O4" s="110"/>
      <c r="P4" s="110"/>
      <c r="Q4" s="110"/>
      <c r="R4" s="110"/>
      <c r="S4" s="110"/>
      <c r="T4" s="10"/>
      <c r="U4" s="10"/>
    </row>
    <row r="5" spans="1:21" x14ac:dyDescent="0.2">
      <c r="B5" s="10" t="s">
        <v>646</v>
      </c>
      <c r="C5" s="10"/>
      <c r="D5" s="10"/>
      <c r="E5" s="10"/>
      <c r="F5" s="10"/>
      <c r="G5" s="10"/>
      <c r="H5" s="10"/>
      <c r="I5" s="10"/>
      <c r="J5" s="10"/>
      <c r="K5" s="10"/>
      <c r="L5" s="110"/>
      <c r="M5" s="110"/>
      <c r="N5" s="110"/>
      <c r="O5" s="110"/>
      <c r="P5" s="110"/>
      <c r="Q5" s="110"/>
      <c r="R5" s="110"/>
      <c r="S5" s="110"/>
      <c r="T5" s="10"/>
      <c r="U5" s="10"/>
    </row>
    <row r="6" spans="1:21" x14ac:dyDescent="0.2">
      <c r="B6" s="10" t="s">
        <v>647</v>
      </c>
      <c r="C6" s="10"/>
      <c r="D6" s="10"/>
      <c r="E6" s="10"/>
      <c r="F6" s="10"/>
      <c r="G6" s="10"/>
      <c r="H6" s="10"/>
      <c r="I6" s="10"/>
      <c r="J6" s="10"/>
      <c r="K6" s="10"/>
      <c r="L6" s="110"/>
      <c r="M6" s="110"/>
      <c r="N6" s="110"/>
      <c r="O6" s="110"/>
      <c r="P6" s="110"/>
      <c r="Q6" s="110"/>
      <c r="R6" s="110"/>
      <c r="S6" s="110"/>
      <c r="T6" s="10"/>
      <c r="U6" s="10"/>
    </row>
    <row r="7" spans="1:21" x14ac:dyDescent="0.2">
      <c r="B7" s="10" t="s">
        <v>648</v>
      </c>
      <c r="C7" s="10"/>
      <c r="D7" s="10"/>
      <c r="E7" s="10"/>
      <c r="F7" s="10"/>
      <c r="G7" s="10"/>
      <c r="H7" s="10"/>
      <c r="I7" s="10"/>
      <c r="J7" s="10"/>
      <c r="K7" s="10"/>
      <c r="L7" s="110"/>
      <c r="M7" s="110"/>
      <c r="N7" s="110"/>
      <c r="O7" s="110"/>
      <c r="P7" s="110"/>
      <c r="Q7" s="110"/>
      <c r="R7" s="110"/>
      <c r="S7" s="110"/>
      <c r="T7" s="10"/>
      <c r="U7" s="10"/>
    </row>
    <row r="8" spans="1:21" x14ac:dyDescent="0.2">
      <c r="B8" s="10" t="s">
        <v>649</v>
      </c>
      <c r="C8" s="10"/>
      <c r="D8" s="10"/>
      <c r="E8" s="10"/>
      <c r="F8" s="10"/>
      <c r="G8" s="10"/>
      <c r="H8" s="10"/>
      <c r="I8" s="10"/>
      <c r="J8" s="10"/>
      <c r="K8" s="10"/>
      <c r="L8" s="110"/>
      <c r="M8" s="110"/>
      <c r="N8" s="110"/>
      <c r="O8" s="110"/>
      <c r="P8" s="110"/>
      <c r="Q8" s="110"/>
      <c r="R8" s="110"/>
      <c r="S8" s="110"/>
      <c r="T8" s="10"/>
      <c r="U8" s="10"/>
    </row>
    <row r="9" spans="1:21" x14ac:dyDescent="0.2">
      <c r="B9" s="10"/>
      <c r="C9" s="10"/>
      <c r="D9" s="10"/>
      <c r="E9" s="10"/>
      <c r="F9" s="10"/>
      <c r="G9" s="10"/>
      <c r="H9" s="10"/>
      <c r="I9" s="10"/>
      <c r="J9" s="10"/>
      <c r="K9" s="10"/>
      <c r="L9" s="110"/>
      <c r="M9" s="110"/>
      <c r="N9" s="110"/>
      <c r="O9" s="110"/>
      <c r="P9" s="110"/>
      <c r="Q9" s="110"/>
      <c r="R9" s="110"/>
      <c r="S9" s="110"/>
      <c r="T9" s="10"/>
      <c r="U9" s="10"/>
    </row>
    <row r="10" spans="1:21" x14ac:dyDescent="0.2">
      <c r="B10" s="10" t="s">
        <v>650</v>
      </c>
      <c r="C10" s="10"/>
      <c r="D10" s="10"/>
      <c r="E10" s="10"/>
      <c r="F10" s="10"/>
      <c r="G10" s="10"/>
      <c r="H10" s="10"/>
      <c r="I10" s="10"/>
      <c r="J10" s="10"/>
      <c r="K10" s="10"/>
      <c r="L10" s="110"/>
      <c r="M10" s="110"/>
      <c r="N10" s="110"/>
      <c r="O10" s="110"/>
      <c r="P10" s="110"/>
      <c r="Q10" s="110"/>
      <c r="R10" s="110"/>
      <c r="S10" s="110"/>
      <c r="T10" s="10"/>
      <c r="U10" s="10"/>
    </row>
    <row r="11" spans="1:21" x14ac:dyDescent="0.2">
      <c r="B11" s="10"/>
      <c r="C11" s="10"/>
      <c r="D11" s="10"/>
      <c r="E11" s="10"/>
      <c r="F11" s="10"/>
      <c r="G11" s="10"/>
      <c r="H11" s="10"/>
      <c r="I11" s="10"/>
      <c r="J11" s="10"/>
      <c r="K11" s="10"/>
      <c r="L11" s="110"/>
      <c r="M11" s="110"/>
      <c r="N11" s="110"/>
      <c r="O11" s="110"/>
      <c r="P11" s="110"/>
      <c r="Q11" s="110"/>
      <c r="R11" s="110"/>
      <c r="S11" s="110"/>
      <c r="T11" s="10"/>
      <c r="U11" s="10"/>
    </row>
    <row r="12" spans="1:21" ht="20.25" thickBot="1" x14ac:dyDescent="0.3">
      <c r="A12" s="12" t="s">
        <v>651</v>
      </c>
      <c r="B12" s="12"/>
      <c r="C12" s="12"/>
      <c r="D12" s="12"/>
      <c r="E12" s="12"/>
    </row>
    <row r="13" spans="1:21" ht="15.75" thickTop="1" x14ac:dyDescent="0.2">
      <c r="B13" s="10"/>
      <c r="L13" s="10"/>
    </row>
    <row r="14" spans="1:21" x14ac:dyDescent="0.2">
      <c r="B14" s="10" t="s">
        <v>652</v>
      </c>
      <c r="L14" s="10"/>
    </row>
    <row r="15" spans="1:21" x14ac:dyDescent="0.2">
      <c r="B15" s="10" t="s">
        <v>653</v>
      </c>
      <c r="L15" s="10"/>
    </row>
    <row r="16" spans="1:21" x14ac:dyDescent="0.2">
      <c r="B16" s="10" t="s">
        <v>654</v>
      </c>
      <c r="L16" s="10"/>
    </row>
    <row r="17" spans="2:12" x14ac:dyDescent="0.2">
      <c r="B17" s="10" t="s">
        <v>655</v>
      </c>
      <c r="L17" s="10"/>
    </row>
    <row r="18" spans="2:12" x14ac:dyDescent="0.2">
      <c r="B18" s="10" t="s">
        <v>656</v>
      </c>
      <c r="L18" s="10"/>
    </row>
    <row r="19" spans="2:12" x14ac:dyDescent="0.2">
      <c r="B19" s="10" t="s">
        <v>657</v>
      </c>
    </row>
    <row r="20" spans="2:12" ht="15.75" thickBot="1" x14ac:dyDescent="0.25"/>
    <row r="21" spans="2:12" x14ac:dyDescent="0.2">
      <c r="B21" s="116" t="s">
        <v>658</v>
      </c>
      <c r="C21" s="117" t="s">
        <v>659</v>
      </c>
      <c r="D21" s="118" t="s">
        <v>660</v>
      </c>
    </row>
    <row r="22" spans="2:12" x14ac:dyDescent="0.2">
      <c r="B22" s="114"/>
      <c r="C22" s="111" t="s">
        <v>661</v>
      </c>
      <c r="D22" s="112" t="s">
        <v>662</v>
      </c>
    </row>
    <row r="23" spans="2:12" x14ac:dyDescent="0.2">
      <c r="B23" s="114" t="s">
        <v>97</v>
      </c>
      <c r="C23" s="111" t="s">
        <v>663</v>
      </c>
      <c r="D23" s="112" t="s">
        <v>664</v>
      </c>
    </row>
    <row r="24" spans="2:12" ht="28.5" thickBot="1" x14ac:dyDescent="0.25">
      <c r="B24" s="115" t="s">
        <v>98</v>
      </c>
      <c r="C24" s="113" t="s">
        <v>665</v>
      </c>
      <c r="D24" s="144" t="s">
        <v>666</v>
      </c>
    </row>
  </sheetData>
  <sheetProtection algorithmName="SHA-512" hashValue="NdDOb/8hoIsdxWPPUm8Lxe8DQD8h5Sb5tmMoi+LtR+XKKicnTj8juDoBRhpA8Kk+c6qbxQdB1Fa5fjHnfat+Vg==" saltValue="k+Olnj1DWY1MEHEin51kIg==" spinCount="100000" sheet="1" objects="1" scenarios="1"/>
  <pageMargins left="0.511811024" right="0.511811024" top="0.78740157499999996" bottom="0.78740157499999996" header="0.31496062000000002" footer="0.31496062000000002"/>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35FC0B73862942B5D735B921808A61" ma:contentTypeVersion="12" ma:contentTypeDescription="Create a new document." ma:contentTypeScope="" ma:versionID="4733421cd98014ecba68aa3522cd89ef">
  <xsd:schema xmlns:xsd="http://www.w3.org/2001/XMLSchema" xmlns:xs="http://www.w3.org/2001/XMLSchema" xmlns:p="http://schemas.microsoft.com/office/2006/metadata/properties" xmlns:ns2="f85326c8-53d7-4073-8fb0-737c737bb331" xmlns:ns3="5765bac3-0fca-4b4e-935f-16f2a024ce24" targetNamespace="http://schemas.microsoft.com/office/2006/metadata/properties" ma:root="true" ma:fieldsID="8e31ddcaaee71eb6ae718cfbfe3e2309" ns2:_="" ns3:_="">
    <xsd:import namespace="f85326c8-53d7-4073-8fb0-737c737bb331"/>
    <xsd:import namespace="5765bac3-0fca-4b4e-935f-16f2a024ce2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326c8-53d7-4073-8fb0-737c737bb3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765bac3-0fca-4b4e-935f-16f2a024ce2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612303-1544-420A-9BAB-5B136A9D5968}">
  <ds:schemaRefs>
    <ds:schemaRef ds:uri="http://schemas.microsoft.com/sharepoint/v3/contenttype/forms"/>
  </ds:schemaRefs>
</ds:datastoreItem>
</file>

<file path=customXml/itemProps2.xml><?xml version="1.0" encoding="utf-8"?>
<ds:datastoreItem xmlns:ds="http://schemas.openxmlformats.org/officeDocument/2006/customXml" ds:itemID="{D5D96595-F6A4-4134-84E4-01235280319D}">
  <ds:schemaRefs>
    <ds:schemaRef ds:uri="http://schemas.microsoft.com/office/2006/metadata/contentType"/>
    <ds:schemaRef ds:uri="http://schemas.microsoft.com/office/2006/metadata/properties/metaAttributes"/>
    <ds:schemaRef ds:uri="http://www.w3.org/2000/xmlns/"/>
    <ds:schemaRef ds:uri="http://www.w3.org/2001/XMLSchema"/>
    <ds:schemaRef ds:uri="f85326c8-53d7-4073-8fb0-737c737bb331"/>
    <ds:schemaRef ds:uri="5765bac3-0fca-4b4e-935f-16f2a024ce24"/>
  </ds:schemaRefs>
</ds:datastoreItem>
</file>

<file path=customXml/itemProps3.xml><?xml version="1.0" encoding="utf-8"?>
<ds:datastoreItem xmlns:ds="http://schemas.openxmlformats.org/officeDocument/2006/customXml" ds:itemID="{B22841A9-5C5F-46ED-8873-8B8EEAAE6C22}">
  <ds:schemaRefs>
    <ds:schemaRef ds:uri="http://schemas.microsoft.com/office/2006/metadata/properties"/>
    <ds:schemaRef ds:uri="http://www.w3.org/2000/xmlns/"/>
  </ds:schemaRefs>
</ds:datastoreItem>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Feuilles de calcul</vt:lpstr>
      </vt:variant>
      <vt:variant>
        <vt:i4>8</vt:i4>
      </vt:variant>
    </vt:vector>
  </HeadingPairs>
  <TitlesOfParts>
    <vt:vector size="8" baseType="lpstr">
      <vt:lpstr>Page de couverture</vt:lpstr>
      <vt:lpstr>1. Membre du groupe</vt:lpstr>
      <vt:lpstr>2. Produit agricole certifié</vt:lpstr>
      <vt:lpstr>3. Unité agricole</vt:lpstr>
      <vt:lpstr> Tableau de bord</vt:lpstr>
      <vt:lpstr>Translations</vt:lpstr>
      <vt:lpstr>Liste des produits agricoles</vt:lpstr>
      <vt:lpstr>Document d’orientation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2021-08-15T21:33:57Z</dcterms:created>
  <dcterms:modified xsi:type="dcterms:W3CDTF">2022-08-23T06:19:13Z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0x010100D035FC0B73862942B5D735B921808A61</vt:lpwstr>
  </property>
</Properties>
</file>